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1" activeTab="1"/>
  </bookViews>
  <sheets>
    <sheet name="Инструкция" sheetId="1" r:id="rId2"/>
    <sheet name="Титульный" sheetId="2" r:id="rId3"/>
    <sheet name="Список территорий" sheetId="3" r:id="rId4"/>
    <sheet name="Дифференциация" sheetId="4" state="hidden" r:id="rId5"/>
    <sheet name="Перечень тарифов" sheetId="5"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state="hidden" r:id="rId46"/>
    <sheet name="Договоры" sheetId="46" state="hidden" r:id="rId47"/>
    <sheet name="Порядок ТП" sheetId="47" r:id="rId48"/>
    <sheet name="Предложение" sheetId="48" state="hidden" r:id="rId49"/>
    <sheet name="Сведения о закупках" sheetId="49" state="hidden"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Т-пит'!$66:$67</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Т-пит'!$68:$69</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тарифов'!$79:$107</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тарифов'!$109:$123</definedName>
    <definedName name="BLOCK_PT_VOTV">'Перечень тарифов'!$125:$139</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тарифов'!$Z$12:$Z$141</definedName>
    <definedName name="DIFFERENTIATION_TARIFF_VD_ID">'Перечень тарифов'!$AB$12:$AB$141</definedName>
    <definedName name="DIFFERENTIATION_TARIFF_VTAR_ID">'Перечень тарифов'!$AA$12:$AA$141</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Предложение!$L$87</definedName>
    <definedName name="OFFER_METHOD">Предложение!$K$24:$K$85</definedName>
    <definedName name="OFFER_METHOD_FLAG">TEHSHEET!$L$6</definedName>
    <definedName name="OFFER_TARIFF_A_1">Предложение!$24:$26</definedName>
    <definedName name="OFFER_TARIFF_A_2">Предложение!$89:$91</definedName>
    <definedName name="OFFER_TARIFF_A_3">Предложение!$152:$154</definedName>
    <definedName name="OFFER_TARIFF_A_4">Предложение!$215:$217</definedName>
    <definedName name="OFFER_TARIFF_A_5">Предложение!$278:$280</definedName>
    <definedName name="OFFER_TARIFF_A_COLDVSNA_1">Предложение!$51:$55</definedName>
    <definedName name="OFFER_TARIFF_A_COLDVSNA_2">Предложение!$116:$120</definedName>
    <definedName name="OFFER_TARIFF_A_COLDVSNA_3">Предложение!$179:$183</definedName>
    <definedName name="OFFER_TARIFF_A_COLDVSNA_4">Предложение!$242:$246</definedName>
    <definedName name="OFFER_TARIFF_A_COLDVSNA_5">Предложение!$305:$309</definedName>
    <definedName name="OFFER_TARIFF_A_HOTVSNA_1">Предложение!$68:$70</definedName>
    <definedName name="OFFER_TARIFF_A_HOTVSNA_2">Предложение!$133:$135</definedName>
    <definedName name="OFFER_TARIFF_A_HOTVSNA_3">Предложение!$196:$198</definedName>
    <definedName name="OFFER_TARIFF_A_HOTVSNA_4">Предложение!$259:$261</definedName>
    <definedName name="OFFER_TARIFF_A_HOTVSNA_5">Предложение!$322:$324</definedName>
    <definedName name="OFFER_TARIFF_A_VOTV_1">Предложение!$77:$79</definedName>
    <definedName name="OFFER_TARIFF_A_VOTV_2">Предложение!$142:$144</definedName>
    <definedName name="OFFER_TARIFF_A_VOTV_3">Предложение!$205:$207</definedName>
    <definedName name="OFFER_TARIFF_A_VOTV_4">Предложение!$268:$270</definedName>
    <definedName name="OFFER_TARIFF_A_VOTV_5">Предложение!$331:$333</definedName>
    <definedName name="OFFER_TARIFF_B_1">Предложение!$27:$29</definedName>
    <definedName name="OFFER_TARIFF_B_2">Предложение!$92:$94</definedName>
    <definedName name="OFFER_TARIFF_B_3">Предложение!$155:$157</definedName>
    <definedName name="OFFER_TARIFF_B_4">Предложение!$218:$220</definedName>
    <definedName name="OFFER_TARIFF_B_5">Предложение!$281:$283</definedName>
    <definedName name="OFFER_TARIFF_B_COLDVSNA_1">Предложение!$56:$58</definedName>
    <definedName name="OFFER_TARIFF_B_COLDVSNA_2">Предложение!$121:$123</definedName>
    <definedName name="OFFER_TARIFF_B_COLDVSNA_3">Предложение!$184:$186</definedName>
    <definedName name="OFFER_TARIFF_B_COLDVSNA_4">Предложение!$247:$249</definedName>
    <definedName name="OFFER_TARIFF_B_COLDVSNA_5">Предложение!$310:$312</definedName>
    <definedName name="OFFER_TARIFF_B_HOTVSNA_1">Предложение!$71:$73</definedName>
    <definedName name="OFFER_TARIFF_B_HOTVSNA_2">Предложение!$136:$138</definedName>
    <definedName name="OFFER_TARIFF_B_HOTVSNA_3">Предложение!$199:$201</definedName>
    <definedName name="OFFER_TARIFF_B_HOTVSNA_4">Предложение!$262:$264</definedName>
    <definedName name="OFFER_TARIFF_B_HOTVSNA_5">Предложение!$325:$327</definedName>
    <definedName name="OFFER_TARIFF_B_VOTV_1">Предложение!$80:$82</definedName>
    <definedName name="OFFER_TARIFF_B_VOTV_2">Предложение!$145:$147</definedName>
    <definedName name="OFFER_TARIFF_B_VOTV_3">Предложение!$208:$210</definedName>
    <definedName name="OFFER_TARIFF_B_VOTV_4">Предложение!$271:$273</definedName>
    <definedName name="OFFER_TARIFF_B_VOTV_5">Предложение!$334:$336</definedName>
    <definedName name="OFFER_TARIFF_C_1">Предложение!$30:$32</definedName>
    <definedName name="OFFER_TARIFF_C_2">Предложение!$95:$97</definedName>
    <definedName name="OFFER_TARIFF_C_3">Предложение!$158:$160</definedName>
    <definedName name="OFFER_TARIFF_C_4">Предложение!$221:$223</definedName>
    <definedName name="OFFER_TARIFF_C_5">Предложение!$284:$286</definedName>
    <definedName name="OFFER_TARIFF_C_COLDVSNA_1">Предложение!$59:$61</definedName>
    <definedName name="OFFER_TARIFF_C_COLDVSNA_2">Предложение!$124:$126</definedName>
    <definedName name="OFFER_TARIFF_C_COLDVSNA_3">Предложение!$187:$189</definedName>
    <definedName name="OFFER_TARIFF_C_COLDVSNA_4">Предложение!$250:$252</definedName>
    <definedName name="OFFER_TARIFF_C_COLDVSNA_5">Предложение!$313:$315</definedName>
    <definedName name="OFFER_TARIFF_C_HOTVSNA_1">Предложение!$74:$76</definedName>
    <definedName name="OFFER_TARIFF_C_HOTVSNA_2">Предложение!$139:$141</definedName>
    <definedName name="OFFER_TARIFF_C_HOTVSNA_3">Предложение!$202:$204</definedName>
    <definedName name="OFFER_TARIFF_C_HOTVSNA_4">Предложение!$265:$267</definedName>
    <definedName name="OFFER_TARIFF_C_HOTVSNA_5">Предложение!$328:$330</definedName>
    <definedName name="OFFER_TARIFF_C_VOTV_1">Предложение!$83:$85</definedName>
    <definedName name="OFFER_TARIFF_C_VOTV_2">Предложение!$148:$150</definedName>
    <definedName name="OFFER_TARIFF_C_VOTV_3">Предложение!$211:$213</definedName>
    <definedName name="OFFER_TARIFF_C_VOTV_4">Предложение!$274:$276</definedName>
    <definedName name="OFFER_TARIFF_C_VOTV_5">Предложение!$337:$339</definedName>
    <definedName name="OFFER_TARIFF_D_1">Предложение!$33:$35</definedName>
    <definedName name="OFFER_TARIFF_D_2">Предложение!$98:$100</definedName>
    <definedName name="OFFER_TARIFF_D_3">Предложение!$161:$163</definedName>
    <definedName name="OFFER_TARIFF_D_4">Предложение!$224:$226</definedName>
    <definedName name="OFFER_TARIFF_D_5">Предложение!$287:$289</definedName>
    <definedName name="OFFER_TARIFF_D_COLDVSNA_1">Предложение!$62:$64</definedName>
    <definedName name="OFFER_TARIFF_D_COLDVSNA_2">Предложение!$127:$129</definedName>
    <definedName name="OFFER_TARIFF_D_COLDVSNA_3">Предложение!$190:$192</definedName>
    <definedName name="OFFER_TARIFF_D_COLDVSNA_4">Предложение!$253:$255</definedName>
    <definedName name="OFFER_TARIFF_D_COLDVSNA_5">Предложение!$316:$318</definedName>
    <definedName name="OFFER_TARIFF_E_COLDVSNA_1">Предложение!$65:$67</definedName>
    <definedName name="OFFER_TARIFF_E_COLDVSNA_2">Предложение!$130:$132</definedName>
    <definedName name="OFFER_TARIFF_E_COLDVSNA_3">Предложение!$193:$195</definedName>
    <definedName name="OFFER_TARIFF_E_COLDVSNA_4">Предложение!$256:$258</definedName>
    <definedName name="OFFER_TARIFF_E_COLDVSNA_5">Предложение!$319:$321</definedName>
    <definedName name="OFFER_TARIFF_E1_1">Предложение!$36:$38</definedName>
    <definedName name="OFFER_TARIFF_E1_2">Предложение!$101:$103</definedName>
    <definedName name="OFFER_TARIFF_E1_3">Предложение!$164:$166</definedName>
    <definedName name="OFFER_TARIFF_E1_4">Предложение!$227:$229</definedName>
    <definedName name="OFFER_TARIFF_E1_5">Предложение!$290:$292</definedName>
    <definedName name="OFFER_TARIFF_E2_1">Предложение!$39:$41</definedName>
    <definedName name="OFFER_TARIFF_E2_2">Предложение!$104:$106</definedName>
    <definedName name="OFFER_TARIFF_E2_3">Предложение!$167:$169</definedName>
    <definedName name="OFFER_TARIFF_E2_4">Предложение!$230:$232</definedName>
    <definedName name="OFFER_TARIFF_E2_5">Предложение!$293:$295</definedName>
    <definedName name="OFFER_TARIFF_F_1">Предложение!$42:$44</definedName>
    <definedName name="OFFER_TARIFF_F_2">Предложение!$107:$109</definedName>
    <definedName name="OFFER_TARIFF_F_3">Предложение!$170:$172</definedName>
    <definedName name="OFFER_TARIFF_F_4">Предложение!$233:$235</definedName>
    <definedName name="OFFER_TARIFF_F_5">Предложение!$296:$298</definedName>
    <definedName name="OFFER_TARIFF_G_1">Предложение!$45:$47</definedName>
    <definedName name="OFFER_TARIFF_G_2">Предложение!$110:$112</definedName>
    <definedName name="OFFER_TARIFF_G_3">Предложение!$173:$175</definedName>
    <definedName name="OFFER_TARIFF_G_4">Предложение!$236:$238</definedName>
    <definedName name="OFFER_TARIFF_G_5">Предложение!$299:$301</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Т-пит'!$T$65</definedName>
    <definedName name="pIns_PT_VTAR_A_COLDVSNA_OFFER_1">Предложение!$G$55</definedName>
    <definedName name="pIns_PT_VTAR_A_COLDVSNA_OFFER_2">Предложение!$G$120</definedName>
    <definedName name="pIns_PT_VTAR_A_COLDVSNA_OFFER_3">Предложение!$G$183</definedName>
    <definedName name="pIns_PT_VTAR_A_COLDVSNA_OFFER_4">Предложение!$G$246</definedName>
    <definedName name="pIns_PT_VTAR_A_COLDVSNA_OFFER_5">Предложение!$G$309</definedName>
    <definedName name="pIns_PT_VTAR_A_COLDVSNA_OFFER5">Предложение!$G$309</definedName>
    <definedName name="pIns_PT_VTAR_A_HOTVSNA">'ГВС. Т-гор.вода'!$T$54</definedName>
    <definedName name="pIns_PT_VTAR_A_HOTVSNA_OFFER_1">Предложение!$G$70</definedName>
    <definedName name="pIns_PT_VTAR_A_HOTVSNA_OFFER_2">Предложение!$G$135</definedName>
    <definedName name="pIns_PT_VTAR_A_HOTVSNA_OFFER_3">Предложение!$G$198</definedName>
    <definedName name="pIns_PT_VTAR_A_HOTVSNA_OFFER_4">Предложение!$G$261</definedName>
    <definedName name="pIns_PT_VTAR_A_HOTVSNA_OFFER_5">Предложение!$G$324</definedName>
    <definedName name="pIns_PT_VTAR_A_OFFER_1">Предложение!$G$26</definedName>
    <definedName name="pIns_PT_VTAR_A_OFFER_2">Предложение!$G$91</definedName>
    <definedName name="pIns_PT_VTAR_A_OFFER_3">Предложение!$G$154</definedName>
    <definedName name="pIns_PT_VTAR_A_OFFER_4">Предложение!$G$217</definedName>
    <definedName name="pIns_PT_VTAR_A_OFFER_5">Предложение!$G$280</definedName>
    <definedName name="pIns_PT_VTAR_A_VOTV">'ВО. Т-во'!$T$53</definedName>
    <definedName name="pIns_PT_VTAR_A_VOTV_OFFER_1">Предложение!$G$79</definedName>
    <definedName name="pIns_PT_VTAR_A_VOTV_OFFER_2">Предложение!$G$144</definedName>
    <definedName name="pIns_PT_VTAR_A_VOTV_OFFER_3">Предложение!$G$207</definedName>
    <definedName name="pIns_PT_VTAR_A_VOTV_OFFER_4">Предложение!$G$270</definedName>
    <definedName name="pIns_PT_VTAR_A_VOTV_OFFER_5">Предложение!$G$333</definedName>
    <definedName name="pIns_PT_VTAR_B">'ТС. Т-ТЭ | ТСО'!$T$57</definedName>
    <definedName name="pIns_PT_VTAR_B_COLDVSNA">'ХВС. Т-тех'!$T$53</definedName>
    <definedName name="pIns_PT_VTAR_B_COLDVSNA_OFFER_1">Предложение!$G$58</definedName>
    <definedName name="pIns_PT_VTAR_B_COLDVSNA_OFFER_2">Предложение!$G$123</definedName>
    <definedName name="pIns_PT_VTAR_B_COLDVSNA_OFFER_3">Предложение!$G$186</definedName>
    <definedName name="pIns_PT_VTAR_B_COLDVSNA_OFFER_4">Предложение!$G$249</definedName>
    <definedName name="pIns_PT_VTAR_B_COLDVSNA_OFFER_5">Предложение!$G$312</definedName>
    <definedName name="pIns_PT_VTAR_B_HOTVSNA">'ГВС. Т-транс'!$T$54</definedName>
    <definedName name="pIns_PT_VTAR_B_HOTVSNA_OFFER_1">Предложение!$G$73</definedName>
    <definedName name="pIns_PT_VTAR_B_HOTVSNA_OFFER_2">Предложение!$G$138</definedName>
    <definedName name="pIns_PT_VTAR_B_HOTVSNA_OFFER_3">Предложение!$G$201</definedName>
    <definedName name="pIns_PT_VTAR_B_HOTVSNA_OFFER_4">Предложение!$G$264</definedName>
    <definedName name="pIns_PT_VTAR_B_HOTVSNA_OFFER_5">Предложение!$G$327</definedName>
    <definedName name="pIns_PT_VTAR_B_OFFER_1">Предложение!$G$29</definedName>
    <definedName name="pIns_PT_VTAR_B_OFFER_2">Предложение!$G$94</definedName>
    <definedName name="pIns_PT_VTAR_B_OFFER_3">Предложение!$G$157</definedName>
    <definedName name="pIns_PT_VTAR_B_OFFER_4">Предложение!$G$220</definedName>
    <definedName name="pIns_PT_VTAR_B_OFFER_5">Предложение!$G$283</definedName>
    <definedName name="pIns_PT_VTAR_B_VOTV">'ВО. Т-транс'!$T$53</definedName>
    <definedName name="pIns_PT_VTAR_B_VOTV_OFFER_1">Предложение!$G$82</definedName>
    <definedName name="pIns_PT_VTAR_B_VOTV_OFFER_2">Предложение!$G$147</definedName>
    <definedName name="pIns_PT_VTAR_B_VOTV_OFFER_3">Предложение!$G$210</definedName>
    <definedName name="pIns_PT_VTAR_B_VOTV_OFFER_4">Предложение!$G$273</definedName>
    <definedName name="pIns_PT_VTAR_B_VOTV_OFFER_5">Предложение!$G$336</definedName>
    <definedName name="pIns_PT_VTAR_C">'ТС. Т-ТН'!$T$57</definedName>
    <definedName name="pIns_PT_VTAR_C_COLDVSNA">'ХВС. Т-транс'!$T$53</definedName>
    <definedName name="pIns_PT_VTAR_C_COLDVSNA_OFFER_1">Предложение!$G$61</definedName>
    <definedName name="pIns_PT_VTAR_C_COLDVSNA_OFFER_2">Предложение!$G$126</definedName>
    <definedName name="pIns_PT_VTAR_C_COLDVSNA_OFFER_3">Предложение!$G$189</definedName>
    <definedName name="pIns_PT_VTAR_C_COLDVSNA_OFFER_4">Предложение!$G$252</definedName>
    <definedName name="pIns_PT_VTAR_C_COLDVSNA_OFFER_5">Предложение!$G$315</definedName>
    <definedName name="pIns_PT_VTAR_C_HOTVSNA">'ГВС. Т-подкл'!$T$63</definedName>
    <definedName name="pIns_PT_VTAR_C_HOTVSNA_OFFER_1">Предложение!$G$76</definedName>
    <definedName name="pIns_PT_VTAR_C_HOTVSNA_OFFER_2">Предложение!$G$141</definedName>
    <definedName name="pIns_PT_VTAR_C_HOTVSNA_OFFER_3">Предложение!$G$204</definedName>
    <definedName name="pIns_PT_VTAR_C_HOTVSNA_OFFER_4">Предложение!$G$267</definedName>
    <definedName name="pIns_PT_VTAR_C_HOTVSNA_OFFER_5">Предложение!$G$330</definedName>
    <definedName name="pIns_PT_VTAR_C_OFFER_1">Предложение!$G$32</definedName>
    <definedName name="pIns_PT_VTAR_C_OFFER_2">Предложение!$G$97</definedName>
    <definedName name="pIns_PT_VTAR_C_OFFER_3">Предложение!$G$160</definedName>
    <definedName name="pIns_PT_VTAR_C_OFFER_4">Предложение!$G$223</definedName>
    <definedName name="pIns_PT_VTAR_C_OFFER_5">Предложение!$G$286</definedName>
    <definedName name="pIns_PT_VTAR_C_VOTV">'ВО. Т-подкл'!$T$63</definedName>
    <definedName name="pIns_PT_VTAR_C_VOTV_OFFER_1">Предложение!$G$85</definedName>
    <definedName name="pIns_PT_VTAR_C_VOTV_OFFER_2">Предложение!$G$150</definedName>
    <definedName name="pIns_PT_VTAR_C_VOTV_OFFER_3">Предложение!$G$213</definedName>
    <definedName name="pIns_PT_VTAR_C_VOTV_OFFER_4">Предложение!$G$276</definedName>
    <definedName name="pIns_PT_VTAR_C_VOTV_OFFER_5">Предложение!$G$339</definedName>
    <definedName name="pIns_PT_VTAR_D">'ТС. Т-гор.вода'!$V$65</definedName>
    <definedName name="pIns_PT_VTAR_D_COLDVSNA">'ХВС. Т-подвоз'!$T$53</definedName>
    <definedName name="pIns_PT_VTAR_D_COLDVSNA_OFFER_1">Предложение!$G$64</definedName>
    <definedName name="pIns_PT_VTAR_D_COLDVSNA_OFFER_2">Предложение!$G$129</definedName>
    <definedName name="pIns_PT_VTAR_D_COLDVSNA_OFFER_3">Предложение!$G$192</definedName>
    <definedName name="pIns_PT_VTAR_D_COLDVSNA_OFFER_4">Предложение!$G$255</definedName>
    <definedName name="pIns_PT_VTAR_D_COLDVSNA_OFFER_5">Предложение!$G$318</definedName>
    <definedName name="pIns_PT_VTAR_D_OFFER_1">Предложение!$G$35</definedName>
    <definedName name="pIns_PT_VTAR_D_OFFER_2">Предложение!$G$100</definedName>
    <definedName name="pIns_PT_VTAR_D_OFFER_3">Предложение!$G$163</definedName>
    <definedName name="pIns_PT_VTAR_D_OFFER_4">Предложение!$G$226</definedName>
    <definedName name="pIns_PT_VTAR_D_OFFER_5">Предложение!$G$289</definedName>
    <definedName name="pIns_PT_VTAR_E_COLDVSNA">'ХВС. Т-подкл'!$T$63</definedName>
    <definedName name="pIns_PT_VTAR_E_COLDVSNA_OFFER_1">Предложение!$G$67</definedName>
    <definedName name="pIns_PT_VTAR_E_COLDVSNA_OFFER_2">Предложение!$G$132</definedName>
    <definedName name="pIns_PT_VTAR_E_COLDVSNA_OFFER_3">Предложение!$G$195</definedName>
    <definedName name="pIns_PT_VTAR_E_COLDVSNA_OFFER_4">Предложение!$G$258</definedName>
    <definedName name="pIns_PT_VTAR_E_COLDVSNA_OFFER_5">Предложение!$G$321</definedName>
    <definedName name="pIns_PT_VTAR_E1">'ТС. Т-передача ТЭ'!$T$57</definedName>
    <definedName name="pIns_PT_VTAR_E1_OFFER_1">Предложение!$G$38</definedName>
    <definedName name="pIns_PT_VTAR_E1_OFFER_2">Предложение!$G$103</definedName>
    <definedName name="pIns_PT_VTAR_E1_OFFER_3">Предложение!$G$166</definedName>
    <definedName name="pIns_PT_VTAR_E1_OFFER_4">Предложение!$G$229</definedName>
    <definedName name="pIns_PT_VTAR_E1_OFFER_5">Предложение!$G$292</definedName>
    <definedName name="pIns_PT_VTAR_E2">'ТС. Т-передача ТН'!$T$57</definedName>
    <definedName name="pIns_PT_VTAR_E2_OFFER_1">Предложение!$G$41</definedName>
    <definedName name="pIns_PT_VTAR_E2_OFFER_2">Предложение!$G$106</definedName>
    <definedName name="pIns_PT_VTAR_E2_OFFER_3">Предложение!$G$169</definedName>
    <definedName name="pIns_PT_VTAR_E2_OFFER_4">Предложение!$G$232</definedName>
    <definedName name="pIns_PT_VTAR_E2_OFFER_5">Предложение!$G$295</definedName>
    <definedName name="pIns_PT_VTAR_F">'ТС. Резерв мощности'!$T$57</definedName>
    <definedName name="pIns_PT_VTAR_F_OFFER_1">Предложение!$G$44</definedName>
    <definedName name="pIns_PT_VTAR_F_OFFER_2">Предложение!$G$109</definedName>
    <definedName name="pIns_PT_VTAR_F_OFFER_3">Предложение!$G$172</definedName>
    <definedName name="pIns_PT_VTAR_F_OFFER_4">Предложение!$G$235</definedName>
    <definedName name="pIns_PT_VTAR_F_OFFER_5">Предложение!$G$298</definedName>
    <definedName name="pIns_PT_VTAR_G">'ТС. Т-подкл'!$T$62</definedName>
    <definedName name="pIns_PT_VTAR_G_OFFER_1">Предложение!$G$47</definedName>
    <definedName name="pIns_PT_VTAR_G_OFFER_2">Предложение!$G$112</definedName>
    <definedName name="pIns_PT_VTAR_G_OFFER_3">Предложение!$G$175</definedName>
    <definedName name="pIns_PT_VTAR_G_OFFER_4">Предложение!$G$238</definedName>
    <definedName name="pIns_PT_VTAR_G_OFFER_5">Предложение!$G$301</definedName>
    <definedName name="pIns_PT_VTAR_H">'ТС. Т-подкл(инд)'!$T$56</definedName>
    <definedName name="pIns_PT_VTAR_H_OFFER_1">Предложение!$G$50</definedName>
    <definedName name="pIns_PT_VTAR_H_OFFER_2">Предложение!$G$115</definedName>
    <definedName name="pIns_PT_VTAR_H_OFFER_3">Предложение!$G$178</definedName>
    <definedName name="pIns_PT_VTAR_H_OFFER_4">Предложение!$G$241</definedName>
    <definedName name="pIns_PT_VTAR_H_OFFER_5">Предложение!$G$304</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Т-пит'!$AQ$37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тарифов'!$AL$12:$AL$141</definedName>
    <definedName name="PT_DIFFERENTIATION_CS_ID">'Перечень тарифов'!$AF$12:$AF$141</definedName>
    <definedName name="PT_DIFFERENTIATION_IST_TE">'Перечень тарифов'!$AM$12:$AM$141</definedName>
    <definedName name="PT_DIFFERENTIATION_IST_TE_ID">'Перечень тарифов'!$AG$12:$AG$141</definedName>
    <definedName name="PT_DIFFERENTIATION_NTAR">'Перечень тарифов'!$AJ$12:$AJ$141</definedName>
    <definedName name="PT_DIFFERENTIATION_NTAR_ID">'Перечень тарифов'!$AD$12:$AD$141</definedName>
    <definedName name="PT_DIFFERENTIATION_NUM_CS">'Перечень тарифов'!$AP$12:$AP$141</definedName>
    <definedName name="PT_DIFFERENTIATION_NUM_IST_TE">'Перечень тарифов'!$AQ$12:$AQ$141</definedName>
    <definedName name="PT_DIFFERENTIATION_NUM_NTAR">'Перечень тарифов'!$AN$12:$AN$141</definedName>
    <definedName name="PT_DIFFERENTIATION_NUM_TER">'Перечень тарифов'!$AO$12:$AO$141</definedName>
    <definedName name="PT_DIFFERENTIATION_TER">'Перечень тарифов'!$AK$12:$AK$141</definedName>
    <definedName name="PT_DIFFERENTIATION_TER_ID">'Перечень тарифов'!$AE$12:$AE$141</definedName>
    <definedName name="PT_DIFFERENTIATION_VDET">'Перечень тарифов'!$AI$12:$AI$141</definedName>
    <definedName name="PT_DIFFERENTIATION_VTAR">'Перечень тарифов'!$AH$12:$AH$141</definedName>
    <definedName name="PT_DIFFERENTIATION_VTAR_ID">'Перечень тарифов'!$AC$12:$AC$141</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тарифов'!$W$140</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Предложение!$L$340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Предложение!$L$340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Т-пит'!$AQ$66</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REESTR_IP_RANGE">REESTR_IP!$A$2:$I$5</definedName>
    <definedName name="VD_LIST">REESTR_VED!$A$2:$B$8</definedName>
    <definedName name="VD_ID_LIST">REESTR_VED!$A$2:$A$8</definedName>
    <definedName name="VD_NAME_LIST">REESTR_VED!$B$2:$B$8</definedName>
    <definedName name="et_B_FHD20_1">et_union_hor!$115:$123</definedName>
    <definedName name="pt_ntar_30">'ХВС. Т-пит'!$53:$64</definedName>
    <definedName name="pt_ter_30">'ХВС. Т-пит'!$54:$63</definedName>
    <definedName name="pt_cs_30">'ХВС. Т-пит'!$55:$62</definedName>
    <definedName name="DESCRIPTION_TERRITORY">REESTR_DS!$B$2</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<sst xmlns="http://schemas.openxmlformats.org/spreadsheetml/2006/main" count="9579" uniqueCount="2609">
  <si>
    <t xml:space="preserve"> (требуется обновление)</t>
  </si>
  <si>
    <t>Код отчёта: PP108.OPEN.INFO.PRICE.COLDVSNA.EIAS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</si>
  <si>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</si>
  <si>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</si>
  <si>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</si>
  <si>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</si>
  <si>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</si>
  <si>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</si>
  <si>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</si>
  <si>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</si>
  <si>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</si>
  <si>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</si>
  <si>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</si>
  <si>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31500726</t>
  </si>
  <si>
    <t>Flag_Row_Size</t>
  </si>
  <si>
    <t>Субъект РФ</t>
  </si>
  <si>
    <t>Ненецкий автономный округ</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</si>
  <si>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</si>
  <si>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</si>
  <si>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</si>
  <si>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</si>
  <si>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</si>
  <si>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</si>
  <si>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</si>
  <si>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</si>
  <si>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</si>
  <si>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</si>
  <si>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</si>
  <si>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</si>
  <si>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</si>
  <si>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</si>
  <si>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</si>
  <si>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</si>
  <si>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</si>
  <si>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</si>
  <si>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</si>
  <si>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</si>
  <si>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изменения в раскрытой ранее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</si>
  <si>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</si>
  <si>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</si>
  <si>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</si>
  <si>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43</t>
  </si>
  <si>
    <t>Наименование органа регулирования, принявшего решение об утверждении тарифов</t>
  </si>
  <si>
    <t>Управление по государственному регулированию цен (тарифов) Ненецкого автономного округа</t>
  </si>
  <si>
    <t>Источник официального опубликования решения</t>
  </si>
  <si>
    <t xml:space="preserve">Официальный интернет портал правовой информации http://pravo.gov.ru </t>
  </si>
  <si>
    <t>Открывается, если Тип отчёта "изменения в раскрытой ранее информации"</t>
  </si>
  <si>
    <t>58</t>
  </si>
  <si>
    <t>Наименование органа регулирования, принявшего решение об изменении тарифов</t>
  </si>
  <si>
    <t>ИМУП «ПОСЖИЛКОМСЕРВИС»</t>
  </si>
  <si>
    <t>Наименование (описание) обособленного подразделения</t>
  </si>
  <si>
    <t>ИНН</t>
  </si>
  <si>
    <t>2983013920</t>
  </si>
  <si>
    <t>КПП</t>
  </si>
  <si>
    <t>298301001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</si>
  <si>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</si>
  <si>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</si>
  <si>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</si>
  <si>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</si>
  <si>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</si>
  <si>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</si>
  <si>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</si>
  <si>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</si>
  <si>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да</t>
  </si>
  <si>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</si>
  <si>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</si>
  <si>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</si>
  <si>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</si>
  <si>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</si>
  <si>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</si>
  <si>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</si>
  <si>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</si>
  <si>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166700,Ненецкий АО, Заполярный р-н, рп. Искателей, ул. Губкина, д.15</t>
  </si>
  <si>
    <t>Фамилия, имя, отчество руководителя</t>
  </si>
  <si>
    <t>Труфакин Николай Николаевич</t>
  </si>
  <si>
    <t>Ответственный за заполнение формы</t>
  </si>
  <si>
    <t>Фамилия, имя, отчество</t>
  </si>
  <si>
    <t>Коваленко Анна Валерьевна</t>
  </si>
  <si>
    <t>Должность</t>
  </si>
  <si>
    <t>Начальник ЭО</t>
  </si>
  <si>
    <t>Контактный телефон</t>
  </si>
  <si>
    <t>(81853)4-77-58</t>
  </si>
  <si>
    <t>E-mail</t>
  </si>
  <si>
    <t>teplovoda21@mail.ru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</si>
  <si>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</si>
  <si>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</si>
  <si>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</si>
  <si>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</si>
  <si>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</si>
  <si>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</si>
  <si>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</si>
  <si>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</si>
  <si>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</si>
  <si>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</si>
  <si>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</si>
  <si>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</si>
  <si>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</si>
  <si>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</si>
  <si>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</si>
  <si>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</si>
  <si>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</si>
  <si>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15</t>
  </si>
  <si>
    <t>"Заполярный район"</t>
  </si>
  <si>
    <t>Рабочий поселок Искателей</t>
  </si>
  <si>
    <t>11811111</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</si>
  <si>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</si>
  <si>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</si>
  <si>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</si>
  <si>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</si>
  <si>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</si>
  <si>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</si>
  <si>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</si>
  <si>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</si>
  <si>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</si>
  <si>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</si>
  <si>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</si>
  <si>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</si>
  <si>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</si>
  <si>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</si>
  <si>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</si>
  <si>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</si>
  <si>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</si>
  <si>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</si>
  <si>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</si>
  <si>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</si>
  <si>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</si>
  <si>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</si>
  <si>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</si>
  <si>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</si>
  <si>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</si>
  <si>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</si>
  <si>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</si>
  <si>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</si>
  <si>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</si>
  <si>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</si>
  <si>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</si>
  <si>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</si>
  <si>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</si>
  <si>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</si>
  <si>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</si>
  <si>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</si>
  <si>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</si>
  <si>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</si>
  <si>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</si>
  <si>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</si>
  <si>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</si>
  <si>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</si>
  <si>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</si>
  <si>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</si>
  <si>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</si>
  <si>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</si>
  <si>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</si>
  <si>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</si>
  <si>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</si>
  <si>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</si>
  <si>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</si>
  <si>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</si>
  <si>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</si>
  <si>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</si>
  <si>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</si>
  <si>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</si>
  <si>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</si>
  <si>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</si>
  <si>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</si>
  <si>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</si>
  <si>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</si>
  <si>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</si>
  <si>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</si>
  <si>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</si>
  <si>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</si>
  <si>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</si>
  <si>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</si>
  <si>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</si>
  <si>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</si>
  <si>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</si>
  <si>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</si>
  <si>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</si>
  <si>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</si>
  <si>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</si>
  <si>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</si>
  <si>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</si>
  <si>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</si>
  <si>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</si>
  <si>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</si>
  <si>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</si>
  <si>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</si>
  <si>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</si>
  <si>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</si>
  <si>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</si>
  <si>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</si>
  <si>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</si>
  <si>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</si>
  <si>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</si>
  <si>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</si>
  <si>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</si>
  <si>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</si>
  <si>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</si>
  <si>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</si>
  <si>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</si>
  <si>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</si>
  <si>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</si>
  <si>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</si>
  <si>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</si>
  <si>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</si>
  <si>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</si>
  <si>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</si>
  <si>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</si>
  <si>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</si>
  <si>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</si>
  <si>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</si>
  <si>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</si>
  <si>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</si>
  <si>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</si>
  <si>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</si>
  <si>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</si>
  <si>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</si>
  <si>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</si>
  <si>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</si>
  <si>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</si>
  <si>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</si>
  <si>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</si>
  <si>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</si>
  <si>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</si>
  <si>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</si>
  <si>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</si>
  <si>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</si>
  <si>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 xml:space="preserve">Тарифы на питьевую воду (питьевое водоснабжение), поставляемую потребителям ИМУП "Посжилкомсервис"
</t>
  </si>
  <si>
    <t>"4189671"</t>
  </si>
  <si>
    <t>pIns_PT_VTAR_A_COLDVSNA</t>
  </si>
  <si>
    <t>pt_ntar_9</t>
  </si>
  <si>
    <t>pt_ter_9</t>
  </si>
  <si>
    <t>pt_cs_9</t>
  </si>
  <si>
    <t>Добавить централизованную систему для дифференциации</t>
  </si>
  <si>
    <t>Добавить территорию для дифференциации</t>
  </si>
  <si>
    <t>×</t>
  </si>
  <si>
    <t xml:space="preserve">Льготные тарифы на питьевую воду (питьевое водоснабжение), поставляемую населению и потребителям, приравненным к населению ИМУП "Посжилкомсервис"
</t>
  </si>
  <si>
    <t>pt_ntar_30</t>
  </si>
  <si>
    <t>pt_ter_30</t>
  </si>
  <si>
    <t>pt_cs_30</t>
  </si>
  <si>
    <t>pt_ist_te_30</t>
  </si>
  <si>
    <t>Добавить наименование тарифа</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</si>
  <si>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</si>
  <si>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</si>
  <si>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</si>
  <si>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</si>
  <si>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</si>
  <si>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</si>
  <si>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</si>
  <si>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</si>
  <si>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</si>
  <si>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</si>
  <si>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</si>
  <si>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</si>
  <si>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</si>
  <si>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</si>
  <si>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</si>
  <si>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</si>
  <si>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</si>
  <si>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</si>
  <si>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</si>
  <si>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</si>
  <si>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</si>
  <si>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</si>
  <si>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</si>
  <si>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</si>
  <si>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</si>
  <si>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</si>
  <si>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</si>
  <si>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</si>
  <si>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</si>
  <si>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</si>
  <si>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</si>
  <si>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</si>
  <si>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</si>
  <si>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</si>
  <si>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</si>
  <si>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</si>
  <si>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</si>
  <si>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</si>
  <si>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</si>
  <si>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</si>
  <si>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</si>
  <si>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</si>
  <si>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</si>
  <si>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</si>
  <si>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</si>
  <si>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</si>
  <si>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</si>
  <si>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</si>
  <si>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</si>
  <si>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</si>
  <si>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</si>
  <si>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</si>
  <si>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</si>
  <si>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</si>
  <si>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</si>
  <si>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</si>
  <si>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</si>
  <si>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</si>
  <si>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</si>
  <si>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</si>
  <si>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</si>
  <si>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</si>
  <si>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</si>
  <si>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</si>
  <si>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</si>
  <si>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</si>
  <si>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</si>
  <si>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</si>
  <si>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</si>
  <si>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</si>
  <si>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</si>
  <si>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</si>
  <si>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</si>
  <si>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</si>
  <si>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</si>
  <si>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</si>
  <si>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</si>
  <si>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</si>
  <si>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</si>
  <si>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</si>
  <si>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</si>
  <si>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</si>
  <si>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</si>
  <si>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</si>
  <si>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</si>
  <si>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</si>
  <si>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</si>
  <si>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</si>
  <si>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</si>
  <si>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</si>
  <si>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</si>
  <si>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</si>
  <si>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</si>
  <si>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</si>
  <si>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</si>
  <si>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</si>
  <si>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</si>
  <si>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</si>
  <si>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</si>
  <si>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</si>
  <si>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</si>
  <si>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</si>
  <si>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</si>
  <si>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</si>
  <si>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</si>
  <si>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</si>
  <si>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</si>
  <si>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</si>
  <si>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</si>
  <si>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</si>
  <si>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</si>
  <si>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</si>
  <si>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</si>
  <si>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</si>
  <si>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</si>
  <si>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</si>
  <si>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</si>
  <si>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</si>
  <si>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</si>
  <si>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</si>
  <si>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</si>
  <si>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</si>
  <si>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</si>
  <si>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</si>
  <si>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</si>
  <si>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</si>
  <si>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</si>
  <si>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</si>
  <si>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</si>
  <si>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</si>
  <si>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</si>
  <si>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</si>
  <si>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</si>
  <si>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</si>
  <si>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</si>
  <si>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</si>
  <si>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</si>
  <si>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</si>
  <si>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</si>
  <si>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</si>
  <si>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</si>
  <si>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</si>
  <si>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</si>
  <si>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</si>
  <si>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</si>
  <si>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</si>
  <si>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</si>
  <si>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</si>
  <si>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</si>
  <si>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</si>
  <si>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</si>
  <si>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</si>
  <si>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</si>
  <si>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</si>
  <si>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</si>
  <si>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</si>
  <si>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</si>
  <si>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</si>
  <si>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</si>
  <si>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</si>
  <si>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</si>
  <si>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</si>
  <si>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</si>
  <si>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</si>
  <si>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</si>
  <si>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</si>
  <si>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</si>
  <si>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</si>
  <si>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</si>
  <si>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</si>
  <si>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</si>
  <si>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</si>
  <si>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</si>
  <si>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</si>
  <si>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</si>
  <si>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</si>
  <si>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</si>
  <si>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</si>
  <si>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</si>
  <si>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</si>
  <si>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</si>
  <si>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</si>
  <si>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</si>
  <si>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</si>
  <si>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</si>
  <si>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</si>
  <si>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</si>
  <si>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</si>
  <si>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</si>
  <si>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</si>
  <si>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</si>
  <si>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</si>
  <si>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</si>
  <si>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</si>
  <si>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</si>
  <si>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</si>
  <si>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</si>
  <si>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</si>
  <si>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</si>
  <si>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</si>
  <si>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</si>
  <si>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</si>
  <si>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</si>
  <si>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</si>
  <si>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</si>
  <si>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</si>
  <si>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</si>
  <si>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</si>
  <si>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</si>
  <si>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</si>
  <si>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</si>
  <si>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</si>
  <si>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</si>
  <si>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</si>
  <si>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</si>
  <si>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</si>
  <si>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</si>
  <si>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</si>
  <si>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</si>
  <si>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</si>
  <si>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</si>
  <si>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</si>
  <si>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</si>
  <si>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</si>
  <si>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</si>
  <si>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</si>
  <si>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</si>
  <si>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</si>
  <si>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</si>
  <si>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</si>
  <si>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</si>
  <si>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</si>
  <si>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</si>
  <si>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</si>
  <si>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</si>
  <si>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</si>
  <si>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</si>
  <si>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</si>
  <si>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</si>
  <si>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</si>
  <si>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</si>
  <si>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</si>
  <si>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</si>
  <si>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</si>
  <si>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</si>
  <si>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</si>
  <si>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</si>
  <si>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</si>
  <si>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</si>
  <si>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</si>
  <si>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</si>
  <si>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</si>
  <si>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</si>
  <si>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</si>
  <si>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</si>
  <si>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</si>
  <si>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</si>
  <si>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</si>
  <si>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</si>
  <si>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</si>
  <si>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</si>
  <si>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</si>
  <si>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</si>
  <si>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</si>
  <si>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прочие</t>
  </si>
  <si>
    <t>население</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</si>
  <si>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</si>
  <si>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</si>
  <si>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</si>
  <si>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</si>
  <si>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</si>
  <si>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</si>
  <si>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</si>
  <si>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</si>
  <si>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</si>
  <si>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</si>
  <si>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</si>
  <si>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</si>
  <si>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</si>
  <si>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</si>
  <si>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</si>
  <si>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</si>
  <si>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</si>
  <si>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</si>
  <si>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</si>
  <si>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</si>
  <si>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</si>
  <si>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</si>
  <si>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</si>
  <si>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</si>
  <si>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</si>
  <si>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</si>
  <si>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</si>
  <si>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</si>
  <si>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</si>
  <si>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</si>
  <si>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</si>
  <si>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</si>
  <si>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</si>
  <si>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</si>
  <si>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</si>
  <si>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</si>
  <si>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</si>
  <si>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</si>
  <si>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</si>
  <si>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</si>
  <si>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</si>
  <si>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</si>
  <si>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</si>
  <si>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</si>
  <si>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</si>
  <si>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</si>
  <si>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</si>
  <si>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</si>
  <si>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</si>
  <si>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</si>
  <si>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</si>
  <si>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</si>
  <si>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</si>
  <si>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</si>
  <si>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</si>
  <si>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</si>
  <si>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</si>
  <si>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</si>
  <si>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</si>
  <si>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</si>
  <si>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</si>
  <si>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</si>
  <si>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</si>
  <si>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</si>
  <si>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</si>
  <si>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</si>
  <si>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</si>
  <si>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</si>
  <si>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</si>
  <si>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</si>
  <si>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</si>
  <si>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</si>
  <si>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</si>
  <si>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</si>
  <si>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</si>
  <si>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</si>
  <si>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</si>
  <si>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</si>
  <si>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</si>
  <si>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</si>
  <si>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</si>
  <si>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</si>
  <si>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</si>
  <si>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</si>
  <si>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</si>
  <si>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</si>
  <si>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</si>
  <si>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</si>
  <si>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</si>
  <si>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</si>
  <si>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</si>
  <si>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</si>
  <si>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</si>
  <si>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</si>
  <si>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</si>
  <si>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</si>
  <si>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</si>
  <si>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</si>
  <si>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</si>
  <si>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</si>
  <si>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</si>
  <si>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</si>
  <si>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</si>
  <si>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</si>
  <si>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</si>
  <si>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</si>
  <si>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</si>
  <si>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</si>
  <si>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</si>
  <si>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</si>
  <si>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</si>
  <si>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</si>
  <si>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</si>
  <si>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</si>
  <si>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</si>
  <si>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</si>
  <si>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</si>
  <si>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</si>
  <si>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</si>
  <si>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</si>
  <si>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</si>
  <si>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</si>
  <si>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</si>
  <si>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</si>
  <si>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</si>
  <si>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</si>
  <si>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</si>
  <si>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</si>
  <si>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</si>
  <si>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</si>
  <si>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</si>
  <si>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</si>
  <si>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</si>
  <si>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</si>
  <si>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</si>
  <si>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</si>
  <si>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</si>
  <si>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</si>
  <si>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</si>
  <si>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</si>
  <si>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</si>
  <si>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</si>
  <si>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</si>
  <si>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</si>
  <si>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</si>
  <si>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</si>
  <si>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</si>
  <si>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</si>
  <si>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</si>
  <si>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</si>
  <si>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</si>
  <si>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</si>
  <si>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</si>
  <si>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</si>
  <si>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</si>
  <si>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</si>
  <si>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</si>
  <si>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</si>
  <si>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</si>
  <si>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</si>
  <si>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</si>
  <si>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</si>
  <si>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</si>
  <si>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</si>
  <si>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</si>
  <si>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</si>
  <si>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</si>
  <si>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</si>
  <si>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</si>
  <si>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</si>
  <si>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</si>
  <si>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</si>
  <si>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</si>
  <si>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</si>
  <si>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</si>
  <si>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</si>
  <si>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</si>
  <si>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</si>
  <si>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</si>
  <si>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</si>
  <si>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</si>
  <si>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</si>
  <si>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</si>
  <si>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</si>
  <si>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</si>
  <si>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</si>
  <si>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</si>
  <si>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</si>
  <si>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</si>
  <si>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</si>
  <si>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</si>
  <si>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</si>
  <si>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</si>
  <si>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</si>
  <si>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</si>
  <si>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</si>
  <si>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</si>
  <si>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</si>
  <si>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</si>
  <si>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</si>
  <si>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</si>
  <si>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</si>
  <si>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</si>
  <si>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</si>
  <si>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</si>
  <si>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</si>
  <si>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</si>
  <si>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</si>
  <si>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</si>
  <si>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</si>
  <si>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</si>
  <si>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</si>
  <si>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</si>
  <si>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</si>
  <si>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</si>
  <si>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</si>
  <si>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</si>
  <si>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</si>
  <si>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</si>
  <si>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</si>
  <si>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</si>
  <si>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</si>
  <si>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</si>
  <si>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</si>
  <si>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</si>
  <si>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</si>
  <si>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</si>
  <si>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</si>
  <si>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</si>
  <si>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</si>
  <si>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</si>
  <si>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</si>
  <si>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</si>
  <si>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</si>
  <si>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</si>
  <si>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</si>
  <si>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</si>
  <si>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</si>
  <si>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</si>
  <si>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</si>
  <si>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</si>
  <si>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</si>
  <si>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</si>
  <si>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</si>
  <si>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</si>
  <si>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</si>
  <si>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</si>
  <si>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</si>
  <si>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</si>
  <si>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</si>
  <si>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</si>
  <si>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</si>
  <si>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</si>
  <si>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</si>
  <si>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</si>
  <si>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</si>
  <si>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</si>
  <si>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</si>
  <si>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</si>
  <si>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</si>
  <si>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</si>
  <si>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</si>
  <si>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</si>
  <si>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</si>
  <si>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</si>
  <si>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</si>
  <si>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</si>
  <si>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</si>
  <si>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</si>
  <si>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</si>
  <si>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</si>
  <si>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</si>
  <si>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</si>
  <si>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</si>
  <si>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</si>
  <si>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</si>
  <si>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</si>
  <si>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</si>
  <si>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</si>
  <si>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</si>
  <si>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</si>
  <si>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</si>
  <si>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</si>
  <si>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</si>
  <si>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</si>
  <si>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</si>
  <si>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</si>
  <si>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</si>
  <si>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</si>
  <si>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</si>
  <si>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</si>
  <si>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</si>
  <si>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</si>
  <si>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</si>
  <si>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</si>
  <si>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</si>
  <si>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</si>
  <si>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</si>
  <si>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</si>
  <si>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</si>
  <si>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</si>
  <si>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</si>
  <si>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</si>
  <si>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</si>
  <si>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</si>
  <si>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</si>
  <si>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</si>
  <si>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</si>
  <si>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</si>
  <si>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</si>
  <si>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</si>
  <si>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</si>
  <si>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</si>
  <si>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</si>
  <si>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</si>
  <si>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</si>
  <si>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</si>
  <si>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</si>
  <si>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</si>
  <si>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</si>
  <si>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</si>
  <si>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</si>
  <si>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</si>
  <si>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</si>
  <si>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</si>
  <si>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</si>
  <si>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</si>
  <si>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</si>
  <si>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</si>
  <si>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</si>
  <si>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</si>
  <si>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</si>
  <si>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</si>
  <si>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</si>
  <si>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</si>
  <si>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</si>
  <si>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</si>
  <si>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</si>
  <si>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</si>
  <si>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</si>
  <si>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</si>
  <si>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</si>
  <si>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</si>
  <si>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</si>
  <si>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</si>
  <si>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</si>
  <si>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</si>
  <si>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</si>
  <si>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</si>
  <si>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</si>
  <si>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</si>
  <si>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</si>
  <si>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</si>
  <si>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</si>
  <si>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</si>
  <si>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</si>
  <si>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</si>
  <si>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</si>
  <si>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</si>
  <si>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</si>
  <si>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</si>
  <si>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</si>
  <si>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</si>
  <si>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</si>
  <si>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</si>
  <si>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</si>
  <si>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</si>
  <si>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</si>
  <si>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</si>
  <si>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</si>
  <si>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</si>
  <si>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</si>
  <si>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</si>
  <si>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</si>
  <si>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</si>
  <si>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</si>
  <si>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</si>
  <si>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</si>
  <si>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</si>
  <si>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</si>
  <si>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</si>
  <si>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</si>
  <si>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</si>
  <si>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</si>
  <si>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</si>
  <si>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</si>
  <si>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</si>
  <si>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</si>
  <si>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</si>
  <si>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</si>
  <si>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</si>
  <si>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</si>
  <si>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</si>
  <si>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</si>
  <si>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</si>
  <si>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</si>
  <si>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</si>
  <si>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</si>
  <si>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</si>
  <si>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</si>
  <si>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</si>
  <si>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</si>
  <si>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</si>
  <si>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</si>
  <si>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</si>
  <si>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</si>
  <si>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</si>
  <si>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</si>
  <si>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</si>
  <si>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</si>
  <si>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</si>
  <si>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</si>
  <si>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</si>
  <si>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</si>
  <si>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</si>
  <si>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</si>
  <si>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</si>
  <si>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</si>
  <si>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</si>
  <si>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</si>
  <si>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</si>
  <si>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</si>
  <si>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</si>
  <si>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</si>
  <si>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</si>
  <si>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</si>
  <si>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</si>
  <si>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</si>
  <si>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</si>
  <si>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</si>
  <si>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</si>
  <si>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</si>
  <si>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</si>
  <si>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</si>
  <si>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</si>
  <si>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</si>
  <si>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</si>
  <si>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</si>
  <si>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</si>
  <si>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</si>
  <si>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</si>
  <si>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</si>
  <si>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</si>
  <si>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</si>
  <si>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</si>
  <si>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</si>
  <si>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</si>
  <si>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</si>
  <si>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</si>
  <si>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</si>
  <si>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</si>
  <si>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</si>
  <si>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</si>
  <si>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</si>
  <si>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</si>
  <si>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</si>
  <si>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</si>
  <si>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</si>
  <si>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</si>
  <si>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</si>
  <si>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</si>
  <si>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</si>
  <si>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</si>
  <si>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</si>
  <si>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</si>
  <si>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</si>
  <si>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</si>
  <si>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</si>
  <si>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</si>
  <si>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</si>
  <si>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</si>
  <si>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</si>
  <si>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</si>
  <si>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</si>
  <si>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</si>
  <si>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</si>
  <si>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</si>
  <si>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</si>
  <si>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</si>
  <si>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</si>
  <si>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</si>
  <si>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</si>
  <si>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</si>
  <si>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</si>
  <si>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</si>
  <si>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</si>
  <si>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</si>
  <si>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</si>
  <si>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</si>
  <si>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</si>
  <si>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</si>
  <si>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</si>
  <si>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</si>
  <si>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</si>
  <si>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</si>
  <si>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</si>
  <si>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</si>
  <si>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</si>
  <si>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</si>
  <si>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</si>
  <si>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</si>
  <si>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</si>
  <si>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</si>
  <si>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</si>
  <si>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</si>
  <si>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</si>
  <si>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</si>
  <si>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</si>
  <si>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</si>
  <si>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</si>
  <si>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</si>
  <si>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</si>
  <si>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</si>
  <si>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</si>
  <si>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</si>
  <si>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</si>
  <si>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</si>
  <si>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</si>
  <si>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</si>
  <si>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</si>
  <si>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</si>
  <si>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</si>
  <si>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</si>
  <si>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</si>
  <si>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</si>
  <si>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</si>
  <si>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</si>
  <si>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</si>
  <si>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</si>
  <si>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</si>
  <si>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</si>
  <si>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</si>
  <si>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</si>
  <si>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</si>
  <si>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</si>
  <si>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</si>
  <si>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</si>
  <si>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</si>
  <si>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</si>
  <si>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</si>
  <si>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</si>
  <si>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</si>
  <si>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</si>
  <si>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</si>
  <si>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</si>
  <si>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</si>
  <si>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</si>
  <si>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</si>
  <si>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</si>
  <si>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</si>
  <si>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</si>
  <si>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</si>
  <si>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</si>
  <si>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</si>
  <si>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</si>
  <si>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</si>
  <si>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</si>
  <si>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</si>
  <si>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</si>
  <si>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</si>
  <si>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</si>
  <si>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</si>
  <si>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</si>
  <si>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</si>
  <si>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</si>
  <si>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</si>
  <si>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</si>
  <si>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</si>
  <si>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</si>
  <si>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</si>
  <si>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</si>
  <si>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</si>
  <si>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</si>
  <si>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</si>
  <si>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</si>
  <si>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</si>
  <si>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</si>
  <si>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</si>
  <si>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</si>
  <si>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</si>
  <si>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</si>
  <si>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</si>
  <si>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</si>
  <si>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</si>
  <si>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</si>
  <si>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</si>
  <si>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</si>
  <si>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</si>
  <si>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</si>
  <si>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</si>
  <si>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</si>
  <si>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</si>
  <si>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</si>
  <si>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</si>
  <si>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</si>
  <si>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</si>
  <si>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</si>
  <si>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</si>
  <si>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</si>
  <si>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</si>
  <si>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</si>
  <si>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</si>
  <si>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</si>
  <si>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</si>
  <si>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</si>
  <si>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</si>
  <si>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</si>
  <si>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</si>
  <si>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</si>
  <si>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</si>
  <si>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</si>
  <si>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</si>
  <si>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</si>
  <si>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</si>
  <si>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</si>
  <si>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</si>
  <si>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</si>
  <si>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</si>
  <si>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</si>
  <si>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</si>
  <si>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</si>
  <si>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</si>
  <si>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</si>
  <si>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</si>
  <si>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</si>
  <si>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</si>
  <si>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</si>
  <si>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</si>
  <si>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</si>
  <si>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</si>
  <si>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</si>
  <si>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</si>
  <si>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</si>
  <si>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</si>
  <si>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</si>
  <si>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</si>
  <si>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</si>
  <si>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</si>
  <si>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</si>
  <si>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http://pzhksnao.ru/</t>
  </si>
  <si>
    <t>https://portal.eias.ru/Portal/DownloadPage.aspx?type=12&amp;guid=14239de6-deab-4652-9b97-f472f8d9e9cb</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</si>
  <si>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</si>
  <si>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https://portal.eias.ru/Portal/DownloadPage.aspx?type=12&amp;guid=d542495d-8eeb-49e7-b4bc-7e51293bb8d1</t>
  </si>
  <si>
    <t>Перечень документов и сведений, представляемых одновременно с заявкой о подключении к централизованной системе холодного водоснабжения, и указание на запрет требовать представления документов и сведений или осуществления действий</t>
  </si>
  <si>
    <t>https://portal.eias.ru/Portal/DownloadPage.aspx?type=12&amp;guid=5168bcff-8483-4253-a6de-16ac1e7a9da3</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</si>
  <si>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</si>
  <si>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https://portal.eias.ru/Portal/DownloadPage.aspx?type=12&amp;guid=28cd6256-db5a-4511-8325-83af0eefcae9</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</si>
  <si>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</si>
  <si>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</si>
  <si>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(81853) 4-77-50, 4-80-15</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</si>
  <si>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</si>
  <si>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</si>
  <si>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р.п. Искателей, ул. Губкина, д.15</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</si>
  <si>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</si>
  <si>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понедельник-пятница: с 08:00 до 17:00</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</si>
  <si>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</si>
  <si>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</si>
  <si>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</si>
  <si>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</si>
  <si>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</si>
  <si>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</si>
  <si>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</si>
  <si>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</si>
  <si>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</si>
  <si>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</si>
  <si>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</si>
  <si>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</si>
  <si>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</si>
  <si>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</si>
  <si>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</si>
  <si>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</si>
  <si>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</si>
  <si>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</si>
  <si>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</si>
  <si>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</si>
  <si>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</si>
  <si>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</si>
  <si>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</si>
  <si>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</si>
  <si>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</si>
  <si>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</si>
  <si>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</si>
  <si>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</si>
  <si>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</si>
  <si>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</si>
  <si>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</si>
  <si>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</si>
  <si>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</si>
  <si>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</si>
  <si>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</si>
  <si>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</si>
  <si>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</si>
  <si>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</si>
  <si>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</si>
  <si>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</si>
  <si>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</si>
  <si>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</si>
  <si>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</si>
  <si>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</si>
  <si>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</si>
  <si>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</si>
  <si>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</si>
  <si>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</si>
  <si>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</si>
  <si>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</si>
  <si>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</si>
  <si>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</si>
  <si>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</si>
  <si>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</si>
  <si>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</si>
  <si>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</si>
  <si>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</si>
  <si>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</si>
  <si>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</si>
  <si>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</si>
  <si>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</si>
  <si>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</si>
  <si>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</si>
  <si>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</si>
  <si>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</si>
  <si>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</si>
  <si>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</si>
  <si>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</si>
  <si>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</si>
  <si>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</si>
  <si>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</si>
  <si>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первичное раскрытие информации</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</si>
  <si>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</si>
  <si>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</si>
  <si>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</si>
  <si>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</si>
  <si>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</si>
  <si>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</si>
  <si>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</si>
  <si>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</si>
  <si>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</si>
  <si>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</si>
  <si>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</si>
  <si>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</si>
  <si>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</si>
  <si>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</si>
  <si>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</si>
  <si>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</si>
  <si>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</si>
  <si>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</si>
  <si>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</si>
  <si>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</si>
  <si>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</si>
  <si>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</si>
  <si>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</si>
  <si>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</si>
  <si>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</si>
  <si>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</si>
  <si>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</si>
  <si>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</si>
  <si>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</si>
  <si>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</si>
  <si>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</si>
  <si>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</si>
  <si>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</si>
  <si>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</si>
  <si>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</si>
  <si>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</si>
  <si>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</si>
  <si>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</si>
  <si>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</si>
  <si>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</si>
  <si>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</si>
  <si>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</si>
  <si>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</si>
  <si>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</si>
  <si>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</si>
  <si>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</si>
  <si>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</si>
  <si>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</si>
  <si>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</si>
  <si>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</si>
  <si>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</si>
  <si>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</si>
  <si>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</si>
  <si>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</si>
  <si>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</si>
  <si>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</si>
  <si>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</si>
  <si>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</si>
  <si>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</si>
  <si>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</si>
  <si>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</si>
  <si>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</si>
  <si>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</si>
  <si>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</si>
  <si>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</si>
  <si>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</si>
  <si>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</si>
  <si>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</si>
  <si>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</si>
  <si>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</si>
  <si>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</si>
  <si>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</si>
  <si>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</si>
  <si>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</si>
  <si>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</si>
  <si>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</si>
  <si>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</si>
  <si>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</si>
  <si>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</si>
  <si>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</si>
  <si>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</si>
  <si>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</si>
  <si>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</si>
  <si>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</si>
  <si>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</si>
  <si>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</si>
  <si>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</si>
  <si>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</si>
  <si>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</si>
  <si>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</si>
  <si>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</si>
  <si>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</si>
  <si>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</si>
  <si>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</si>
  <si>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</si>
  <si>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</si>
  <si>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</si>
  <si>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</si>
  <si>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</si>
  <si>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</si>
  <si>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</si>
  <si>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</si>
  <si>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</si>
  <si>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</si>
  <si>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</si>
  <si>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</si>
  <si>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</si>
  <si>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</si>
  <si>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</si>
  <si>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</si>
  <si>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</si>
  <si>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</si>
  <si>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</si>
  <si>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</si>
  <si>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</si>
  <si>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</si>
  <si>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</si>
  <si>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</si>
  <si>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</si>
  <si>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</si>
  <si>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</si>
  <si>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</si>
  <si>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</si>
  <si>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</si>
  <si>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</si>
  <si>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</si>
  <si>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</si>
  <si>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</si>
  <si>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</si>
  <si>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</si>
  <si>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</si>
  <si>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</si>
  <si>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</si>
  <si>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</si>
  <si>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</si>
  <si>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</si>
  <si>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</si>
  <si>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</si>
  <si>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</si>
  <si>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</si>
  <si>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</si>
  <si>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</si>
  <si>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</si>
  <si>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</si>
  <si>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</si>
  <si>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</si>
  <si>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</si>
  <si>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</si>
  <si>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</si>
  <si>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</si>
  <si>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</si>
  <si>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</si>
  <si>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</si>
  <si>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</si>
  <si>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</si>
  <si>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</si>
  <si>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</si>
  <si>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</si>
  <si>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</si>
  <si>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</si>
  <si>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</si>
  <si>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</si>
  <si>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</si>
  <si>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</si>
  <si>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</si>
  <si>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</si>
  <si>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</si>
  <si>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</si>
  <si>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</si>
  <si>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</si>
  <si>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</si>
  <si>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</si>
  <si>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</si>
  <si>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</si>
  <si>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</si>
  <si>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</si>
  <si>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</si>
  <si>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</si>
  <si>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</si>
  <si>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</si>
  <si>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</si>
  <si>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</si>
  <si>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</si>
  <si>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</si>
  <si>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</si>
  <si>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</si>
  <si>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</si>
  <si>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</si>
  <si>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</si>
  <si>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</si>
  <si>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</si>
  <si>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</si>
  <si>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</si>
  <si>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</si>
  <si>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</si>
  <si>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</si>
  <si>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</si>
  <si>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</si>
  <si>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</si>
  <si>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</si>
  <si>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</si>
  <si>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</si>
  <si>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</si>
  <si>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</si>
  <si>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</si>
  <si>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</si>
  <si>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</si>
  <si>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</si>
  <si>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</si>
  <si>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</si>
  <si>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</si>
  <si>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</si>
  <si>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</si>
  <si>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</si>
  <si>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</si>
  <si>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</si>
  <si>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</si>
  <si>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</si>
  <si>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</si>
  <si>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</si>
  <si>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</si>
  <si>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</si>
  <si>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</si>
  <si>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</si>
  <si>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</si>
  <si>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</si>
  <si>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</si>
  <si>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</si>
  <si>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</si>
  <si>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</si>
  <si>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</si>
  <si>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</si>
  <si>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</si>
  <si>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</si>
  <si>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</si>
  <si>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</si>
  <si>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</si>
  <si>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</si>
  <si>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</si>
  <si>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</si>
  <si>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</si>
  <si>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</si>
  <si>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</si>
  <si>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</si>
  <si>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</si>
  <si>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</si>
  <si>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</si>
  <si>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</si>
  <si>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</si>
  <si>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</si>
  <si>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</si>
  <si>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</si>
  <si>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</si>
  <si>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</si>
  <si>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</si>
  <si>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</si>
  <si>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</si>
  <si>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</si>
  <si>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</si>
  <si>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</si>
  <si>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</si>
  <si>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</si>
  <si>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</si>
  <si>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</si>
  <si>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</si>
  <si>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</si>
  <si>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</si>
  <si>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</si>
  <si>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</si>
  <si>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</si>
  <si>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</si>
  <si>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</si>
  <si>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</si>
  <si>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</si>
  <si>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</si>
  <si>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</si>
  <si>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</si>
  <si>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</si>
  <si>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</si>
  <si>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</si>
  <si>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</si>
  <si>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</si>
  <si>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</si>
  <si>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</si>
  <si>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</si>
  <si>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</si>
  <si>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</si>
  <si>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</si>
  <si>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</si>
  <si>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</si>
  <si>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</si>
  <si>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</si>
  <si>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</si>
  <si>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</si>
  <si>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</si>
  <si>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</si>
  <si>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</si>
  <si>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</si>
  <si>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</si>
  <si>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</si>
  <si>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</si>
  <si>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</si>
  <si>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</si>
  <si>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</si>
  <si>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</si>
  <si>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</si>
  <si>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</si>
  <si>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</si>
  <si>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</si>
  <si>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</si>
  <si>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</si>
  <si>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</si>
  <si>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</si>
  <si>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</si>
  <si>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</si>
  <si>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</si>
  <si>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</si>
  <si>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</si>
  <si>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</si>
  <si>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</si>
  <si>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</si>
  <si>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</si>
  <si>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</si>
  <si>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</si>
  <si>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</si>
  <si>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</si>
  <si>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</si>
  <si>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</si>
  <si>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</si>
  <si>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</si>
  <si>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</si>
  <si>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</si>
  <si>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</si>
  <si>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</si>
  <si>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</si>
  <si>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</si>
  <si>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</si>
  <si>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</si>
  <si>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</si>
  <si>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</si>
  <si>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</si>
  <si>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</si>
  <si>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</si>
  <si>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</si>
  <si>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</si>
  <si>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</si>
  <si>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</si>
  <si>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</si>
  <si>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</si>
  <si>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</si>
  <si>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</si>
  <si>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</si>
  <si>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</si>
  <si>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</si>
  <si>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</si>
  <si>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</si>
  <si>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</si>
  <si>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</si>
  <si>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</si>
  <si>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</si>
  <si>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</si>
  <si>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</si>
  <si>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</si>
  <si>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</si>
  <si>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</si>
  <si>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</si>
  <si>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</si>
  <si>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</si>
  <si>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</si>
  <si>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</si>
  <si>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</si>
  <si>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</si>
  <si>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</si>
  <si>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</si>
  <si>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</si>
  <si>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</si>
  <si>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</si>
  <si>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</si>
  <si>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</si>
  <si>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</si>
  <si>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</si>
  <si>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</si>
  <si>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</si>
  <si>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</si>
  <si>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</si>
  <si>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</si>
  <si>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</si>
  <si>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</si>
  <si>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</si>
  <si>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</si>
  <si>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</si>
  <si>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</si>
  <si>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</si>
  <si>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</si>
  <si>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</si>
  <si>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</si>
  <si>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</si>
  <si>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</si>
  <si>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</si>
  <si>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</si>
  <si>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</si>
  <si>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</si>
  <si>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</si>
  <si>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</si>
  <si>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</si>
  <si>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</si>
  <si>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</si>
  <si>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</si>
  <si>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</si>
  <si>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</si>
  <si>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</si>
  <si>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</si>
  <si>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</si>
  <si>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</si>
  <si>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</si>
  <si>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</si>
  <si>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</si>
  <si>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</si>
  <si>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</si>
  <si>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</si>
  <si>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</si>
  <si>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P</t>
  </si>
  <si>
    <t>CodeTemplate</t>
  </si>
  <si>
    <t>StartDate</t>
  </si>
  <si>
    <t>EndDate</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</si>
  <si>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</si>
  <si>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</si>
  <si>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</si>
  <si>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</si>
  <si>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</si>
  <si>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</si>
  <si>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</si>
  <si>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</si>
  <si>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</si>
  <si>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</si>
  <si>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</si>
  <si>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</si>
  <si>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</si>
  <si>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</si>
  <si>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</si>
  <si>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</si>
  <si>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</si>
  <si>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</si>
  <si>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</si>
  <si>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</si>
  <si>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</si>
  <si>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</si>
  <si>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</si>
  <si>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</si>
  <si>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</si>
  <si>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</si>
  <si>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</si>
  <si>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</si>
  <si>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</si>
  <si>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</si>
  <si>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</si>
  <si>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</si>
  <si>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</si>
  <si>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</si>
  <si>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</si>
  <si>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</si>
  <si>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</si>
  <si>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</si>
  <si>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</si>
  <si>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</si>
  <si>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</si>
  <si>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</si>
  <si>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</si>
  <si>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</si>
  <si>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</si>
  <si>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</si>
  <si>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</si>
  <si>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</si>
  <si>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</si>
  <si>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</si>
  <si>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</si>
  <si>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</si>
  <si>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</si>
  <si>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</si>
  <si>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</si>
  <si>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</si>
  <si>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Республика Марий Эл</t>
  </si>
  <si>
    <t>NTAR_ID</t>
  </si>
  <si>
    <t>301</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</si>
  <si>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</si>
  <si>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</si>
  <si>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</si>
  <si>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</si>
  <si>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</si>
  <si>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</si>
  <si>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</si>
  <si>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</si>
  <si>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</si>
  <si>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</si>
  <si>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</si>
  <si>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</si>
  <si>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</si>
  <si>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</si>
  <si>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</si>
  <si>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</si>
  <si>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</si>
  <si>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</si>
  <si>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</si>
  <si>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</si>
  <si>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</si>
  <si>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</si>
  <si>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</si>
  <si>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</si>
  <si>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</si>
  <si>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</si>
  <si>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</si>
  <si>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</si>
  <si>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</si>
  <si>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</si>
  <si>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</si>
  <si>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</si>
  <si>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</si>
  <si>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</si>
  <si>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</si>
  <si>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</si>
  <si>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</si>
  <si>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</si>
  <si>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</si>
  <si>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</si>
  <si>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</si>
  <si>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</si>
  <si>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</si>
  <si>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</si>
  <si>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</si>
  <si>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</si>
  <si>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</si>
  <si>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</si>
  <si>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</si>
  <si>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</si>
  <si>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</si>
  <si>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</si>
  <si>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</si>
  <si>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</si>
  <si>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</si>
  <si>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</si>
  <si>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</si>
  <si>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</si>
  <si>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</si>
  <si>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</si>
  <si>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</si>
  <si>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</si>
  <si>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</si>
  <si>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</si>
  <si>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</si>
  <si>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</si>
  <si>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</si>
  <si>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</si>
  <si>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</si>
  <si>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</si>
  <si>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</si>
  <si>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</si>
  <si>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</si>
  <si>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</si>
  <si>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</si>
  <si>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</si>
  <si>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</si>
  <si>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</si>
  <si>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</si>
  <si>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</si>
  <si>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</si>
  <si>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</si>
  <si>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</si>
  <si>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</si>
  <si>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</si>
  <si>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</si>
  <si>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</si>
  <si>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</si>
  <si>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</si>
  <si>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</si>
  <si>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</si>
  <si>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</si>
  <si>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</si>
  <si>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</si>
  <si>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</si>
  <si>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</si>
  <si>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</si>
  <si>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</si>
  <si>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</si>
  <si>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</si>
  <si>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</si>
  <si>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</si>
  <si>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</si>
  <si>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</si>
  <si>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</si>
  <si>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</si>
  <si>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</si>
  <si>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</si>
  <si>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</si>
  <si>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</si>
  <si>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</si>
  <si>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</si>
  <si>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</si>
  <si>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</si>
  <si>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</si>
  <si>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</si>
  <si>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</si>
  <si>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</si>
  <si>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</si>
  <si>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</si>
  <si>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</si>
  <si>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</si>
  <si>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</si>
  <si>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</si>
  <si>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</si>
  <si>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</si>
  <si>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</si>
  <si>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</si>
  <si>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</si>
  <si>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</si>
  <si>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</si>
  <si>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</si>
  <si>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</si>
  <si>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</si>
  <si>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</si>
  <si>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</si>
  <si>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</si>
  <si>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</si>
  <si>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</si>
  <si>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</si>
  <si>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</si>
  <si>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</si>
  <si>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</si>
  <si>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</si>
  <si>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</si>
  <si>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</si>
  <si>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</si>
  <si>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</si>
  <si>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</si>
  <si>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</si>
  <si>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</si>
  <si>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</si>
  <si>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</si>
  <si>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</si>
  <si>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</si>
  <si>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</si>
  <si>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</si>
  <si>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</si>
  <si>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</si>
  <si>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</si>
  <si>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</si>
  <si>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</si>
  <si>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</si>
  <si>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</si>
  <si>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</si>
  <si>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</si>
  <si>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</si>
  <si>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</si>
  <si>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</si>
  <si>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</si>
  <si>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</si>
  <si>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</si>
  <si>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</si>
  <si>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</si>
  <si>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</si>
  <si>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</si>
  <si>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</si>
  <si>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</si>
  <si>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</si>
  <si>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</si>
  <si>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</si>
  <si>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</si>
  <si>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</si>
  <si>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</si>
  <si>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</si>
  <si>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</si>
  <si>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</si>
  <si>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</si>
  <si>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</si>
  <si>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</si>
  <si>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</si>
  <si>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</si>
  <si>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</si>
  <si>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</si>
  <si>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приказ УГРЦТ НАО № 5 от 16.12.2024</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</si>
  <si>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</si>
  <si>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</si>
  <si>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</si>
  <si>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</si>
  <si>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</si>
  <si>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</si>
  <si>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</si>
  <si>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</si>
  <si>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</si>
  <si>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</si>
  <si>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</si>
  <si>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</si>
  <si>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</si>
  <si>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</si>
  <si>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</si>
  <si>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</si>
  <si>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</si>
  <si>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</si>
  <si>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</si>
  <si>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</si>
  <si>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</si>
  <si>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</si>
  <si>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</si>
  <si>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</si>
  <si>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</si>
  <si>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</si>
  <si>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</si>
  <si>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</si>
  <si>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</si>
  <si>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</si>
  <si>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</si>
  <si>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</si>
  <si>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</si>
  <si>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</si>
  <si>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</si>
  <si>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</si>
  <si>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</si>
  <si>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</si>
  <si>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</si>
  <si>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</si>
  <si>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</si>
  <si>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</si>
  <si>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</si>
  <si>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</si>
  <si>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</si>
  <si>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</si>
  <si>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</si>
  <si>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</si>
  <si>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</si>
  <si>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</si>
  <si>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</si>
  <si>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</si>
  <si>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</si>
  <si>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</si>
  <si>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</si>
  <si>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</si>
  <si>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</si>
  <si>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</si>
  <si>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</si>
  <si>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</si>
  <si>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</si>
  <si>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</si>
  <si>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</si>
  <si>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</si>
  <si>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</si>
  <si>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</si>
  <si>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</si>
  <si>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</si>
  <si>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</si>
  <si>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</si>
  <si>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</si>
  <si>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</si>
  <si>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</si>
  <si>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</si>
  <si>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</si>
  <si>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</si>
  <si>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</si>
  <si>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</si>
  <si>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</si>
  <si>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</si>
  <si>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</si>
  <si>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</si>
  <si>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</si>
  <si>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</si>
  <si>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</si>
  <si>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</si>
  <si>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</si>
  <si>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</si>
  <si>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</si>
  <si>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</si>
  <si>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</si>
  <si>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</si>
  <si>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</si>
  <si>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</si>
  <si>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</si>
  <si>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</si>
  <si>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</si>
  <si>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</si>
  <si>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</si>
  <si>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</si>
  <si>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</si>
  <si>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</si>
  <si>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</si>
  <si>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</si>
  <si>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</si>
  <si>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</si>
  <si>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</si>
  <si>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</si>
  <si>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</si>
  <si>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</si>
  <si>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</si>
  <si>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</si>
  <si>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</si>
  <si>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</si>
  <si>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</si>
  <si>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</si>
  <si>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</si>
  <si>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</si>
  <si>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</si>
  <si>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</si>
  <si>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</si>
  <si>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</si>
  <si>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</si>
  <si>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</si>
  <si>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</si>
  <si>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</si>
  <si>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</si>
  <si>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</si>
  <si>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</si>
  <si>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</si>
  <si>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</si>
  <si>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</si>
  <si>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</si>
  <si>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</si>
  <si>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</si>
  <si>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</si>
  <si>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</si>
  <si>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</si>
  <si>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</si>
  <si>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</si>
  <si>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</si>
  <si>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</si>
  <si>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</si>
  <si>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</si>
  <si>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</si>
  <si>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</si>
  <si>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</si>
  <si>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</si>
  <si>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</si>
  <si>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</si>
  <si>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</si>
  <si>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</si>
  <si>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</si>
  <si>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</si>
  <si>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</si>
  <si>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</si>
  <si>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</si>
  <si>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</si>
  <si>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</si>
  <si>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</si>
  <si>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</si>
  <si>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</si>
  <si>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</si>
  <si>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</si>
  <si>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</si>
  <si>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</si>
  <si>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</si>
  <si>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</si>
  <si>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</si>
  <si>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</si>
  <si>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</si>
  <si>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</si>
  <si>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</si>
  <si>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</si>
  <si>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</si>
  <si>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</si>
  <si>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</si>
  <si>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</si>
  <si>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</si>
  <si>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</si>
  <si>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</si>
  <si>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</si>
  <si>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</si>
  <si>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</si>
  <si>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</si>
  <si>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</si>
  <si>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</si>
  <si>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</si>
  <si>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</si>
  <si>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</si>
  <si>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</si>
  <si>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</si>
  <si>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</si>
  <si>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</si>
  <si>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</si>
  <si>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</si>
  <si>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</si>
  <si>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</si>
  <si>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</si>
  <si>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</si>
  <si>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</si>
  <si>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</si>
  <si>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</si>
  <si>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</si>
  <si>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</si>
  <si>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</si>
  <si>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</si>
  <si>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</si>
  <si>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</si>
  <si>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</si>
  <si>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</si>
  <si>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</si>
  <si>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</si>
  <si>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</si>
  <si>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</si>
  <si>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</si>
  <si>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</si>
  <si>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</si>
  <si>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</si>
  <si>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</si>
  <si>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</si>
  <si>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</si>
  <si>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</si>
  <si>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</si>
  <si>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</si>
  <si>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</si>
  <si>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</si>
  <si>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</si>
  <si>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</si>
  <si>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</si>
  <si>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</si>
  <si>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</si>
  <si>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</si>
  <si>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</si>
  <si>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</si>
  <si>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</si>
  <si>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</si>
  <si>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</si>
  <si>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</si>
  <si>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</si>
  <si>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</si>
  <si>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</si>
  <si>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</si>
  <si>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</si>
  <si>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</si>
  <si>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</si>
  <si>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</si>
  <si>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</si>
  <si>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</si>
  <si>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</si>
  <si>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</si>
  <si>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</si>
  <si>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</si>
  <si>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</si>
  <si>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</si>
  <si>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</si>
  <si>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</si>
  <si>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</si>
  <si>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</si>
  <si>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</si>
  <si>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</si>
  <si>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</si>
  <si>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</si>
  <si>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</si>
  <si>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</si>
  <si>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</si>
  <si>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</si>
  <si>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</si>
  <si>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</si>
  <si>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</si>
  <si>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</si>
  <si>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</si>
  <si>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</si>
  <si>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</si>
  <si>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</si>
  <si>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</si>
  <si>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</si>
  <si>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</si>
  <si>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</si>
  <si>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</si>
  <si>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</si>
  <si>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</si>
  <si>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</si>
  <si>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</si>
  <si>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</si>
  <si>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</si>
  <si>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</si>
  <si>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</si>
  <si>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</si>
  <si>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</si>
  <si>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</si>
  <si>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</si>
  <si>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</si>
  <si>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</si>
  <si>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</si>
  <si>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</si>
  <si>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</si>
  <si>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</si>
  <si>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</si>
  <si>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</si>
  <si>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</si>
  <si>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</si>
  <si>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</si>
  <si>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</si>
  <si>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</si>
  <si>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</si>
  <si>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</si>
  <si>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</si>
  <si>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</si>
  <si>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</si>
  <si>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</si>
  <si>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</si>
  <si>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</si>
  <si>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</si>
  <si>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</si>
  <si>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</si>
  <si>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</si>
  <si>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</si>
  <si>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</si>
  <si>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</si>
  <si>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</si>
  <si>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</si>
  <si>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</si>
  <si>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</si>
  <si>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</si>
  <si>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</si>
  <si>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</si>
  <si>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</si>
  <si>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</si>
  <si>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</si>
  <si>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</si>
  <si>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</si>
  <si>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</si>
  <si>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</si>
  <si>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</si>
  <si>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</si>
  <si>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</si>
  <si>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</si>
  <si>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</si>
  <si>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</si>
  <si>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</si>
  <si>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</si>
  <si>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</si>
  <si>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</si>
  <si>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</si>
  <si>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</si>
  <si>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</si>
  <si>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</si>
  <si>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</si>
  <si>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</si>
  <si>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36326</t>
  </si>
  <si>
    <t>30335229</t>
  </si>
  <si>
    <t>АО "ГУ ЖКХ"</t>
  </si>
  <si>
    <t>5116000922</t>
  </si>
  <si>
    <t>770401001</t>
  </si>
  <si>
    <t>26361174</t>
  </si>
  <si>
    <t>ГУП НАО "Нарьян-Марская электростанция"</t>
  </si>
  <si>
    <t>8300010188</t>
  </si>
  <si>
    <t>26361179</t>
  </si>
  <si>
    <t>ГУП НАО "Ненецкая коммунальная компания"</t>
  </si>
  <si>
    <t>8301002408</t>
  </si>
  <si>
    <t>26468919</t>
  </si>
  <si>
    <t>МП ЗР "Севержилкомсервис"</t>
  </si>
  <si>
    <t>8300010685</t>
  </si>
  <si>
    <t>26371616</t>
  </si>
  <si>
    <t>МУП "Коммунальщик" МО "Приморско-Куйский сельсовет"</t>
  </si>
  <si>
    <t>2983006962</t>
  </si>
  <si>
    <t>26361181</t>
  </si>
  <si>
    <t>Нарьян-Марское МУ ПОКиТС</t>
  </si>
  <si>
    <t>8301020069</t>
  </si>
  <si>
    <t>30351466</t>
  </si>
  <si>
    <t>ООО "Автоматика Сервис"</t>
  </si>
  <si>
    <t>2983008575</t>
  </si>
  <si>
    <t>01-08-2015 00:00:00</t>
  </si>
  <si>
    <t>26413215</t>
  </si>
  <si>
    <t>ООО "ЛУКОЙЛ-ЭНЕРГОСЕТИ"</t>
  </si>
  <si>
    <t>5260230051</t>
  </si>
  <si>
    <t>525350001</t>
  </si>
  <si>
    <t>27578022</t>
  </si>
  <si>
    <t>ООО "ННК-Северная нефть"</t>
  </si>
  <si>
    <t>1106019518</t>
  </si>
  <si>
    <t>997250001</t>
  </si>
  <si>
    <t>26572041</t>
  </si>
  <si>
    <t>ООО "Тарана"</t>
  </si>
  <si>
    <t>2983003658</t>
  </si>
  <si>
    <t>30430689</t>
  </si>
  <si>
    <t>ОП "Архангельское" АО "ГУ ЖКХ"</t>
  </si>
  <si>
    <t>290245001</t>
  </si>
  <si>
    <t>13-05-2009 00:00:00</t>
  </si>
  <si>
    <t>УПРАВЛЕНИЕ ПО ГОСУДАРСТВЕННОМУ РЕГУЛИРОВАНИЮ ЦЕН (ТАРИФОВ) НЕНЕЦКОГО АВТОНОМНОГО ОКРУГА</t>
  </si>
  <si>
    <t>8300005886</t>
  </si>
  <si>
    <t>30903763</t>
  </si>
  <si>
    <t>ФГБУ "ЦЖКУ" МИНОБОРОНЫ РОССИИ</t>
  </si>
  <si>
    <t>7729314745</t>
  </si>
  <si>
    <t>770101001</t>
  </si>
  <si>
    <t>30949446</t>
  </si>
  <si>
    <t>ФГБУ "ЦЖКУ" Минобороны России (Филиал по ВМФ)</t>
  </si>
  <si>
    <t>290245006</t>
  </si>
  <si>
    <t>20-03-2017 00:00:00</t>
  </si>
  <si>
    <t>26838012</t>
  </si>
  <si>
    <t>МКП "ЖКХ МО "Хоседа-Хардский сельсовет"</t>
  </si>
  <si>
    <t>2983998058</t>
  </si>
  <si>
    <t>28859576</t>
  </si>
  <si>
    <t>МКП "Пустозерское"</t>
  </si>
  <si>
    <t>2983008342</t>
  </si>
  <si>
    <t>28-04-2012 00:00:00</t>
  </si>
  <si>
    <t>28128768</t>
  </si>
  <si>
    <t>МКП "Север"</t>
  </si>
  <si>
    <t>2983008582</t>
  </si>
  <si>
    <t>28007692</t>
  </si>
  <si>
    <t>МКП "Энергия"</t>
  </si>
  <si>
    <t>2983008092</t>
  </si>
  <si>
    <t>30-12-2011 00:00:00</t>
  </si>
  <si>
    <t>31746470</t>
  </si>
  <si>
    <t>АО "ПЕЧОРНЕФТЕГАЗПРОМ"</t>
  </si>
  <si>
    <t>1105013841</t>
  </si>
  <si>
    <t>110501001</t>
  </si>
  <si>
    <t>31714459</t>
  </si>
  <si>
    <t>ИП Досько Арина Михайловна</t>
  </si>
  <si>
    <t>298304625308</t>
  </si>
  <si>
    <t>11-10-2012 00:00:00</t>
  </si>
  <si>
    <t>31714490</t>
  </si>
  <si>
    <t>МУНИЦИПАЛЬНОЕ УНИТАРНОЕ ПРЕДПРИЯТИЕ "НАРЬЯН-МАРСКОЕ АВТОТРАНСПОРТНОЕ ПРЕДПРИЯТИЕ"</t>
  </si>
  <si>
    <t>8301010039</t>
  </si>
  <si>
    <t>04-12-2002 00:00:00</t>
  </si>
  <si>
    <t>26382179</t>
  </si>
  <si>
    <t>Муниципальное унитарное предприятие «Комбинат по благоустройству и бытовому обслуживанию»</t>
  </si>
  <si>
    <t>2983004323</t>
  </si>
  <si>
    <t>NSRF</t>
  </si>
  <si>
    <t>MR_NAME</t>
  </si>
  <si>
    <t>OKTMO_MR_NAME</t>
  </si>
  <si>
    <t>MO_NAME</t>
  </si>
  <si>
    <t>OKTMO_NAME</t>
  </si>
  <si>
    <t>TYPE</t>
  </si>
  <si>
    <t>MR_ID</t>
  </si>
  <si>
    <t>11811000</t>
  </si>
  <si>
    <t>муниципальный район</t>
  </si>
  <si>
    <t>Андегский сельсовет</t>
  </si>
  <si>
    <t>11811431</t>
  </si>
  <si>
    <t>сельское поселение</t>
  </si>
  <si>
    <t>Великовисочный сельсовет</t>
  </si>
  <si>
    <t>11811434</t>
  </si>
  <si>
    <t>Канинский сельсовет</t>
  </si>
  <si>
    <t>11811443</t>
  </si>
  <si>
    <t>Карский сельсовет</t>
  </si>
  <si>
    <t>11811448</t>
  </si>
  <si>
    <t>Колгуевский сельсовет</t>
  </si>
  <si>
    <t>11811451</t>
  </si>
  <si>
    <t>Коткинский сельсовет</t>
  </si>
  <si>
    <t>11811452</t>
  </si>
  <si>
    <t>Малоземельский сельсовет</t>
  </si>
  <si>
    <t>11811454</t>
  </si>
  <si>
    <t>Межселенные территории, входящие в состав территории муниципального района Заполярный район, кроме территорий городского и сельских поселений</t>
  </si>
  <si>
    <t>11811701</t>
  </si>
  <si>
    <t>межселенная территория</t>
  </si>
  <si>
    <t>Омский сельсовет</t>
  </si>
  <si>
    <t>11811457</t>
  </si>
  <si>
    <t>Пёшский сельсовет</t>
  </si>
  <si>
    <t>11811459</t>
  </si>
  <si>
    <t>Поселок Амдерма</t>
  </si>
  <si>
    <t>11811464</t>
  </si>
  <si>
    <t>Приморско-Куйский сельсовет</t>
  </si>
  <si>
    <t>11811461</t>
  </si>
  <si>
    <t>Пустозерский сельсовет</t>
  </si>
  <si>
    <t>11811463</t>
  </si>
  <si>
    <t>городское поселение, в состав которого входит город</t>
  </si>
  <si>
    <t>Тельвисочный сельсовет</t>
  </si>
  <si>
    <t>11811466</t>
  </si>
  <si>
    <t>Тиманский сельсовет</t>
  </si>
  <si>
    <t>11811468</t>
  </si>
  <si>
    <t>Хорей-Верский сельсовет</t>
  </si>
  <si>
    <t>11811471</t>
  </si>
  <si>
    <t>Хоседа-Хардский сельсовет</t>
  </si>
  <si>
    <t>11811473</t>
  </si>
  <si>
    <t>Шоинский сельсовет</t>
  </si>
  <si>
    <t>11811476</t>
  </si>
  <si>
    <t>Юшарский сельсовет</t>
  </si>
  <si>
    <t>11811479</t>
  </si>
  <si>
    <t>Городской округ "Город Нарьян-Мар"</t>
  </si>
  <si>
    <t>11851000</t>
  </si>
  <si>
    <t>городской округ</t>
  </si>
  <si>
    <t>NUMBER_POINT</t>
  </si>
  <si>
    <t>INVP_NAME</t>
  </si>
  <si>
    <t>INVP_ID</t>
  </si>
  <si>
    <t>L_START_DATE</t>
  </si>
  <si>
    <t>L_END_DATE</t>
  </si>
  <si>
    <t>L_DECISION_NAME</t>
  </si>
  <si>
    <t>L_DECISION_TYPE</t>
  </si>
  <si>
    <t>L_DECISION_NMBR</t>
  </si>
  <si>
    <t>L_DECISION_DATE</t>
  </si>
  <si>
    <t>Инвестиционная программа № 360-р от 20.10.2023 ИМУП «ПОСЖИЛКОМСЕРВИС» в сфере водоснабжения по модернизации и реконструкции систем инженерной инфраструктуры, на территории муниципального района "Заполярный " на 2024-2026 годы</t>
  </si>
  <si>
    <t>01.01.2024</t>
  </si>
  <si>
    <t>31.12.2026</t>
  </si>
  <si>
    <t>Инвестиционная программа № 360-р от 20.10.2023 ИМУП «ПОСЖИЛКОМСЕРВИС» в сфере водоснабжения по модернизации и реконструкции системы инженерной инфраструктуры на 2024-2026 годы</t>
  </si>
  <si>
    <t>01.12.2024</t>
  </si>
  <si>
    <t>Инвестиционная программа от 28.10.2022 МП ЗР "Севержилкомсервис" в сфере водоснабжения по строительству, реконструкции и модернизации объектов централизованной системы водоснабжения на 2023-2026 годы</t>
  </si>
  <si>
    <t>01.01.2023</t>
  </si>
  <si>
    <t>Инвестиционная программа от 29.10.2021 Нарьян-Марское МУ ПОКиТС в сфере холодного водоснабжения по реконструкции водопроводных сетей, на территории городского округа Нарьян-Мар на 2022-2024 годы</t>
  </si>
  <si>
    <t>01.01.2022</t>
  </si>
  <si>
    <t>31.12.2024</t>
  </si>
  <si>
    <t>TER_NAME</t>
  </si>
  <si>
    <t>Территория 1</t>
  </si>
  <si>
    <t>ID_TARIFF_NAME</t>
  </si>
  <si>
    <t>TARIFF_NAME</t>
  </si>
  <si>
    <t>VED_NAME</t>
  </si>
  <si>
    <t>4189671</t>
  </si>
  <si>
    <t>4189672</t>
  </si>
  <si>
    <t>4189673</t>
  </si>
  <si>
    <t>4189674</t>
  </si>
  <si>
    <t>4189675</t>
  </si>
  <si>
    <t>4189676</t>
  </si>
  <si>
    <t>4189677</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</si>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</sst>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71" formatCode="_-* #,##0.00\ _₽_-;\-* #,##0.00\ _₽_-;_-* &quot;-&quot;??\ _₽_-;_-@_-"/>
    <numFmt numFmtId="172" formatCode="_-* #,##0\ _₽_-;\-* #,##0\ _₽_-;_-* &quot;-&quot;\ _₽_-;_-@_-"/>
    <numFmt numFmtId="173" formatCode="_-* #,##0.00\ &quot;₽&quot;_-;\-* #,##0.00\ &quot;₽&quot;_-;_-* &quot;-&quot;??\ &quot;₽&quot;_-;_-@_-"/>
    <numFmt numFmtId="174" formatCode="_-* #,##0\ &quot;₽&quot;_-;\-* #,##0\ &quot;₽&quot;_-;_-* &quot;-&quot;\ &quot;₽&quot;_-;_-@_-"/>
    <numFmt numFmtId="175" formatCode="_-* #,##0.00[$€-1]_-;\-* #,##0.00[$€-1]_-;_-* &quot;-&quot;??[$€-1]_-"/>
    <numFmt numFmtId="176" formatCode="#,##0.0"/>
    <numFmt numFmtId="177" formatCode="#,##0.000"/>
    <numFmt numFmtId="178" formatCode="#,##0.0000"/>
    <numFmt numFmtId="179" formatCode="dd\.mm\.yyyy"/>
    <numFmt numFmtId="180" formatCode="000000"/>
    <numFmt numFmtId="181" formatCode="h:mm;@"/>
  </numFmts>
  <fonts count="129">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
      <u/>
      <sz val="9"/>
      <color rgb="FF000000"/>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171" fontId="6" fillId="0" borderId="0" applyFont="0" applyFill="0" applyBorder="0" applyNumberFormat="1">
      <alignment vertical="top"/>
    </xf>
    <xf numFmtId="172" fontId="6" fillId="0" borderId="0" applyFont="0" applyFill="0" applyBorder="0" applyNumberFormat="1">
      <alignment vertical="top"/>
    </xf>
    <xf numFmtId="173" fontId="6" fillId="0" borderId="0" applyFont="0" applyFill="0" applyBorder="0" applyNumberFormat="1">
      <alignment vertical="top"/>
    </xf>
    <xf numFmtId="174"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175" fontId="20" fillId="0" borderId="0" applyFont="1" applyFill="0" applyBorder="0" applyNumberFormat="1"/>
    <xf numFmtId="38" fontId="21" fillId="0" borderId="0" applyFont="1" applyFill="0" applyBorder="0" applyNumberFormat="1">
      <alignment vertical="top"/>
    </xf>
    <xf numFmtId="176" fontId="22" fillId="33" borderId="0" applyFont="1" applyFill="1" applyBorder="0" applyNumberFormat="1">
      <protection locked="0"/>
    </xf>
    <xf numFmtId="0" fontId="23" fillId="0" borderId="0" applyFont="1" applyFill="0" applyBorder="0">
      <alignment vertical="center"/>
    </xf>
    <xf numFmtId="177" fontId="22" fillId="33" borderId="0" applyFont="1" applyFill="1" applyBorder="0" applyNumberFormat="1">
      <protection locked="0"/>
    </xf>
    <xf numFmtId="178"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2848">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171" fontId="6" fillId="0" borderId="0" xfId="28" applyFont="0" applyNumberFormat="1">
      <alignment vertical="top"/>
    </xf>
    <xf numFmtId="172" fontId="6" fillId="0" borderId="0" xfId="29" applyFont="0" applyNumberFormat="1">
      <alignment vertical="top"/>
    </xf>
    <xf numFmtId="173" fontId="6" fillId="0" borderId="0" xfId="30" applyFont="0" applyNumberFormat="1">
      <alignment vertical="top"/>
    </xf>
    <xf numFmtId="174"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175" fontId="20" fillId="0" borderId="0" xfId="49" applyFont="1" applyNumberFormat="1"/>
    <xf numFmtId="38" fontId="21" fillId="0" borderId="0" xfId="50" applyFont="1" applyNumberFormat="1">
      <alignment vertical="top"/>
    </xf>
    <xf numFmtId="176" fontId="22" fillId="33" borderId="0" xfId="51" applyFont="1" applyFill="1" applyNumberFormat="1">
      <protection locked="0"/>
    </xf>
    <xf numFmtId="0" fontId="23" fillId="0" borderId="0" xfId="52" applyFont="1">
      <alignment vertical="center"/>
    </xf>
    <xf numFmtId="177" fontId="22" fillId="33" borderId="0" xfId="53" applyFont="1" applyFill="1" applyNumberFormat="1">
      <protection locked="0"/>
    </xf>
    <xf numFmtId="178"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180"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77"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178"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178"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178"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180"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178"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178" fontId="22" fillId="39" borderId="13" xfId="0" applyFont="1" applyFill="1" applyBorder="1" applyNumberFormat="1">
      <alignment horizontal="right" vertical="center" wrapText="1"/>
      <protection locked="0"/>
    </xf>
    <xf numFmtId="178"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177"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177"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177"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177" fontId="47" fillId="0" borderId="12" xfId="0" applyFont="1" applyBorder="1" applyNumberFormat="1">
      <alignment horizontal="right" vertical="center" wrapText="1"/>
    </xf>
    <xf numFmtId="177"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177"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180"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180"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180"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179" fontId="0" fillId="39" borderId="12" xfId="0" applyFont="1" applyFill="1" applyBorder="1" applyNumberFormat="1">
      <alignment horizontal="left" vertical="center" wrapText="1" indent="1"/>
      <protection locked="0"/>
    </xf>
    <xf numFmtId="179" fontId="0" fillId="0" borderId="12" xfId="0" applyFont="1" applyBorder="1" applyNumberFormat="1">
      <alignment horizontal="left" vertical="center" wrapText="1" indent="1"/>
    </xf>
    <xf numFmtId="179" fontId="0" fillId="39" borderId="12" xfId="0" applyFont="1" applyFill="1" applyBorder="1" applyNumberFormat="1">
      <alignment horizontal="center" vertical="center" wrapText="1"/>
      <protection locked="0"/>
    </xf>
    <xf numFmtId="179" fontId="47" fillId="0" borderId="0" xfId="0" applyFont="1" applyNumberFormat="1">
      <alignment horizontal="center" vertical="center" wrapText="1"/>
    </xf>
    <xf numFmtId="179" fontId="47" fillId="0" borderId="12" xfId="0" applyFont="1" applyBorder="1" applyNumberFormat="1">
      <alignment horizontal="center" vertical="center" wrapText="1"/>
    </xf>
    <xf numFmtId="179" fontId="0" fillId="39" borderId="12" xfId="0" applyFont="1" applyFill="1" applyBorder="1" applyNumberFormat="1">
      <alignment horizontal="left" vertical="center" wrapText="1"/>
      <protection locked="0"/>
    </xf>
    <xf numFmtId="179" fontId="0" fillId="36" borderId="12" xfId="0" applyFont="1" applyFill="1" applyBorder="1" applyNumberFormat="1">
      <alignment horizontal="left" vertical="center" wrapText="1" indent="1"/>
      <protection locked="0"/>
    </xf>
    <xf numFmtId="179"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179" fontId="0" fillId="39" borderId="14" xfId="0" applyFont="1" applyFill="1" applyBorder="1" applyNumberFormat="1">
      <alignment horizontal="left" vertical="center" wrapText="1"/>
      <protection locked="0"/>
    </xf>
    <xf numFmtId="179"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179"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180"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180"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180" fontId="44" fillId="0" borderId="19" xfId="0" applyFont="1" applyBorder="1" applyNumberFormat="1">
      <alignment horizontal="center" vertical="center" wrapText="1"/>
    </xf>
    <xf numFmtId="180" fontId="44" fillId="0" borderId="20" xfId="0" applyFont="1" applyBorder="1" applyNumberFormat="1">
      <alignment horizontal="center" vertical="center" wrapText="1"/>
    </xf>
    <xf numFmtId="181" fontId="22" fillId="39" borderId="12" xfId="0" applyFont="1" applyFill="1" applyBorder="1" applyNumberFormat="1">
      <alignment horizontal="left" vertical="center" wrapText="1" indent="1"/>
      <protection locked="0"/>
    </xf>
    <xf numFmtId="179"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179"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179"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177"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179" fontId="22" fillId="34" borderId="12" xfId="0" applyFont="1" applyFill="1" applyBorder="1" applyNumberFormat="1">
      <alignment horizontal="left" vertical="center" wrapText="1" indent="1"/>
    </xf>
    <xf numFmtId="179"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179"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179"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179"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180" fontId="22" fillId="0" borderId="17" xfId="0" applyFont="1" applyBorder="1" applyNumberFormat="1">
      <alignment horizontal="center" vertical="center" wrapText="1"/>
    </xf>
    <xf numFmtId="180" fontId="22" fillId="0" borderId="23" xfId="0" applyFont="1" applyBorder="1" applyNumberFormat="1">
      <alignment horizontal="center" vertical="center" wrapText="1"/>
    </xf>
    <xf numFmtId="180" fontId="22" fillId="0" borderId="14" xfId="0" applyFont="1" applyBorder="1" applyNumberFormat="1">
      <alignment horizontal="center" vertical="center" wrapText="1"/>
    </xf>
    <xf numFmtId="180" fontId="22" fillId="0" borderId="15" xfId="0" applyFont="1" applyBorder="1" applyNumberFormat="1">
      <alignment horizontal="center" vertical="center" wrapText="1"/>
    </xf>
    <xf numFmtId="180"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180" fontId="22" fillId="0" borderId="36" xfId="0" applyFont="1" applyBorder="1" applyNumberFormat="1">
      <alignment horizontal="center" vertical="center" wrapText="1"/>
    </xf>
    <xf numFmtId="180" fontId="22" fillId="0" borderId="12" xfId="0" applyFont="1" applyBorder="1" applyNumberFormat="1">
      <alignment horizontal="center" vertical="center" wrapText="1"/>
    </xf>
    <xf numFmtId="180"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179"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179"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179"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179" fontId="0" fillId="39" borderId="12"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22" fillId="40" borderId="12" xfId="0" applyFont="1" applyFill="1" applyBorder="1">
      <alignment horizontal="left" vertical="top" wrapText="1"/>
    </xf>
    <xf numFmtId="49" fontId="0" fillId="35" borderId="12" xfId="0" applyFont="1" applyFill="1" applyBorder="1" applyNumberFormat="1">
      <alignment horizontal="left" vertical="center" wrapText="1"/>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39" fillId="37" borderId="29" xfId="0" applyFont="1" applyFill="1" applyBorder="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39" fillId="37" borderId="13" xfId="0" applyFont="1" applyFill="1" applyBorder="1">
      <alignment horizontal="left" vertical="center"/>
    </xf>
    <xf numFmtId="49" fontId="0" fillId="35" borderId="12" xfId="0" applyFont="1" applyFill="1" applyBorder="1" applyNumberFormat="1">
      <alignment horizontal="left" vertical="center" wrapText="1"/>
    </xf>
    <xf numFmtId="49" fontId="0" fillId="40" borderId="12" xfId="0" applyFont="1" applyFill="1" applyBorder="1" applyNumberFormat="1">
      <alignment horizontal="left" vertical="top"/>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39" fillId="37" borderId="13" xfId="0" applyFont="1" applyFill="1" applyBorder="1">
      <alignment horizontal="left" vertical="center"/>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27" fillId="39" borderId="12" xfId="0" applyFont="1" applyFill="1" applyBorder="1" applyNumberFormat="1">
      <alignment horizontal="left" vertical="center" wrapText="1"/>
      <protection locked="0"/>
    </xf>
    <xf numFmtId="0" fontId="128" fillId="39" borderId="12" xfId="0" applyFont="1" applyFill="1" applyBorder="1">
      <alignment horizontal="left" vertical="center" wrapText="1"/>
      <protection locked="0"/>
    </xf>
    <xf numFmtId="49" fontId="39" fillId="37" borderId="27" xfId="0" applyFont="1" applyFill="1" applyBorder="1" applyNumberFormat="1">
      <alignment horizontal="left" vertical="center"/>
    </xf>
    <xf numFmtId="49" fontId="39" fillId="37" borderId="15" xfId="0" applyFont="1" applyFill="1" applyBorder="1" applyNumberFormat="1">
      <alignment horizontal="left" vertical="center"/>
    </xf>
    <xf numFmtId="49" fontId="39" fillId="37" borderId="15" xfId="0" applyFont="1" applyFill="1" applyBorder="1" applyNumberFormat="1">
      <alignment horizontal="left" vertical="center" indent="2"/>
    </xf>
    <xf numFmtId="49" fontId="39" fillId="37" borderId="27" xfId="0" applyFont="1" applyFill="1" applyBorder="1" applyNumberFormat="1">
      <alignment horizontal="left" vertical="center"/>
    </xf>
    <xf numFmtId="49" fontId="43" fillId="37" borderId="13" xfId="0" applyFont="1" applyFill="1" applyBorder="1" applyNumberFormat="1">
      <alignment horizontal="center" vertical="top"/>
    </xf>
    <xf numFmtId="49" fontId="39" fillId="37" borderId="27" xfId="0" applyFont="1" applyFill="1" applyBorder="1" applyNumberFormat="1">
      <alignment horizontal="left" vertical="center"/>
    </xf>
    <xf numFmtId="49" fontId="39" fillId="37" borderId="15" xfId="0" applyFont="1" applyFill="1" applyBorder="1" applyNumberFormat="1">
      <alignment horizontal="left" vertical="center"/>
    </xf>
    <xf numFmtId="49" fontId="39" fillId="37" borderId="15" xfId="0" applyFont="1" applyFill="1" applyBorder="1" applyNumberFormat="1">
      <alignment horizontal="left" vertical="center" indent="2"/>
    </xf>
    <xf numFmtId="49" fontId="39" fillId="37" borderId="27" xfId="0" applyFont="1" applyFill="1" applyBorder="1" applyNumberFormat="1">
      <alignment horizontal="left" vertical="center"/>
    </xf>
    <xf numFmtId="49" fontId="43" fillId="37" borderId="13" xfId="0" applyFont="1" applyFill="1" applyBorder="1" applyNumberFormat="1">
      <alignment horizontal="center" vertical="top"/>
    </xf>
    <xf numFmtId="49" fontId="39" fillId="37" borderId="27" xfId="0" applyFont="1" applyFill="1" applyBorder="1" applyNumberFormat="1">
      <alignment horizontal="left" vertical="center"/>
    </xf>
    <xf numFmtId="49" fontId="39" fillId="37" borderId="15" xfId="0" applyFont="1" applyFill="1" applyBorder="1" applyNumberFormat="1">
      <alignment horizontal="left" vertical="center"/>
    </xf>
    <xf numFmtId="49" fontId="39" fillId="37" borderId="15" xfId="0" applyFont="1" applyFill="1" applyBorder="1" applyNumberFormat="1">
      <alignment horizontal="left" vertical="center" indent="2"/>
    </xf>
    <xf numFmtId="49" fontId="39" fillId="37" borderId="27" xfId="0" applyFont="1" applyFill="1" applyBorder="1" applyNumberFormat="1">
      <alignment horizontal="left" vertical="center"/>
    </xf>
    <xf numFmtId="49" fontId="43" fillId="37" borderId="13" xfId="0" applyFont="1" applyFill="1" applyBorder="1" applyNumberFormat="1">
      <alignment horizontal="center" vertical="top"/>
    </xf>
    <xf numFmtId="49" fontId="39" fillId="37" borderId="27" xfId="0" applyFont="1" applyFill="1" applyBorder="1" applyNumberFormat="1">
      <alignment horizontal="left" vertical="center"/>
    </xf>
    <xf numFmtId="49" fontId="39" fillId="37" borderId="15" xfId="0" applyFont="1" applyFill="1" applyBorder="1" applyNumberFormat="1">
      <alignment horizontal="left" vertical="center"/>
    </xf>
    <xf numFmtId="49" fontId="39" fillId="37" borderId="15" xfId="0" applyFont="1" applyFill="1" applyBorder="1" applyNumberFormat="1">
      <alignment horizontal="left" vertical="center" indent="2"/>
    </xf>
    <xf numFmtId="49" fontId="39" fillId="37" borderId="27" xfId="0" applyFont="1" applyFill="1" applyBorder="1" applyNumberFormat="1">
      <alignment horizontal="left" vertical="center"/>
    </xf>
    <xf numFmtId="49" fontId="43" fillId="37" borderId="13" xfId="0" applyFont="1" applyFill="1" applyBorder="1" applyNumberFormat="1">
      <alignment horizontal="center" vertical="top"/>
    </xf>
    <xf numFmtId="49" fontId="39" fillId="37" borderId="27" xfId="0" applyFont="1" applyFill="1" applyBorder="1" applyNumberFormat="1">
      <alignment horizontal="left" vertical="center"/>
    </xf>
    <xf numFmtId="49" fontId="39" fillId="37" borderId="15" xfId="0" applyFont="1" applyFill="1" applyBorder="1" applyNumberFormat="1">
      <alignment horizontal="left" vertical="center"/>
    </xf>
    <xf numFmtId="49" fontId="39" fillId="37" borderId="15" xfId="0" applyFont="1" applyFill="1" applyBorder="1" applyNumberFormat="1">
      <alignment horizontal="left" vertical="center" indent="2"/>
    </xf>
    <xf numFmtId="49" fontId="39" fillId="37" borderId="27" xfId="0" applyFont="1" applyFill="1" applyBorder="1" applyNumberFormat="1">
      <alignment horizontal="left" vertical="center"/>
    </xf>
    <xf numFmtId="49" fontId="43" fillId="37" borderId="13" xfId="0" applyFont="1" applyFill="1" applyBorder="1" applyNumberFormat="1">
      <alignment horizontal="center" vertical="top"/>
    </xf>
    <xf numFmtId="0" fontId="29" fillId="0" borderId="0" xfId="0" applyFont="1"/>
    <xf numFmtId="0" fontId="22" fillId="0" borderId="0" xfId="61" applyFont="1" applyNumberFormat="1">
      <alignment vertical="center" wrapText="1"/>
    </xf>
    <xf numFmtId="0" fontId="22" fillId="34" borderId="13" xfId="61" applyFont="1" applyFill="1" applyBorder="1" applyNumberFormat="1">
      <alignment horizontal="left" vertical="center" wrapText="1"/>
    </xf>
    <xf numFmtId="0" fontId="22" fillId="36" borderId="13" xfId="61" applyFont="1" applyFill="1" applyBorder="1" applyNumberFormat="1">
      <alignment horizontal="left" vertical="center" wrapText="1"/>
      <protection locked="0"/>
    </xf>
    <xf numFmtId="0" fontId="22" fillId="40" borderId="13" xfId="61" applyFont="1" applyFill="1" applyBorder="1" applyNumberFormat="1">
      <alignment horizontal="left" vertical="center" wrapText="1"/>
    </xf>
    <xf numFmtId="49" fontId="22" fillId="40" borderId="12"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47" fillId="0" borderId="0" xfId="61" applyFont="1" applyNumberFormat="1">
      <alignment horizontal="center" vertical="center" wrapText="1"/>
    </xf>
    <xf numFmtId="0" fontId="46" fillId="0" borderId="0" xfId="61" applyFont="1" applyNumberFormat="1">
      <alignment vertical="center" wrapText="1"/>
    </xf>
    <xf numFmtId="0" fontId="46" fillId="0" borderId="0" xfId="61" applyFont="1" applyNumberFormat="1">
      <alignment vertical="center"/>
    </xf>
    <xf numFmtId="0" fontId="22" fillId="0" borderId="19" xfId="61" applyFont="1" applyBorder="1" applyNumberFormat="1">
      <alignment horizontal="left" vertical="top" wrapText="1" indent="1"/>
    </xf>
    <xf numFmtId="0" fontId="22" fillId="0" borderId="27" xfId="61" applyFont="1" applyBorder="1" applyNumberFormat="1">
      <alignment horizontal="left" vertical="center" wrapText="1" indent="1"/>
    </xf>
    <xf numFmtId="0" fontId="49" fillId="35" borderId="0" xfId="61" applyFont="1" applyFill="1" applyNumberFormat="1">
      <alignment horizontal="center" vertical="center" wrapText="1"/>
    </xf>
    <xf numFmtId="0" fontId="47" fillId="0" borderId="0" xfId="61" applyFont="1" applyNumberFormat="1">
      <alignment vertical="center" wrapText="1"/>
    </xf>
    <xf numFmtId="0" fontId="36" fillId="0" borderId="27" xfId="61" applyFont="1" applyBorder="1" applyNumberFormat="1">
      <alignment horizontal="center" vertical="center" wrapText="1"/>
    </xf>
    <xf numFmtId="0" fontId="22" fillId="0" borderId="12" xfId="61" applyFont="1" applyBorder="1" applyNumberFormat="1">
      <alignment horizontal="center" vertical="center" wrapText="1"/>
    </xf>
    <xf numFmtId="0" fontId="22" fillId="35" borderId="17" xfId="61" applyFont="1" applyFill="1" applyBorder="1" applyNumberFormat="1">
      <alignment horizontal="center" vertical="center" wrapText="1"/>
    </xf>
    <xf numFmtId="0" fontId="22" fillId="35" borderId="36" xfId="61" applyFont="1" applyFill="1" applyBorder="1" applyNumberFormat="1">
      <alignment horizontal="center" vertical="center" wrapText="1"/>
    </xf>
    <xf numFmtId="0" fontId="22" fillId="35" borderId="23" xfId="61" applyFont="1" applyFill="1" applyBorder="1" applyNumberFormat="1">
      <alignment horizontal="center" vertical="center" wrapText="1"/>
    </xf>
    <xf numFmtId="0" fontId="80" fillId="35" borderId="19"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0" fontId="22" fillId="0" borderId="0" xfId="61" applyFont="1" applyNumberFormat="1">
      <alignment horizontal="left" vertical="top" wrapText="1"/>
    </xf>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314515</xdr:colOff>
      <xdr:row>11</xdr:row>
      <xdr:rowOff>57340</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314515</xdr:colOff>
      <xdr:row>19</xdr:row>
      <xdr:rowOff>76390</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400240</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 Id="rId2" Type="http://schemas.openxmlformats.org/officeDocument/2006/relationships/hyperlink" Target="https://portal.eias.ru/Portal/DownloadPage.aspx?type=12&amp;guid=14239de6-deab-4652-9b97-f472f8d9e9cb" TargetMode="External"/><Relationship Id="rId3" Type="http://schemas.openxmlformats.org/officeDocument/2006/relationships/hyperlink" Target="https://portal.eias.ru/Portal/DownloadPage.aspx?type=12&amp;guid=d542495d-8eeb-49e7-b4bc-7e51293bb8d1" TargetMode="External"/><Relationship Id="rId4" Type="http://schemas.openxmlformats.org/officeDocument/2006/relationships/hyperlink" Target="https://portal.eias.ru/Portal/DownloadPage.aspx?type=12&amp;guid=5168bcff-8483-4253-a6de-16ac1e7a9da3" TargetMode="External"/><Relationship Id="rId5" Type="http://schemas.openxmlformats.org/officeDocument/2006/relationships/hyperlink" Target="https://portal.eias.ru/Portal/DownloadPage.aspx?type=12&amp;guid=28cd6256-db5a-4511-8325-83af0eefcae9" TargetMode="Externa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E2A543E-1766-97AF-45D7-0.69623F4F}"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629" width="5.421875" customWidth="1"/>
    <col min="2" max="2" style="2629" width="9.140625" customWidth="1"/>
    <col min="3" max="3" style="2629" width="16.421875" customWidth="1"/>
    <col min="4" max="25" style="2629" width="6.28125" customWidth="1"/>
    <col min="26" max="28" style="2629" width="11.00390625"/>
  </cols>
  <sheetData>
    <row customHeight="1" ht="15.75">
      <c r="A1" s="1701"/>
      <c r="B1" s="1702"/>
      <c r="C1" s="1702"/>
      <c r="D1" s="1702"/>
      <c r="E1" s="1702"/>
      <c r="F1" s="1702"/>
      <c r="G1" s="1702"/>
      <c r="H1" s="1702"/>
      <c r="I1" s="1702"/>
      <c r="J1" s="1702"/>
      <c r="K1" s="1702"/>
      <c r="L1" s="1702"/>
      <c r="M1" s="1702"/>
      <c r="N1" s="1702"/>
      <c r="O1" s="1702"/>
      <c r="P1" s="1702"/>
      <c r="Q1" s="1702"/>
      <c r="R1" s="1702"/>
      <c r="S1" s="1702"/>
      <c r="T1" s="1702"/>
      <c r="U1" s="1702"/>
      <c r="V1" s="1702"/>
      <c r="W1" s="1702"/>
      <c r="X1" s="1702"/>
      <c r="Y1" s="1703"/>
      <c r="Z1" s="1702"/>
      <c r="AA1" s="1704" t="s">
        <v>0</v>
      </c>
      <c r="AB1" s="1702"/>
    </row>
    <row customHeight="1" ht="17.25">
      <c r="A2" s="1702"/>
      <c r="B2" s="2078" t="s">
        <v>1</v>
      </c>
      <c r="C2" s="2078"/>
      <c r="D2" s="2078"/>
      <c r="E2" s="2078"/>
      <c r="F2" s="2078"/>
      <c r="G2" s="2078"/>
      <c r="H2" s="2078"/>
      <c r="I2" s="2078"/>
      <c r="J2" s="2078"/>
      <c r="K2" s="2078"/>
      <c r="L2" s="2078"/>
      <c r="M2" s="2078"/>
      <c r="N2" s="2078"/>
      <c r="O2" s="2078"/>
      <c r="P2" s="2078"/>
      <c r="Q2" s="1706"/>
      <c r="R2" s="1706"/>
      <c r="S2" s="1706"/>
      <c r="T2" s="1706"/>
      <c r="U2" s="1706"/>
      <c r="V2" s="1707"/>
      <c r="W2" s="1706"/>
      <c r="X2" s="1706"/>
      <c r="Y2" s="1703"/>
      <c r="Z2" s="1702"/>
      <c r="AA2" s="1704"/>
      <c r="AB2" s="1702"/>
    </row>
    <row customHeight="1" ht="15.75">
      <c r="A3" s="1702"/>
      <c r="B3" s="2079" t="s">
        <v>2</v>
      </c>
      <c r="C3" s="2079"/>
      <c r="D3" s="2079"/>
      <c r="E3" s="2079"/>
      <c r="F3" s="2079"/>
      <c r="G3" s="2079"/>
      <c r="H3" s="2079"/>
      <c r="I3" s="2079"/>
      <c r="J3" s="2079"/>
      <c r="K3" s="2079"/>
      <c r="L3" s="2079"/>
      <c r="M3" s="2079"/>
      <c r="N3" s="2079"/>
      <c r="O3" s="2079"/>
      <c r="P3" s="2079"/>
      <c r="Q3" s="1707"/>
      <c r="R3" s="1707"/>
      <c r="S3" s="1706"/>
      <c r="T3" s="1706"/>
      <c r="U3" s="1706"/>
      <c r="V3" s="1707"/>
      <c r="W3" s="1707"/>
      <c r="X3" s="1707"/>
      <c r="Y3" s="1707"/>
      <c r="Z3" s="1702"/>
      <c r="AA3" s="1704"/>
      <c r="AB3" s="1702"/>
    </row>
    <row customHeight="1" ht="17.25">
      <c r="A4" s="1702"/>
      <c r="B4" s="1708"/>
      <c r="C4" s="1702"/>
      <c r="D4" s="1707"/>
      <c r="E4" s="1707"/>
      <c r="F4" s="1707"/>
      <c r="G4" s="1707"/>
      <c r="H4" s="1707"/>
      <c r="I4" s="1707"/>
      <c r="J4" s="1707"/>
      <c r="K4" s="1707"/>
      <c r="L4" s="1707"/>
      <c r="M4" s="1707"/>
      <c r="N4" s="1707"/>
      <c r="O4" s="1707"/>
      <c r="P4" s="1707"/>
      <c r="Q4" s="1707"/>
      <c r="R4" s="1707"/>
      <c r="S4" s="1707"/>
      <c r="T4" s="1707"/>
      <c r="U4" s="1707"/>
      <c r="V4" s="1707"/>
      <c r="W4" s="1707"/>
      <c r="X4" s="1707"/>
      <c r="Y4" s="1707"/>
      <c r="Z4" s="1702"/>
      <c r="AA4" s="1704"/>
      <c r="AB4" s="1702"/>
    </row>
    <row customHeight="1" ht="22.5">
      <c r="A5" s="1709"/>
      <c r="B5" s="2080" t="str">
        <f>IF(TEMPLATE_SPHERE="","Информация, подлежащая раскрытию регулируемыми организациями",Титульный!E5)</f>
        <v>Показатели, подлежащие раскрытию в сфере холодного водоснабжения (цены и тарифы)</v>
      </c>
      <c r="C5" s="2081"/>
      <c r="D5" s="2081"/>
      <c r="E5" s="2081"/>
      <c r="F5" s="2081"/>
      <c r="G5" s="2081"/>
      <c r="H5" s="2081"/>
      <c r="I5" s="2081"/>
      <c r="J5" s="2081"/>
      <c r="K5" s="2081"/>
      <c r="L5" s="2081"/>
      <c r="M5" s="2081"/>
      <c r="N5" s="2081"/>
      <c r="O5" s="2081"/>
      <c r="P5" s="2081"/>
      <c r="Q5" s="2081"/>
      <c r="R5" s="2081"/>
      <c r="S5" s="2081"/>
      <c r="T5" s="2081"/>
      <c r="U5" s="2081"/>
      <c r="V5" s="2081"/>
      <c r="W5" s="2081"/>
      <c r="X5" s="2081"/>
      <c r="Y5" s="2082"/>
      <c r="Z5" s="1709"/>
      <c r="AA5" s="1704"/>
      <c r="AB5" s="1709"/>
    </row>
    <row customHeight="1" ht="15">
      <c r="A6" s="1710"/>
      <c r="B6" s="2083" t="s">
        <v>3</v>
      </c>
      <c r="C6" s="2084"/>
      <c r="D6" s="1711"/>
      <c r="E6" s="1711"/>
      <c r="F6" s="1711"/>
      <c r="G6" s="1711"/>
      <c r="H6" s="1711"/>
      <c r="I6" s="1711"/>
      <c r="J6" s="1711"/>
      <c r="K6" s="1711"/>
      <c r="L6" s="1711"/>
      <c r="M6" s="1711"/>
      <c r="N6" s="1711"/>
      <c r="O6" s="1711"/>
      <c r="P6" s="1711"/>
      <c r="Q6" s="1711"/>
      <c r="R6" s="1711"/>
      <c r="S6" s="1711"/>
      <c r="T6" s="1711"/>
      <c r="U6" s="1711"/>
      <c r="V6" s="1711"/>
      <c r="W6" s="1711"/>
      <c r="X6" s="1711"/>
      <c r="Y6" s="1712"/>
      <c r="Z6" s="1713"/>
      <c r="AA6" s="1714"/>
      <c r="AB6" s="1714"/>
    </row>
    <row customHeight="1" ht="15">
      <c r="A7" s="1710"/>
      <c r="B7" s="2083"/>
      <c r="C7" s="2084"/>
      <c r="D7" s="1711"/>
      <c r="E7" s="1711"/>
      <c r="F7" s="1715"/>
      <c r="G7" s="1715"/>
      <c r="H7" s="1715"/>
      <c r="I7" s="1715"/>
      <c r="J7" s="1715"/>
      <c r="K7" s="1715"/>
      <c r="L7" s="1715"/>
      <c r="M7" s="1715"/>
      <c r="N7" s="1715"/>
      <c r="O7" s="1711"/>
      <c r="P7" s="1715"/>
      <c r="Q7" s="1715"/>
      <c r="R7" s="1715"/>
      <c r="S7" s="1715"/>
      <c r="T7" s="1715"/>
      <c r="U7" s="1715"/>
      <c r="V7" s="1715"/>
      <c r="W7" s="1715"/>
      <c r="X7" s="1715"/>
      <c r="Y7" s="1712"/>
      <c r="Z7" s="1713"/>
      <c r="AA7" s="1714"/>
      <c r="AB7" s="1714"/>
    </row>
    <row customHeight="1" ht="15">
      <c r="A8" s="1710"/>
      <c r="B8" s="2083"/>
      <c r="C8" s="2084"/>
      <c r="D8" s="1716"/>
      <c r="E8" s="1717" t="s">
        <v>4</v>
      </c>
      <c r="F8" s="2086" t="s">
        <v>5</v>
      </c>
      <c r="G8" s="2087"/>
      <c r="H8" s="2087"/>
      <c r="I8" s="2087"/>
      <c r="J8" s="2087"/>
      <c r="K8" s="2087"/>
      <c r="L8" s="2087"/>
      <c r="M8" s="2087"/>
      <c r="N8" s="1716"/>
      <c r="O8" s="1718" t="s">
        <v>4</v>
      </c>
      <c r="P8" s="2088" t="s">
        <v>6</v>
      </c>
      <c r="Q8" s="2089"/>
      <c r="R8" s="2089"/>
      <c r="S8" s="2089"/>
      <c r="T8" s="2089"/>
      <c r="U8" s="2089"/>
      <c r="V8" s="2089"/>
      <c r="W8" s="2089"/>
      <c r="X8" s="2089"/>
      <c r="Y8" s="1712"/>
      <c r="Z8" s="1713"/>
      <c r="AA8" s="1714"/>
      <c r="AB8" s="1714"/>
    </row>
    <row customHeight="1" ht="15">
      <c r="A9" s="1710"/>
      <c r="B9" s="2083"/>
      <c r="C9" s="2084"/>
      <c r="D9" s="1716"/>
      <c r="E9" s="1719" t="s">
        <v>4</v>
      </c>
      <c r="F9" s="2086" t="s">
        <v>7</v>
      </c>
      <c r="G9" s="2087"/>
      <c r="H9" s="2087"/>
      <c r="I9" s="2087"/>
      <c r="J9" s="2087"/>
      <c r="K9" s="2087"/>
      <c r="L9" s="2087"/>
      <c r="M9" s="2087"/>
      <c r="N9" s="1716"/>
      <c r="O9" s="1720" t="s">
        <v>4</v>
      </c>
      <c r="P9" s="2088" t="s">
        <v>8</v>
      </c>
      <c r="Q9" s="2089"/>
      <c r="R9" s="2089"/>
      <c r="S9" s="2089"/>
      <c r="T9" s="2089"/>
      <c r="U9" s="2089"/>
      <c r="V9" s="2089"/>
      <c r="W9" s="2089"/>
      <c r="X9" s="2089"/>
      <c r="Y9" s="1712"/>
      <c r="Z9" s="1713"/>
      <c r="AA9" s="1714"/>
      <c r="AB9" s="1714"/>
    </row>
    <row customHeight="1" ht="30">
      <c r="A10" s="1710"/>
      <c r="B10" s="2083"/>
      <c r="C10" s="2085"/>
      <c r="D10" s="1721"/>
      <c r="E10" s="1722"/>
      <c r="F10" s="1715"/>
      <c r="G10" s="1715"/>
      <c r="H10" s="1715"/>
      <c r="I10" s="1715"/>
      <c r="J10" s="1715"/>
      <c r="K10" s="1715"/>
      <c r="L10" s="1715"/>
      <c r="M10" s="1715"/>
      <c r="N10" s="1715"/>
      <c r="O10" s="1722"/>
      <c r="P10" s="1715"/>
      <c r="Q10" s="1715"/>
      <c r="R10" s="1715"/>
      <c r="S10" s="1715"/>
      <c r="T10" s="1715"/>
      <c r="U10" s="1715"/>
      <c r="V10" s="1715"/>
      <c r="W10" s="1715"/>
      <c r="X10" s="1715"/>
      <c r="Y10" s="1712"/>
      <c r="Z10" s="1713"/>
      <c r="AA10" s="1714"/>
      <c r="AB10" s="1714"/>
    </row>
    <row customHeight="1" ht="19.5">
      <c r="A11" s="1710"/>
      <c r="B11" s="2090" t="s">
        <v>9</v>
      </c>
      <c r="C11" s="2091"/>
      <c r="D11" s="1716"/>
      <c r="E11" s="1723"/>
      <c r="F11" s="1723"/>
      <c r="G11" s="1723"/>
      <c r="H11" s="1723"/>
      <c r="I11" s="1723"/>
      <c r="J11" s="1723"/>
      <c r="K11" s="1723"/>
      <c r="L11" s="1723"/>
      <c r="M11" s="1723"/>
      <c r="N11" s="1723"/>
      <c r="O11" s="1723"/>
      <c r="P11" s="1723"/>
      <c r="Q11" s="1723"/>
      <c r="R11" s="1723"/>
      <c r="S11" s="1723"/>
      <c r="T11" s="1723"/>
      <c r="U11" s="1723"/>
      <c r="V11" s="1723"/>
      <c r="W11" s="1723"/>
      <c r="X11" s="1723"/>
      <c r="Y11" s="1712"/>
      <c r="Z11" s="1713"/>
      <c r="AA11" s="1714"/>
      <c r="AB11" s="1714"/>
    </row>
    <row customHeight="1" ht="69">
      <c r="A12" s="1710"/>
      <c r="B12" s="2083"/>
      <c r="C12" s="2085"/>
      <c r="D12" s="1724"/>
      <c r="E12" s="2087" t="s">
        <v>10</v>
      </c>
      <c r="F12" s="2087"/>
      <c r="G12" s="2087"/>
      <c r="H12" s="2087"/>
      <c r="I12" s="2087"/>
      <c r="J12" s="2087"/>
      <c r="K12" s="2087"/>
      <c r="L12" s="2087"/>
      <c r="M12" s="2087"/>
      <c r="N12" s="2087"/>
      <c r="O12" s="2087"/>
      <c r="P12" s="2087"/>
      <c r="Q12" s="2087"/>
      <c r="R12" s="2087"/>
      <c r="S12" s="2087"/>
      <c r="T12" s="2087"/>
      <c r="U12" s="2087"/>
      <c r="V12" s="2087"/>
      <c r="W12" s="2087"/>
      <c r="X12" s="2087"/>
      <c r="Y12" s="1712"/>
      <c r="Z12" s="1713"/>
      <c r="AA12" s="1714"/>
      <c r="AB12" s="1714"/>
    </row>
    <row customHeight="1" ht="15">
      <c r="A13" s="1710"/>
      <c r="B13" s="2090" t="s">
        <v>11</v>
      </c>
      <c r="C13" s="2091"/>
      <c r="D13" s="1711"/>
      <c r="E13" s="1723"/>
      <c r="F13" s="1723"/>
      <c r="G13" s="1723"/>
      <c r="H13" s="1723"/>
      <c r="I13" s="1723"/>
      <c r="J13" s="1723"/>
      <c r="K13" s="1723"/>
      <c r="L13" s="1723"/>
      <c r="M13" s="1723"/>
      <c r="N13" s="1723"/>
      <c r="O13" s="1723"/>
      <c r="P13" s="1723"/>
      <c r="Q13" s="1723"/>
      <c r="R13" s="1723"/>
      <c r="S13" s="1723"/>
      <c r="T13" s="1723"/>
      <c r="U13" s="1723"/>
      <c r="V13" s="1723"/>
      <c r="W13" s="1723"/>
      <c r="X13" s="1723"/>
      <c r="Y13" s="1712"/>
      <c r="Z13" s="1713"/>
      <c r="AA13" s="1714"/>
      <c r="AB13" s="1714"/>
    </row>
    <row customHeight="1" ht="57">
      <c r="A14" s="1710"/>
      <c r="B14" s="2083"/>
      <c r="C14" s="2084"/>
      <c r="D14" s="1716"/>
      <c r="E14" s="2094" t="s">
        <v>12</v>
      </c>
      <c r="F14" s="2094"/>
      <c r="G14" s="2094"/>
      <c r="H14" s="2094"/>
      <c r="I14" s="2094"/>
      <c r="J14" s="2094"/>
      <c r="K14" s="2094"/>
      <c r="L14" s="2094"/>
      <c r="M14" s="2094"/>
      <c r="N14" s="2094"/>
      <c r="O14" s="2094"/>
      <c r="P14" s="2094"/>
      <c r="Q14" s="2094"/>
      <c r="R14" s="2094"/>
      <c r="S14" s="2094"/>
      <c r="T14" s="2094"/>
      <c r="U14" s="2094"/>
      <c r="V14" s="2094"/>
      <c r="W14" s="2094"/>
      <c r="X14" s="2094"/>
      <c r="Y14" s="1712"/>
      <c r="Z14" s="1713"/>
      <c r="AA14" s="1714"/>
      <c r="AB14" s="1714"/>
    </row>
    <row customHeight="1" ht="16.5">
      <c r="A15" s="1710"/>
      <c r="B15" s="2092"/>
      <c r="C15" s="2093"/>
      <c r="D15" s="1725"/>
      <c r="E15" s="1726"/>
      <c r="F15" s="1726"/>
      <c r="G15" s="1726"/>
      <c r="H15" s="1726"/>
      <c r="I15" s="1726"/>
      <c r="J15" s="1726"/>
      <c r="K15" s="1726"/>
      <c r="L15" s="1726"/>
      <c r="M15" s="1726"/>
      <c r="N15" s="1726"/>
      <c r="O15" s="1726"/>
      <c r="P15" s="1726"/>
      <c r="Q15" s="1726"/>
      <c r="R15" s="1726"/>
      <c r="S15" s="1726"/>
      <c r="T15" s="1726"/>
      <c r="U15" s="1726"/>
      <c r="V15" s="1726"/>
      <c r="W15" s="1726"/>
      <c r="X15" s="1726"/>
      <c r="Y15" s="1727"/>
      <c r="Z15" s="1713"/>
      <c r="AA15" s="1728"/>
      <c r="AB15" s="1714"/>
    </row>
    <row customHeight="1" ht="95.25">
      <c r="A16" s="1702"/>
      <c r="B16" s="2094"/>
      <c r="C16" s="2095"/>
      <c r="D16" s="2095"/>
      <c r="E16" s="2095"/>
      <c r="F16" s="2095"/>
      <c r="G16" s="2095"/>
      <c r="H16" s="2095"/>
      <c r="I16" s="2095"/>
      <c r="J16" s="2095"/>
      <c r="K16" s="2095"/>
      <c r="L16" s="2095"/>
      <c r="M16" s="2095"/>
      <c r="N16" s="2095"/>
      <c r="O16" s="2095"/>
      <c r="P16" s="2095"/>
      <c r="Q16" s="2095"/>
      <c r="R16" s="2095"/>
      <c r="S16" s="2095"/>
      <c r="T16" s="2095"/>
      <c r="U16" s="2095"/>
      <c r="V16" s="2095"/>
      <c r="W16" s="2095"/>
      <c r="X16" s="2095"/>
      <c r="Y16" s="2095"/>
      <c r="Z16" s="1702"/>
      <c r="AA16" s="1704"/>
      <c r="AB16" s="1702"/>
    </row>
    <row customHeight="1" ht="14.25">
      <c r="A17" s="1702"/>
      <c r="B17" s="1702"/>
      <c r="C17" s="1702"/>
      <c r="D17" s="1702"/>
      <c r="E17" s="1702"/>
      <c r="F17" s="1702"/>
      <c r="G17" s="1702"/>
      <c r="H17" s="1702"/>
      <c r="I17" s="1702"/>
      <c r="J17" s="1702"/>
      <c r="K17" s="1702"/>
      <c r="L17" s="1702"/>
      <c r="M17" s="1702"/>
      <c r="N17" s="1702"/>
      <c r="O17" s="1702"/>
      <c r="P17" s="1702"/>
      <c r="Q17" s="1702"/>
      <c r="R17" s="1702"/>
      <c r="S17" s="1702"/>
      <c r="T17" s="1702"/>
      <c r="U17" s="1702"/>
      <c r="V17" s="1702"/>
      <c r="W17" s="1702"/>
      <c r="X17" s="1702"/>
      <c r="Y17" s="1703"/>
      <c r="Z17" s="1702"/>
      <c r="AA17" s="1704"/>
      <c r="AB17" s="1702"/>
    </row>
    <row customHeight="1" ht="14.25">
      <c r="A18" s="1702"/>
      <c r="B18" s="1702"/>
      <c r="C18" s="1702"/>
      <c r="D18" s="1702"/>
      <c r="E18" s="1702"/>
      <c r="F18" s="1702"/>
      <c r="G18" s="1702"/>
      <c r="H18" s="1702"/>
      <c r="I18" s="1702"/>
      <c r="J18" s="1702"/>
      <c r="K18" s="1702"/>
      <c r="L18" s="1702"/>
      <c r="M18" s="1702"/>
      <c r="N18" s="1702"/>
      <c r="O18" s="1702"/>
      <c r="P18" s="1702"/>
      <c r="Q18" s="1702"/>
      <c r="R18" s="1702"/>
      <c r="S18" s="1702"/>
      <c r="T18" s="1702"/>
      <c r="U18" s="1702"/>
      <c r="V18" s="1702"/>
      <c r="W18" s="1702"/>
      <c r="X18" s="1702"/>
      <c r="Y18" s="1703"/>
      <c r="Z18" s="1702"/>
      <c r="AA18" s="1704"/>
      <c r="AB18" s="1702"/>
    </row>
    <row customHeight="1" ht="14.25">
      <c r="A19" s="1702"/>
      <c r="B19" s="1702"/>
      <c r="C19" s="1702"/>
      <c r="D19" s="1702"/>
      <c r="E19" s="1702"/>
      <c r="F19" s="1702"/>
      <c r="G19" s="1702"/>
      <c r="H19" s="1702"/>
      <c r="I19" s="1702"/>
      <c r="J19" s="1702"/>
      <c r="K19" s="1702"/>
      <c r="L19" s="1702"/>
      <c r="M19" s="1702"/>
      <c r="N19" s="1702"/>
      <c r="O19" s="1702"/>
      <c r="P19" s="1702"/>
      <c r="Q19" s="1702"/>
      <c r="R19" s="1702"/>
      <c r="S19" s="1702"/>
      <c r="T19" s="1702"/>
      <c r="U19" s="1702"/>
      <c r="V19" s="1702"/>
      <c r="W19" s="1702"/>
      <c r="X19" s="1702"/>
      <c r="Y19" s="1703"/>
      <c r="Z19" s="1702"/>
      <c r="AA19" s="1704"/>
      <c r="AB19" s="1702"/>
    </row>
    <row customHeight="1" ht="14.25">
      <c r="A20" s="1702"/>
      <c r="B20" s="1702"/>
      <c r="C20" s="1702"/>
      <c r="D20" s="1702"/>
      <c r="E20" s="1702"/>
      <c r="F20" s="1702"/>
      <c r="G20" s="1702"/>
      <c r="H20" s="1702"/>
      <c r="I20" s="1702"/>
      <c r="J20" s="1702"/>
      <c r="K20" s="1702"/>
      <c r="L20" s="1702"/>
      <c r="M20" s="1702"/>
      <c r="N20" s="1702"/>
      <c r="O20" s="1702"/>
      <c r="P20" s="1702"/>
      <c r="Q20" s="1702"/>
      <c r="R20" s="1702"/>
      <c r="S20" s="1702"/>
      <c r="T20" s="1702"/>
      <c r="U20" s="1702"/>
      <c r="V20" s="1702"/>
      <c r="W20" s="1702"/>
      <c r="X20" s="1702"/>
      <c r="Y20" s="1703"/>
      <c r="Z20" s="1702"/>
      <c r="AA20" s="1704"/>
      <c r="AB20" s="1702"/>
    </row>
    <row customHeight="1" ht="14.25">
      <c r="A21" s="1702"/>
      <c r="B21" s="1702"/>
      <c r="C21" s="1702"/>
      <c r="D21" s="1702"/>
      <c r="E21" s="1702"/>
      <c r="F21" s="1702"/>
      <c r="G21" s="1702"/>
      <c r="H21" s="1702"/>
      <c r="I21" s="1702"/>
      <c r="J21" s="1702"/>
      <c r="K21" s="1702"/>
      <c r="L21" s="1702"/>
      <c r="M21" s="1702"/>
      <c r="N21" s="1702"/>
      <c r="O21" s="1702"/>
      <c r="P21" s="1702"/>
      <c r="Q21" s="1702"/>
      <c r="R21" s="1702"/>
      <c r="S21" s="1702"/>
      <c r="T21" s="1702"/>
      <c r="U21" s="1702"/>
      <c r="V21" s="1702"/>
      <c r="W21" s="1702"/>
      <c r="X21" s="1702"/>
      <c r="Y21" s="1703"/>
      <c r="Z21" s="1702"/>
      <c r="AA21" s="1704"/>
      <c r="AB21" s="1702"/>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9504D17C-A587-0ABC-D358-0.5A2F7C21}" mc:Ignorable="x14ac xr xr2 xr3">
  <sheetPr>
    <tabColor rgb="FFCCCCFF"/>
  </sheetPr>
  <dimension ref="A1:Q79"/>
  <sheetViews>
    <sheetView topLeftCell="C1" showGridLines="0" zoomScale="90" workbookViewId="0" tabSelected="1">
      <selection activeCell="F67" sqref="F67:F70"/>
    </sheetView>
  </sheetViews>
  <sheetFormatPr defaultColWidth="9.140625" customHeight="1" defaultRowHeight="11.25"/>
  <cols>
    <col min="1" max="1" style="788" width="10.7109375" hidden="1" customWidth="1"/>
    <col min="2" max="2" style="733" width="10.7109375" hidden="1" customWidth="1"/>
    <col min="3" max="3" style="531" width="3.00390625" customWidth="1"/>
    <col min="4" max="4" style="1636" width="1.00390625" customWidth="1"/>
    <col min="5" max="6" style="1636" width="55.00390625" customWidth="1"/>
    <col min="7" max="7" style="2126" width="1.00390625" customWidth="1"/>
    <col min="8" max="8" style="1636" width="18.00390625" hidden="1" customWidth="1"/>
    <col min="9" max="9" style="532" width="59.00390625" customWidth="1"/>
    <col min="10" max="10" style="1367" width="52.140625" hidden="1" customWidth="1"/>
    <col min="11" max="11" style="1636" width="8.00390625" customWidth="1"/>
    <col min="12" max="12" style="1636" width="77.00390625" customWidth="1"/>
    <col min="13" max="16" style="1636" width="8.00390625" customWidth="1"/>
    <col min="17" max="17" style="1636" width="12.00390625" hidden="1" customWidth="1"/>
  </cols>
  <sheetData>
    <row s="623" customFormat="1" customHeight="1" ht="3">
      <c r="A1" s="784"/>
      <c r="B1" s="242"/>
      <c r="F1" s="243" t="s">
        <v>13</v>
      </c>
      <c r="G1" s="412"/>
      <c r="H1" s="72"/>
      <c r="I1" s="412"/>
      <c r="J1" s="872"/>
      <c r="Q1" s="243" t="s">
        <v>14</v>
      </c>
    </row>
    <row s="1633" customFormat="1" customHeight="1" ht="14.25">
      <c r="A2" s="784"/>
      <c r="B2" s="99"/>
      <c r="E2" s="1741" t="str">
        <f>code</f>
        <v>Код отчёта: PP108.OPEN.INFO.PRICE.COLDVSNA.EIAS</v>
      </c>
      <c r="F2" s="270"/>
      <c r="G2" s="246"/>
      <c r="H2" s="246"/>
      <c r="I2" s="246"/>
      <c r="J2" s="873"/>
      <c r="K2" s="246"/>
      <c r="Q2" s="72">
        <v>14</v>
      </c>
    </row>
    <row customHeight="1" ht="14.699999999999998">
      <c r="E3" s="247" t="str">
        <f>version</f>
        <v>Версия отчёта: 1.1.1</v>
      </c>
      <c r="F3" s="270"/>
      <c r="G3" s="771"/>
      <c r="H3" s="771"/>
      <c r="I3" s="771"/>
      <c r="J3" s="874"/>
      <c r="K3" s="89"/>
      <c r="Q3" s="75">
        <v>14</v>
      </c>
    </row>
    <row s="1613" customFormat="1" customHeight="1" ht="6.3">
      <c r="A4" s="785"/>
      <c r="B4" s="233"/>
      <c r="C4" s="234"/>
      <c r="D4" s="235"/>
      <c r="E4" s="244"/>
      <c r="F4" s="245"/>
      <c r="G4" s="772"/>
      <c r="H4" s="410"/>
      <c r="I4" s="412"/>
      <c r="J4" s="875"/>
      <c r="Q4" s="237">
        <v>6</v>
      </c>
    </row>
    <row customHeight="1" ht="39.75">
      <c r="D5" s="76"/>
      <c r="E5" s="2096" t="str">
        <f>NameTemplatesInTitle</f>
        <v>Показатели, подлежащие раскрытию в сфере холодного водоснабжения (цены и тарифы)</v>
      </c>
      <c r="F5" s="2097"/>
      <c r="G5" s="773"/>
      <c r="J5" s="876"/>
      <c r="Q5" s="75">
        <v>38</v>
      </c>
    </row>
    <row s="1613" customFormat="1" customHeight="1" ht="6.3">
      <c r="A6" s="785"/>
      <c r="B6" s="233"/>
      <c r="C6" s="234"/>
      <c r="D6" s="235"/>
      <c r="E6" s="238"/>
      <c r="F6" s="239"/>
      <c r="G6" s="773"/>
      <c r="H6" s="410"/>
      <c r="I6" s="412"/>
      <c r="J6" s="875"/>
      <c r="Q6" s="237">
        <v>6</v>
      </c>
    </row>
    <row customHeight="1" ht="21">
      <c r="D7" s="76"/>
      <c r="E7" s="392" t="s">
        <v>15</v>
      </c>
      <c r="F7" s="216" t="s">
        <v>16</v>
      </c>
      <c r="G7" s="773"/>
      <c r="Q7" s="75">
        <v>20</v>
      </c>
    </row>
    <row s="1613" customFormat="1" customHeight="1" ht="6.3">
      <c r="A8" s="786"/>
      <c r="B8" s="233"/>
      <c r="C8" s="234"/>
      <c r="D8" s="240"/>
      <c r="E8" s="238"/>
      <c r="F8" s="241"/>
      <c r="G8" s="78"/>
      <c r="H8" s="410"/>
      <c r="I8" s="412"/>
      <c r="J8" s="878"/>
      <c r="Q8" s="237">
        <v>6</v>
      </c>
    </row>
    <row s="1636" customFormat="1" customHeight="1" ht="19.5" hidden="1">
      <c r="A9" s="785"/>
      <c r="B9" s="99"/>
      <c r="C9" s="409"/>
      <c r="D9" s="411"/>
      <c r="E9" s="1166" t="s">
        <v>17</v>
      </c>
      <c r="F9" s="1922"/>
      <c r="G9" s="773"/>
      <c r="I9" s="1901" t="str">
        <f>IF(TITLE_STRUCTURE_INFO_ROIV="","","раскрывается "&amp;INDEX(ROIV_INFO_COMMENT,MATCH(TITLE_STRUCTURE_INFO_ROIV,ROIV_INFO_LIST,0)))</f>
        <v/>
      </c>
      <c r="J9" s="877"/>
      <c r="Q9" s="410">
        <v>0</v>
      </c>
    </row>
    <row s="1613" customFormat="1" customHeight="1" ht="24" hidden="1">
      <c r="A10" s="786"/>
      <c r="B10" s="427"/>
      <c r="C10" s="428"/>
      <c r="D10" s="240"/>
      <c r="E10" s="1166" t="s">
        <v>18</v>
      </c>
      <c r="F10" s="2067" t="s">
        <v>19</v>
      </c>
      <c r="G10" s="78"/>
      <c r="H10" s="410"/>
      <c r="I10" s="412"/>
      <c r="J10" s="878"/>
      <c r="Q10" s="431">
        <v>24</v>
      </c>
    </row>
    <row customHeight="1" ht="22.5">
      <c r="A11" s="2099" t="s">
        <v>20</v>
      </c>
      <c r="D11" s="76"/>
      <c r="E11" s="1166" t="s">
        <v>21</v>
      </c>
      <c r="F11" s="1733">
        <v>44927</v>
      </c>
      <c r="G11" s="78"/>
      <c r="H11" s="774" t="s">
        <v>22</v>
      </c>
      <c r="J11" s="877" t="s">
        <v>23</v>
      </c>
      <c r="Q11" s="75">
        <v>0</v>
      </c>
    </row>
    <row customHeight="1" ht="22.5">
      <c r="A12" s="2099"/>
      <c r="D12" s="76"/>
      <c r="E12" s="1166" t="s">
        <v>24</v>
      </c>
      <c r="F12" s="1733">
        <v>46022</v>
      </c>
      <c r="G12" s="74"/>
      <c r="J12" s="877" t="s">
        <v>25</v>
      </c>
      <c r="Q12" s="75">
        <v>0</v>
      </c>
    </row>
    <row s="1636" customFormat="1" customHeight="1" ht="22.5" hidden="1">
      <c r="A13" s="789" t="s">
        <v>26</v>
      </c>
      <c r="B13" s="99"/>
      <c r="C13" s="409"/>
      <c r="D13" s="411"/>
      <c r="E13" s="1776" t="s">
        <v>27</v>
      </c>
      <c r="F13" s="1733" t="s">
        <v>28</v>
      </c>
      <c r="G13" s="78"/>
      <c r="H13" s="771"/>
      <c r="I13" s="412"/>
      <c r="J13" s="1777" t="s">
        <v>29</v>
      </c>
      <c r="Q13" s="410">
        <v>0</v>
      </c>
    </row>
    <row s="1636" customFormat="1" customHeight="1" ht="27" hidden="1">
      <c r="A14" s="789" t="s">
        <v>30</v>
      </c>
      <c r="B14" s="99"/>
      <c r="C14" s="409"/>
      <c r="D14" s="411"/>
      <c r="E14" s="1166" t="s">
        <v>31</v>
      </c>
      <c r="F14" s="1768"/>
      <c r="G14" s="78"/>
      <c r="H14" s="771"/>
      <c r="I14" s="412"/>
      <c r="J14" s="877" t="s">
        <v>32</v>
      </c>
      <c r="Q14" s="410">
        <v>0</v>
      </c>
    </row>
    <row s="1636" customFormat="1" customHeight="1" ht="19.5" hidden="1">
      <c r="A15" s="789" t="s">
        <v>33</v>
      </c>
      <c r="B15" s="99"/>
      <c r="C15" s="409"/>
      <c r="D15" s="411"/>
      <c r="E15" s="1166" t="s">
        <v>34</v>
      </c>
      <c r="F15" s="1768"/>
      <c r="G15" s="78"/>
      <c r="H15" s="771"/>
      <c r="I15" s="412"/>
      <c r="J15" s="877" t="s">
        <v>35</v>
      </c>
      <c r="Q15" s="410">
        <v>0</v>
      </c>
    </row>
    <row s="1613" customFormat="1" customHeight="1" ht="6.3">
      <c r="A16" s="786"/>
      <c r="B16" s="233"/>
      <c r="C16" s="234"/>
      <c r="D16" s="240"/>
      <c r="E16" s="238"/>
      <c r="F16" s="241"/>
      <c r="G16" s="78"/>
      <c r="H16" s="410"/>
      <c r="I16" s="412"/>
      <c r="J16" s="875"/>
      <c r="Q16" s="237">
        <v>6</v>
      </c>
    </row>
    <row customHeight="1" ht="21">
      <c r="D17" s="76"/>
      <c r="E17" s="392" t="s">
        <v>36</v>
      </c>
      <c r="F17" s="2577" t="s">
        <v>37</v>
      </c>
      <c r="G17" s="74"/>
      <c r="H17" s="774" t="s">
        <v>22</v>
      </c>
      <c r="Q17" s="75">
        <v>20</v>
      </c>
    </row>
    <row customHeight="1" ht="25.5">
      <c r="D18" s="76"/>
      <c r="E18" s="1776" t="s">
        <v>38</v>
      </c>
      <c r="F18" s="2630">
        <v>45644</v>
      </c>
      <c r="G18" s="74"/>
      <c r="I18" s="775"/>
      <c r="J18" s="2098" t="s">
        <v>39</v>
      </c>
      <c r="Q18" s="75">
        <v>0</v>
      </c>
    </row>
    <row customHeight="1" ht="25.5">
      <c r="D19" s="76"/>
      <c r="E19" s="1166" t="str">
        <f>"Дата периода регулирования, с которой "&amp;IF(TEMPLATE_GROUP="P","вводятся","предлагаются")&amp;" изменения в тарифы"</f>
        <v>Дата периода регулирования, с которой вводятся изменения в тарифы</v>
      </c>
      <c r="F19" s="2630">
        <v>45658</v>
      </c>
      <c r="G19" s="74"/>
      <c r="I19" s="775"/>
      <c r="J19" s="2098"/>
      <c r="Q19" s="75">
        <v>0</v>
      </c>
    </row>
    <row customHeight="1" ht="22.5">
      <c r="D20" s="76"/>
      <c r="E20" s="77"/>
      <c r="F20" s="271" t="str">
        <f>"Первичное "&amp;IF(TEMPLATE_GROUP="P","установление тарифов","предложение по тарифам")</f>
        <v>Первичное установление тарифов</v>
      </c>
      <c r="G20" s="74"/>
      <c r="I20" s="395"/>
      <c r="J20" s="876" t="s">
        <v>40</v>
      </c>
      <c r="Q20" s="75">
        <v>0</v>
      </c>
    </row>
    <row customHeight="1" ht="19.5">
      <c r="D21" s="76"/>
      <c r="E21" s="392" t="str">
        <f>"Дата "&amp;IF(TEMPLATE_GROUP="P","документа","подачи заявления")&amp;" об утверждении тарифов"</f>
        <v>Дата документа об утверждении тарифов</v>
      </c>
      <c r="F21" s="1733">
        <v>44881</v>
      </c>
      <c r="G21" s="74"/>
      <c r="I21" s="776"/>
      <c r="Q21" s="75">
        <v>0</v>
      </c>
    </row>
    <row customHeight="1" ht="19.5">
      <c r="D22" s="76"/>
      <c r="E22" s="392" t="str">
        <f>"Номер "&amp;IF(TEMPLATE_GROUP="P","документа","подачи заявления")&amp;" об утверждении тарифов"</f>
        <v>Номер документа об утверждении тарифов</v>
      </c>
      <c r="F22" s="217" t="s">
        <v>41</v>
      </c>
      <c r="G22" s="74"/>
      <c r="I22" s="776"/>
      <c r="Q22" s="75">
        <v>0</v>
      </c>
    </row>
    <row customHeight="1" ht="22.5">
      <c r="D23" s="76"/>
      <c r="E23" s="392" t="s">
        <v>42</v>
      </c>
      <c r="F23" s="217" t="s">
        <v>43</v>
      </c>
      <c r="G23" s="74"/>
      <c r="Q23" s="75">
        <v>0</v>
      </c>
    </row>
    <row customHeight="1" ht="19.5">
      <c r="D24" s="76"/>
      <c r="E24" s="392" t="s">
        <v>44</v>
      </c>
      <c r="F24" s="217" t="s">
        <v>45</v>
      </c>
      <c r="G24" s="74"/>
      <c r="Q24" s="75">
        <v>0</v>
      </c>
    </row>
    <row customHeight="1" ht="22.5">
      <c r="D25" s="76"/>
      <c r="E25" s="77"/>
      <c r="F25" s="271" t="str">
        <f>"Изменение "&amp;IF(TEMPLATE_GROUP="P","тарифов","предложения по тарифам")</f>
        <v>Изменение тарифов</v>
      </c>
      <c r="G25" s="74"/>
      <c r="J25" s="876" t="s">
        <v>46</v>
      </c>
      <c r="Q25" s="75">
        <v>0</v>
      </c>
    </row>
    <row customHeight="1" ht="19.5">
      <c r="D26" s="76"/>
      <c r="E26" s="392" t="str">
        <f>"Дата "&amp;IF(TEMPLATE_GROUP="P","принятия решения","подачи заявления")&amp;" об изменении тарифов"</f>
        <v>Дата принятия решения об изменении тарифов</v>
      </c>
      <c r="F26" s="2630">
        <v>45642</v>
      </c>
      <c r="G26" s="74"/>
      <c r="Q26" s="75">
        <v>0</v>
      </c>
    </row>
    <row customHeight="1" ht="19.5">
      <c r="D27" s="76"/>
      <c r="E27" s="1166" t="str">
        <f>"Номер "&amp;IF(TEMPLATE_GROUP="P","принятия решения","заявления")&amp;" об изменении тарифов"</f>
        <v>Номер принятия решения об изменении тарифов</v>
      </c>
      <c r="F27" s="2631" t="s">
        <v>47</v>
      </c>
      <c r="G27" s="74"/>
      <c r="Q27" s="75">
        <v>0</v>
      </c>
    </row>
    <row customHeight="1" ht="24.75">
      <c r="D28" s="76"/>
      <c r="E28" s="392" t="s">
        <v>48</v>
      </c>
      <c r="F28" s="2631" t="s">
        <v>43</v>
      </c>
      <c r="G28" s="74"/>
      <c r="Q28" s="75">
        <v>0</v>
      </c>
    </row>
    <row customHeight="1" ht="19.5">
      <c r="D29" s="76"/>
      <c r="E29" s="392" t="s">
        <v>44</v>
      </c>
      <c r="F29" s="2631" t="s">
        <v>45</v>
      </c>
      <c r="G29" s="74"/>
      <c r="Q29" s="75">
        <v>0</v>
      </c>
    </row>
    <row s="1613" customFormat="1" customHeight="1" ht="6.3">
      <c r="A30" s="786"/>
      <c r="B30" s="233"/>
      <c r="C30" s="234"/>
      <c r="D30" s="240"/>
      <c r="E30" s="238"/>
      <c r="F30" s="241"/>
      <c r="G30" s="78"/>
      <c r="H30" s="410"/>
      <c r="I30" s="412"/>
      <c r="J30" s="875"/>
      <c r="Q30" s="237">
        <v>6</v>
      </c>
    </row>
    <row customHeight="1" ht="21">
      <c r="C31" s="79"/>
      <c r="D31" s="80"/>
      <c r="E31" s="392" t="str">
        <f>"Наименование "&amp;IF(TEMPLATE_GROUP="ROIV","органа тарифного регулирования","ЮЛ / ИП")</f>
        <v>Наименование ЮЛ / ИП</v>
      </c>
      <c r="F31" s="218" t="s">
        <v>49</v>
      </c>
      <c r="G31" s="777"/>
      <c r="Q31" s="75">
        <v>20</v>
      </c>
    </row>
    <row customHeight="1" ht="21" hidden="1">
      <c r="C32" s="79"/>
      <c r="D32" s="80"/>
      <c r="E32" s="393" t="s">
        <v>50</v>
      </c>
      <c r="F32" s="218"/>
      <c r="G32" s="777"/>
      <c r="Q32" s="75">
        <v>20</v>
      </c>
    </row>
    <row customHeight="1" ht="21">
      <c r="C33" s="79"/>
      <c r="D33" s="80"/>
      <c r="E33" s="392" t="s">
        <v>51</v>
      </c>
      <c r="F33" s="218" t="s">
        <v>52</v>
      </c>
      <c r="G33" s="777"/>
      <c r="Q33" s="75">
        <v>20</v>
      </c>
    </row>
    <row customHeight="1" ht="21">
      <c r="C34" s="79"/>
      <c r="D34" s="80"/>
      <c r="E34" s="392" t="s">
        <v>53</v>
      </c>
      <c r="F34" s="218" t="s">
        <v>54</v>
      </c>
      <c r="G34" s="777"/>
      <c r="H34" s="81"/>
      <c r="Q34" s="75">
        <v>20</v>
      </c>
    </row>
    <row s="1613" customFormat="1" customHeight="1" ht="11.549999999999999">
      <c r="A35" s="786"/>
      <c r="B35" s="233"/>
      <c r="C35" s="234"/>
      <c r="D35" s="240"/>
      <c r="E35" s="238"/>
      <c r="F35" s="241"/>
      <c r="G35" s="78"/>
      <c r="H35" s="410"/>
      <c r="I35" s="412"/>
      <c r="J35" s="875"/>
      <c r="Q35" s="237">
        <v>11</v>
      </c>
    </row>
    <row customHeight="1" ht="19.5" hidden="1">
      <c r="A36" s="880"/>
      <c r="D36" s="80"/>
      <c r="E36" s="392" t="s">
        <v>55</v>
      </c>
      <c r="F36" s="349"/>
      <c r="G36" s="78"/>
      <c r="Q36" s="75">
        <v>0</v>
      </c>
    </row>
    <row customHeight="1" ht="21">
      <c r="A37" s="880"/>
      <c r="D37" s="80"/>
      <c r="E37" s="392" t="s">
        <v>56</v>
      </c>
      <c r="F37" s="1211" t="s">
        <v>57</v>
      </c>
      <c r="G37" s="78"/>
      <c r="Q37" s="75">
        <v>20</v>
      </c>
    </row>
    <row s="1613" customFormat="1" customHeight="1" ht="6.3">
      <c r="A38" s="786"/>
      <c r="B38" s="233"/>
      <c r="C38" s="234"/>
      <c r="D38" s="235"/>
      <c r="E38" s="236"/>
      <c r="F38" s="1054"/>
      <c r="G38" s="74"/>
      <c r="H38" s="410"/>
      <c r="I38" s="412"/>
      <c r="J38" s="877"/>
      <c r="Q38" s="237">
        <v>6</v>
      </c>
    </row>
    <row customHeight="1" ht="36.75">
      <c r="A39" s="786"/>
      <c r="D39" s="76"/>
      <c r="E39" s="392" t="s">
        <v>58</v>
      </c>
      <c r="F39" s="711" t="s">
        <v>19</v>
      </c>
      <c r="G39" s="74"/>
      <c r="H39" s="774" t="s">
        <v>22</v>
      </c>
      <c r="Q39" s="75">
        <v>35</v>
      </c>
    </row>
    <row s="1613" customFormat="1" customHeight="1" ht="6" hidden="1">
      <c r="A40" s="785"/>
      <c r="B40" s="427"/>
      <c r="C40" s="428"/>
      <c r="D40" s="429"/>
      <c r="E40" s="430"/>
      <c r="F40" s="1054"/>
      <c r="G40" s="74"/>
      <c r="H40" s="410"/>
      <c r="I40" s="412"/>
      <c r="J40" s="877"/>
      <c r="Q40" s="431">
        <v>6</v>
      </c>
    </row>
    <row s="1636" customFormat="1" customHeight="1" ht="26.25" hidden="1">
      <c r="A41" s="789" t="s">
        <v>26</v>
      </c>
      <c r="B41" s="414"/>
      <c r="C41" s="409"/>
      <c r="D41" s="411"/>
      <c r="E41" s="392"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41" s="711" t="s">
        <v>19</v>
      </c>
      <c r="G41" s="74"/>
      <c r="I41" s="412"/>
      <c r="J41" s="877"/>
      <c r="Q41" s="410">
        <v>0</v>
      </c>
    </row>
    <row s="1613" customFormat="1" customHeight="1" ht="6" hidden="1">
      <c r="A42" s="785"/>
      <c r="B42" s="427"/>
      <c r="C42" s="428"/>
      <c r="D42" s="429"/>
      <c r="E42" s="430"/>
      <c r="F42" s="1054"/>
      <c r="G42" s="74"/>
      <c r="H42" s="410"/>
      <c r="I42" s="412"/>
      <c r="J42" s="875"/>
      <c r="Q42" s="431">
        <v>0</v>
      </c>
    </row>
    <row s="1636" customFormat="1" customHeight="1" ht="27" hidden="1">
      <c r="A43" s="785"/>
      <c r="B43" s="414"/>
      <c r="C43" s="409"/>
      <c r="D43" s="411"/>
      <c r="E43" s="392" t="s">
        <v>59</v>
      </c>
      <c r="F43" s="711" t="s">
        <v>19</v>
      </c>
      <c r="G43" s="74"/>
      <c r="I43" s="412"/>
      <c r="J43" s="877"/>
      <c r="Q43" s="410">
        <v>0</v>
      </c>
    </row>
    <row s="1636" customFormat="1" customHeight="1" ht="27" hidden="1">
      <c r="A44" s="785"/>
      <c r="B44" s="414"/>
      <c r="C44" s="409"/>
      <c r="D44" s="411"/>
      <c r="E44" s="1166" t="s">
        <v>60</v>
      </c>
      <c r="F44" s="1889"/>
      <c r="G44" s="74"/>
      <c r="I44" s="412"/>
      <c r="J44" s="877"/>
      <c r="Q44" s="410">
        <v>0</v>
      </c>
    </row>
    <row s="1613" customFormat="1" customHeight="1" ht="6" hidden="1">
      <c r="A45" s="785"/>
      <c r="B45" s="427"/>
      <c r="C45" s="428"/>
      <c r="D45" s="429"/>
      <c r="E45" s="430"/>
      <c r="F45" s="1054"/>
      <c r="G45" s="74"/>
      <c r="H45" s="410"/>
      <c r="I45" s="412"/>
      <c r="J45" s="877"/>
      <c r="Q45" s="431">
        <v>0</v>
      </c>
    </row>
    <row s="1613" customFormat="1" customHeight="1" ht="24.75" hidden="1">
      <c r="A46" s="785"/>
      <c r="B46" s="427"/>
      <c r="C46" s="428"/>
      <c r="D46" s="429"/>
      <c r="E46" s="1166" t="s">
        <v>61</v>
      </c>
      <c r="F46" s="711" t="s">
        <v>19</v>
      </c>
      <c r="G46" s="74"/>
      <c r="H46" s="410"/>
      <c r="I46" s="412"/>
      <c r="J46" s="877"/>
      <c r="Q46" s="431">
        <v>0</v>
      </c>
    </row>
    <row s="1636" customFormat="1" customHeight="1" ht="24.75" hidden="1">
      <c r="A47" s="785"/>
      <c r="B47" s="414"/>
      <c r="C47" s="409"/>
      <c r="D47" s="411"/>
      <c r="E47" s="1166" t="s">
        <v>62</v>
      </c>
      <c r="F47" s="711" t="s">
        <v>19</v>
      </c>
      <c r="G47" s="74"/>
      <c r="I47" s="412"/>
      <c r="J47" s="877"/>
      <c r="Q47" s="410">
        <v>0</v>
      </c>
    </row>
    <row s="1613" customFormat="1" customHeight="1" ht="6">
      <c r="A48" s="785"/>
      <c r="B48" s="233"/>
      <c r="C48" s="234"/>
      <c r="D48" s="235"/>
      <c r="E48" s="236"/>
      <c r="F48" s="1054"/>
      <c r="G48" s="74"/>
      <c r="H48" s="410"/>
      <c r="I48" s="412"/>
      <c r="J48" s="877"/>
      <c r="Q48" s="237">
        <v>0</v>
      </c>
    </row>
    <row customHeight="1" ht="29.25">
      <c r="B49" s="149"/>
      <c r="D49" s="76"/>
      <c r="E49" s="392"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9" s="711" t="s">
        <v>63</v>
      </c>
      <c r="G49" s="74"/>
      <c r="Q49" s="75">
        <v>0</v>
      </c>
    </row>
    <row s="1613" customFormat="1" customHeight="1" ht="6" hidden="1">
      <c r="A50" s="786"/>
      <c r="B50" s="427"/>
      <c r="C50" s="428"/>
      <c r="D50" s="240"/>
      <c r="E50" s="238"/>
      <c r="F50" s="241"/>
      <c r="G50" s="78"/>
      <c r="H50" s="410"/>
      <c r="I50" s="412"/>
      <c r="J50" s="877"/>
      <c r="Q50" s="431">
        <v>0</v>
      </c>
    </row>
    <row s="1636" customFormat="1" customHeight="1" ht="28.5" hidden="1">
      <c r="A51" s="787"/>
      <c r="B51" s="414"/>
      <c r="C51" s="531"/>
      <c r="D51" s="532"/>
      <c r="E51" s="392" t="s">
        <v>64</v>
      </c>
      <c r="F51" s="711" t="s">
        <v>19</v>
      </c>
      <c r="G51" s="533"/>
      <c r="I51" s="535"/>
      <c r="J51" s="879"/>
      <c r="P51" s="536"/>
      <c r="Q51" s="534">
        <v>0</v>
      </c>
    </row>
    <row s="1613" customFormat="1" customHeight="1" ht="6" hidden="1">
      <c r="A52" s="786"/>
      <c r="B52" s="427"/>
      <c r="C52" s="428"/>
      <c r="D52" s="240"/>
      <c r="E52" s="238"/>
      <c r="F52" s="241"/>
      <c r="G52" s="78"/>
      <c r="H52" s="410"/>
      <c r="I52" s="412"/>
      <c r="J52" s="875"/>
      <c r="Q52" s="431">
        <v>0</v>
      </c>
    </row>
    <row s="1636" customFormat="1" customHeight="1" ht="27" hidden="1">
      <c r="A53" s="787"/>
      <c r="B53" s="414"/>
      <c r="C53" s="531"/>
      <c r="D53" s="532"/>
      <c r="E53" s="392" t="s">
        <v>65</v>
      </c>
      <c r="F53" s="1049" t="s">
        <v>19</v>
      </c>
      <c r="G53" s="533"/>
      <c r="I53" s="535"/>
      <c r="J53" s="879"/>
      <c r="P53" s="536"/>
      <c r="Q53" s="534">
        <v>0</v>
      </c>
    </row>
    <row s="1636" customFormat="1" customHeight="1" ht="27" hidden="1">
      <c r="A54" s="787"/>
      <c r="B54" s="414"/>
      <c r="C54" s="531"/>
      <c r="D54" s="532"/>
      <c r="E54" s="392" t="s">
        <v>66</v>
      </c>
      <c r="F54" s="1775"/>
      <c r="G54" s="533"/>
      <c r="I54" s="535"/>
      <c r="J54" s="879"/>
      <c r="P54" s="536"/>
      <c r="Q54" s="534">
        <v>0</v>
      </c>
    </row>
    <row s="1613" customFormat="1" customHeight="1" ht="6" hidden="1">
      <c r="A55" s="786"/>
      <c r="B55" s="427"/>
      <c r="C55" s="428"/>
      <c r="D55" s="240"/>
      <c r="E55" s="238"/>
      <c r="F55" s="241"/>
      <c r="G55" s="78"/>
      <c r="H55" s="410"/>
      <c r="I55" s="412"/>
      <c r="J55" s="875"/>
      <c r="Q55" s="431">
        <v>0</v>
      </c>
    </row>
    <row s="1636" customFormat="1" customHeight="1" ht="25.5" hidden="1">
      <c r="A56" s="787"/>
      <c r="B56" s="414"/>
      <c r="C56" s="531"/>
      <c r="D56" s="532"/>
      <c r="E56" s="392" t="s">
        <v>67</v>
      </c>
      <c r="F56" s="1049" t="s">
        <v>19</v>
      </c>
      <c r="G56" s="533"/>
      <c r="I56" s="535"/>
      <c r="J56" s="879"/>
      <c r="P56" s="536"/>
      <c r="Q56" s="534">
        <v>0</v>
      </c>
    </row>
    <row s="1613" customFormat="1" customHeight="1" ht="6" hidden="1">
      <c r="A57" s="786"/>
      <c r="B57" s="427"/>
      <c r="C57" s="428"/>
      <c r="D57" s="240"/>
      <c r="E57" s="238"/>
      <c r="F57" s="241"/>
      <c r="G57" s="78"/>
      <c r="H57" s="410"/>
      <c r="I57" s="412"/>
      <c r="J57" s="875"/>
      <c r="Q57" s="431">
        <v>0</v>
      </c>
    </row>
    <row s="1636" customFormat="1" customHeight="1" ht="15" hidden="1">
      <c r="A58" s="787"/>
      <c r="B58" s="414"/>
      <c r="C58" s="531"/>
      <c r="D58" s="532"/>
      <c r="E58" s="392" t="s">
        <v>68</v>
      </c>
      <c r="F58" s="1049" t="s">
        <v>63</v>
      </c>
      <c r="G58" s="533"/>
      <c r="I58" s="535"/>
      <c r="J58" s="879"/>
      <c r="P58" s="536"/>
      <c r="Q58" s="534">
        <v>0</v>
      </c>
    </row>
    <row s="1636" customFormat="1" customHeight="1" ht="75" hidden="1">
      <c r="A59" s="787"/>
      <c r="B59" s="414"/>
      <c r="C59" s="531"/>
      <c r="D59" s="532"/>
      <c r="E59" s="392"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9" s="1190"/>
      <c r="G59" s="533"/>
      <c r="I59" s="535"/>
      <c r="J59" s="879"/>
      <c r="P59" s="536"/>
      <c r="Q59" s="534">
        <v>0</v>
      </c>
    </row>
    <row s="1636" customFormat="1" customHeight="1" ht="15" hidden="1">
      <c r="A60" s="787"/>
      <c r="B60" s="414"/>
      <c r="C60" s="531"/>
      <c r="D60" s="532"/>
      <c r="E60" s="1166" t="s">
        <v>69</v>
      </c>
      <c r="F60" s="1152"/>
      <c r="G60" s="533"/>
      <c r="I60" s="535"/>
      <c r="J60" s="879"/>
      <c r="P60" s="536"/>
      <c r="Q60" s="534">
        <v>0</v>
      </c>
    </row>
    <row s="1613" customFormat="1" customHeight="1" ht="6" hidden="1">
      <c r="A61" s="786"/>
      <c r="B61" s="427"/>
      <c r="C61" s="428"/>
      <c r="D61" s="429"/>
      <c r="E61" s="430"/>
      <c r="F61" s="1054"/>
      <c r="G61" s="74"/>
      <c r="H61" s="410"/>
      <c r="I61" s="412"/>
      <c r="J61" s="877"/>
      <c r="Q61" s="431">
        <v>0</v>
      </c>
    </row>
    <row s="1636" customFormat="1" customHeight="1" ht="33.75" hidden="1">
      <c r="A62" s="786"/>
      <c r="B62" s="99"/>
      <c r="C62" s="409"/>
      <c r="D62" s="411"/>
      <c r="E62" s="1166" t="s">
        <v>70</v>
      </c>
      <c r="F62" s="1672" t="s">
        <v>63</v>
      </c>
      <c r="G62" s="74"/>
      <c r="H62" s="774" t="s">
        <v>22</v>
      </c>
      <c r="I62" s="412"/>
      <c r="J62" s="877"/>
      <c r="Q62" s="410">
        <v>0</v>
      </c>
    </row>
    <row s="1613" customFormat="1" customHeight="1" ht="6.3">
      <c r="A63" s="786"/>
      <c r="B63" s="233"/>
      <c r="C63" s="234"/>
      <c r="D63" s="240"/>
      <c r="E63" s="238"/>
      <c r="F63" s="241"/>
      <c r="G63" s="78"/>
      <c r="H63" s="410"/>
      <c r="I63" s="412"/>
      <c r="J63" s="875"/>
      <c r="Q63" s="237">
        <v>6</v>
      </c>
    </row>
    <row customHeight="1" ht="21">
      <c r="A64" s="788"/>
      <c r="B64" s="100"/>
      <c r="D64" s="83"/>
      <c r="E64" s="392" t="s">
        <v>71</v>
      </c>
      <c r="F64" s="217" t="s">
        <v>72</v>
      </c>
      <c r="G64" s="78"/>
      <c r="Q64" s="75">
        <v>20</v>
      </c>
    </row>
    <row customHeight="1" ht="21">
      <c r="A65" s="788"/>
      <c r="B65" s="100"/>
      <c r="D65" s="83"/>
      <c r="E65" s="392" t="s">
        <v>73</v>
      </c>
      <c r="F65" s="217" t="s">
        <v>74</v>
      </c>
      <c r="G65" s="78"/>
      <c r="Q65" s="75">
        <v>20</v>
      </c>
    </row>
    <row customHeight="1" ht="36.75">
      <c r="D66" s="76"/>
      <c r="E66" s="394" t="s">
        <v>75</v>
      </c>
      <c r="F66" s="1055"/>
      <c r="G66" s="74"/>
      <c r="Q66" s="75">
        <v>35</v>
      </c>
    </row>
    <row customHeight="1" ht="21">
      <c r="A67" s="788"/>
      <c r="D67" s="411"/>
      <c r="E67" s="392" t="s">
        <v>76</v>
      </c>
      <c r="F67" s="272" t="s">
        <v>77</v>
      </c>
      <c r="G67" s="78"/>
      <c r="Q67" s="75">
        <v>20</v>
      </c>
    </row>
    <row customHeight="1" ht="21">
      <c r="A68" s="788"/>
      <c r="B68" s="100"/>
      <c r="D68" s="83"/>
      <c r="E68" s="392" t="s">
        <v>78</v>
      </c>
      <c r="F68" s="272" t="s">
        <v>79</v>
      </c>
      <c r="G68" s="78"/>
      <c r="Q68" s="75">
        <v>20</v>
      </c>
    </row>
    <row customHeight="1" ht="21">
      <c r="A69" s="788"/>
      <c r="B69" s="100"/>
      <c r="D69" s="83"/>
      <c r="E69" s="392" t="s">
        <v>80</v>
      </c>
      <c r="F69" s="272" t="s">
        <v>81</v>
      </c>
      <c r="G69" s="78"/>
      <c r="Q69" s="75">
        <v>20</v>
      </c>
    </row>
    <row customHeight="1" ht="21">
      <c r="D70" s="411"/>
      <c r="E70" s="392" t="s">
        <v>82</v>
      </c>
      <c r="F70" s="272" t="s">
        <v>83</v>
      </c>
      <c r="G70" s="74"/>
      <c r="Q70" s="75">
        <v>20</v>
      </c>
    </row>
    <row customHeight="1" ht="21">
      <c r="A71" s="788"/>
      <c r="D71" s="74"/>
      <c r="F71" s="134"/>
      <c r="G71" s="78"/>
      <c r="Q71" s="75">
        <v>20</v>
      </c>
    </row>
    <row customHeight="1" ht="21">
      <c r="A72" s="788"/>
      <c r="B72" s="100"/>
      <c r="D72" s="83"/>
      <c r="E72" s="82"/>
      <c r="F72" s="1034" t="s">
        <v>13</v>
      </c>
      <c r="G72" s="78"/>
      <c r="Q72" s="75">
        <v>20</v>
      </c>
    </row>
    <row customHeight="1" ht="21">
      <c r="A73" s="788"/>
      <c r="B73" s="100"/>
      <c r="D73" s="83"/>
      <c r="E73" s="82"/>
      <c r="F73" s="135"/>
      <c r="G73" s="78"/>
      <c r="Q73" s="75">
        <v>20</v>
      </c>
    </row>
    <row customHeight="1" ht="21">
      <c r="A74" s="788"/>
      <c r="B74" s="100"/>
      <c r="D74" s="83"/>
      <c r="E74" s="87"/>
      <c r="F74" s="135"/>
      <c r="G74" s="78"/>
      <c r="Q74" s="75">
        <v>20</v>
      </c>
    </row>
    <row customHeight="1" ht="21">
      <c r="A75" s="788"/>
      <c r="B75" s="100"/>
      <c r="D75" s="83"/>
      <c r="E75" s="82"/>
      <c r="F75" s="135"/>
      <c r="G75" s="78"/>
      <c r="Q75" s="75">
        <v>20</v>
      </c>
    </row>
    <row customHeight="1" ht="11.549999999999999">
      <c r="Q76" s="75">
        <v>11</v>
      </c>
    </row>
    <row customHeight="1" ht="11.549999999999999">
      <c r="Q77" s="75">
        <v>11</v>
      </c>
    </row>
    <row customHeight="1" ht="11.549999999999999">
      <c r="E78" s="391"/>
      <c r="F78" s="391"/>
      <c r="G78" s="391"/>
      <c r="H78" s="391"/>
      <c r="I78" s="391"/>
      <c r="Q78" s="75">
        <v>11</v>
      </c>
    </row>
    <row customHeight="1" ht="11.25" hidden="1">
      <c r="A79" s="785" t="s">
        <v>84</v>
      </c>
      <c r="B79" s="99">
        <v>0</v>
      </c>
      <c r="C79" s="73">
        <v>3</v>
      </c>
      <c r="D79" s="75">
        <v>1</v>
      </c>
      <c r="E79" s="75">
        <v>55</v>
      </c>
      <c r="F79" s="75">
        <v>54</v>
      </c>
      <c r="G79" s="772">
        <v>1</v>
      </c>
      <c r="H79" s="410">
        <v>0</v>
      </c>
      <c r="I79" s="412">
        <v>59</v>
      </c>
      <c r="J79" s="877">
        <v>0</v>
      </c>
      <c r="K79" s="75">
        <v>8</v>
      </c>
      <c r="L79" s="75">
        <v>77</v>
      </c>
      <c r="M79" s="75">
        <v>8</v>
      </c>
      <c r="N79" s="75">
        <v>8</v>
      </c>
      <c r="O79" s="75">
        <v>8</v>
      </c>
      <c r="P79" s="75">
        <v>8</v>
      </c>
      <c r="Q79" s="75">
        <v>11</v>
      </c>
    </row>
  </sheetData>
  <sheetProtection formatColumns="0" formatRows="0" sort="0" autoFilter="0" insertRows="0" insertColumns="1" deleteRows="0" deleteColumns="0"/>
  <mergeCells count="3">
    <mergeCell ref="E5:F5"/>
    <mergeCell ref="J18:J19"/>
    <mergeCell ref="A11:A12"/>
  </mergeCells>
  <dataValidations count="13">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s>
  <hyperlinks>
    <hyperlink ref="H11" location="Титульный!H9" display="Как заполнить?" tooltip="Помощь по работе с полями отчётной формы" xr:uid="{BD938C7F-A5D7-9239-994A-0.F7CEFF24}"/>
    <hyperlink ref="H17" location="Титульный!H9" display="Как заполнить?" tooltip="Помощь по работе с полями отчётной формы" xr:uid="{02B92577-04C5-FD52-8EDB-0.167A941E}"/>
    <hyperlink ref="H39" location="Титульный!H9" display="Как заполнить?" tooltip="Помощь по работе с полями отчётной формы" xr:uid="{1C80FF53-3AA9-8B32-F8EC-0.48778493}"/>
    <hyperlink ref="H62" location="Титульный!H9" display="Как заполнить?" tooltip="Помощь по работе с полями отчётной формы" xr:uid="{18E988C6-4F4A-D243-1002-0.71AA904}"/>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A46EC16-E31D-3AF2-242C-0.E80627E3}" mc:Ignorable="x14ac xr xr2 xr3">
  <sheetPr>
    <tabColor rgb="FFCCCCFF"/>
    <pageSetUpPr fitToPage="1"/>
  </sheetPr>
  <dimension ref="A1:AC29"/>
  <sheetViews>
    <sheetView topLeftCell="A1" showGridLines="0" zoomScale="90" workbookViewId="0">
      <selection activeCell="G13" sqref="G13"/>
    </sheetView>
  </sheetViews>
  <sheetFormatPr defaultColWidth="9.140625" customHeight="1" defaultRowHeight="14.25"/>
  <cols>
    <col min="1" max="1" style="1636" width="8.00390625" hidden="1" customWidth="1"/>
    <col min="2" max="2" style="1367" width="6.00390625" hidden="1" customWidth="1"/>
    <col min="3" max="3" style="1636" width="3.00390625" customWidth="1"/>
    <col min="4" max="4" style="1843" width="3.00390625" customWidth="1"/>
    <col min="5" max="5" style="1636" width="6.00390625" customWidth="1"/>
    <col min="6" max="6" style="1636" width="2.7109375" hidden="1" customWidth="1"/>
    <col min="7" max="7" style="1636" width="46.7109375" customWidth="1"/>
    <col min="8" max="8" style="1636" width="42.00390625" customWidth="1"/>
    <col min="9" max="9" style="1636" width="14.00390625" customWidth="1"/>
    <col min="10" max="10" style="1625" width="3.00390625" customWidth="1"/>
    <col min="11" max="13" style="1625" width="9.140625" hidden="1"/>
    <col min="14" max="14" style="1625" width="25.7109375" hidden="1" customWidth="1"/>
    <col min="15" max="15" style="1625" width="14.421875" hidden="1" customWidth="1"/>
    <col min="16" max="19" style="226" width="9.140625" hidden="1"/>
    <col min="20" max="27" style="1636" width="9.140625" hidden="1"/>
    <col min="28" max="28" style="1636" width="8.00390625" customWidth="1"/>
    <col min="29" max="29" style="1636" width="9.140625" hidden="1"/>
  </cols>
  <sheetData>
    <row s="1643" customFormat="1" customHeight="1" ht="5.25" hidden="1">
      <c r="A1" s="497"/>
      <c r="B1" s="512"/>
      <c r="C1" s="512"/>
      <c r="D1" s="222"/>
      <c r="F1" s="512"/>
      <c r="G1" s="248" t="s">
        <v>85</v>
      </c>
      <c r="H1" s="495" t="s">
        <v>86</v>
      </c>
      <c r="I1" s="228" t="s">
        <v>87</v>
      </c>
      <c r="J1" s="248" t="s">
        <v>85</v>
      </c>
      <c r="K1" s="248"/>
      <c r="L1" s="248"/>
      <c r="M1" s="248"/>
      <c r="N1" s="249"/>
      <c r="O1" s="248"/>
      <c r="P1" s="248"/>
      <c r="Q1" s="248"/>
      <c r="R1" s="248"/>
      <c r="S1" s="248"/>
      <c r="T1" s="228"/>
      <c r="U1" s="228"/>
      <c r="V1" s="228"/>
      <c r="W1" s="228"/>
      <c r="X1" s="228"/>
      <c r="Y1" s="228"/>
      <c r="Z1" s="228"/>
      <c r="AA1" s="228"/>
      <c r="AB1" s="228"/>
      <c r="AC1" s="153" t="s">
        <v>14</v>
      </c>
    </row>
    <row s="1413" customFormat="1" customHeight="1" ht="11.25">
      <c r="A2" s="832"/>
      <c r="B2" s="229"/>
      <c r="C2" s="229"/>
      <c r="D2" s="230"/>
      <c r="E2" s="229"/>
      <c r="F2" s="229"/>
      <c r="G2" s="229"/>
      <c r="H2" s="229"/>
      <c r="I2" s="229"/>
      <c r="J2" s="248"/>
      <c r="K2" s="248"/>
      <c r="L2" s="248"/>
      <c r="M2" s="248"/>
      <c r="N2" s="249"/>
      <c r="O2" s="248"/>
      <c r="P2" s="231"/>
      <c r="Q2" s="231"/>
      <c r="R2" s="231"/>
      <c r="S2" s="231"/>
      <c r="T2" s="230"/>
      <c r="U2" s="230"/>
      <c r="V2" s="230"/>
      <c r="W2" s="230"/>
      <c r="X2" s="230"/>
      <c r="Y2" s="230"/>
      <c r="Z2" s="230"/>
      <c r="AA2" s="230"/>
      <c r="AB2" s="230"/>
      <c r="AC2" s="232">
        <v>11</v>
      </c>
    </row>
    <row s="1820" customFormat="1" customHeight="1" ht="3">
      <c r="A3" s="759"/>
      <c r="B3" s="418"/>
      <c r="C3" s="759"/>
      <c r="D3" s="165"/>
      <c r="E3" s="104"/>
      <c r="F3" s="510"/>
      <c r="G3" s="104"/>
      <c r="H3" s="104"/>
      <c r="I3" s="167"/>
      <c r="J3" s="248"/>
      <c r="K3" s="156"/>
      <c r="L3" s="156"/>
      <c r="M3" s="156"/>
      <c r="N3" s="227"/>
      <c r="O3" s="156"/>
      <c r="P3" s="226"/>
      <c r="Q3" s="226"/>
      <c r="R3" s="226"/>
      <c r="S3" s="226"/>
      <c r="AC3" s="117">
        <v>3</v>
      </c>
    </row>
    <row s="1820" customFormat="1" customHeight="1" ht="27.299999999999997">
      <c r="A4" s="759"/>
      <c r="B4" s="418"/>
      <c r="C4" s="759"/>
      <c r="D4" s="165"/>
      <c r="E4" s="2101" t="str">
        <f>NameTemplatesInListMO</f>
        <v>Перечень муниципальных районов и муниципальных образований (территорий действия тарифа)</v>
      </c>
      <c r="F4" s="2101"/>
      <c r="G4" s="2101"/>
      <c r="H4" s="2101"/>
      <c r="I4" s="2101"/>
      <c r="J4" s="248"/>
      <c r="K4" s="156"/>
      <c r="L4" s="156"/>
      <c r="M4" s="156"/>
      <c r="N4" s="227"/>
      <c r="O4" s="156"/>
      <c r="P4" s="226"/>
      <c r="Q4" s="226"/>
      <c r="R4" s="226"/>
      <c r="S4" s="226"/>
      <c r="AC4" s="117">
        <v>26</v>
      </c>
    </row>
    <row s="1820" customFormat="1" customHeight="1" ht="3">
      <c r="A5" s="759"/>
      <c r="B5" s="418"/>
      <c r="C5" s="759"/>
      <c r="D5" s="165"/>
      <c r="E5" s="104"/>
      <c r="F5" s="510"/>
      <c r="G5" s="168"/>
      <c r="H5" s="168"/>
      <c r="I5" s="169"/>
      <c r="J5" s="156"/>
      <c r="K5" s="156"/>
      <c r="L5" s="156"/>
      <c r="M5" s="156"/>
      <c r="N5" s="227"/>
      <c r="O5" s="156"/>
      <c r="P5" s="226"/>
      <c r="Q5" s="226"/>
      <c r="R5" s="226"/>
      <c r="S5" s="226"/>
      <c r="AC5" s="117">
        <v>3</v>
      </c>
    </row>
    <row s="1820" customFormat="1" customHeight="1" ht="20.25" hidden="1">
      <c r="A6" s="838"/>
      <c r="B6" s="834"/>
      <c r="C6" s="170"/>
      <c r="D6" s="165"/>
      <c r="E6" s="780"/>
      <c r="F6" s="780"/>
      <c r="G6" s="168"/>
      <c r="H6" s="171"/>
      <c r="I6" s="171"/>
      <c r="J6" s="156"/>
      <c r="K6" s="156"/>
      <c r="L6" s="156"/>
      <c r="M6" s="156"/>
      <c r="N6" s="227"/>
      <c r="O6" s="156"/>
      <c r="P6" s="226"/>
      <c r="Q6" s="226"/>
      <c r="R6" s="226"/>
      <c r="S6" s="226"/>
      <c r="AC6" s="117">
        <v>0</v>
      </c>
    </row>
    <row customHeight="1" ht="25.5" hidden="1">
      <c r="AC7" s="84">
        <v>0</v>
      </c>
    </row>
    <row s="1820" customFormat="1" customHeight="1" ht="14.699999999999998">
      <c r="A8" s="759"/>
      <c r="B8" s="418"/>
      <c r="C8" s="759"/>
      <c r="D8" s="165"/>
      <c r="E8" s="2102" t="s">
        <v>88</v>
      </c>
      <c r="F8" s="2103"/>
      <c r="G8" s="2104"/>
      <c r="H8" s="2105" t="s">
        <v>89</v>
      </c>
      <c r="I8" s="2105"/>
      <c r="J8" s="156"/>
      <c r="K8" s="156"/>
      <c r="L8" s="156"/>
      <c r="M8" s="156"/>
      <c r="N8" s="227"/>
      <c r="O8" s="156"/>
      <c r="P8" s="226"/>
      <c r="Q8" s="226"/>
      <c r="R8" s="226"/>
      <c r="S8" s="226"/>
      <c r="AC8" s="117">
        <v>14</v>
      </c>
    </row>
    <row s="1820" customFormat="1" customHeight="1" ht="21">
      <c r="A9" s="759"/>
      <c r="B9" s="418"/>
      <c r="C9" s="759"/>
      <c r="D9" s="165"/>
      <c r="E9" s="778" t="s">
        <v>90</v>
      </c>
      <c r="F9" s="778"/>
      <c r="G9" s="173" t="s">
        <v>91</v>
      </c>
      <c r="H9" s="173" t="s">
        <v>91</v>
      </c>
      <c r="I9" s="173" t="s">
        <v>87</v>
      </c>
      <c r="J9" s="156"/>
      <c r="K9" s="156"/>
      <c r="L9" s="156"/>
      <c r="M9" s="156"/>
      <c r="N9" s="227"/>
      <c r="O9" s="156"/>
      <c r="P9" s="226"/>
      <c r="Q9" s="226"/>
      <c r="R9" s="226"/>
      <c r="S9" s="226"/>
      <c r="AC9" s="117">
        <v>20</v>
      </c>
    </row>
    <row customHeight="1" ht="11.549999999999999">
      <c r="D10" s="177"/>
      <c r="E10" s="779" t="s">
        <v>92</v>
      </c>
      <c r="F10" s="779"/>
      <c r="G10" s="224" t="s">
        <v>93</v>
      </c>
      <c r="H10" s="224" t="s">
        <v>94</v>
      </c>
      <c r="I10" s="224" t="s">
        <v>95</v>
      </c>
      <c r="J10" s="187"/>
      <c r="K10" s="187"/>
      <c r="L10" s="187"/>
      <c r="M10" s="187"/>
      <c r="N10" s="172"/>
      <c r="O10" s="187"/>
      <c r="P10" s="225"/>
      <c r="Q10" s="225"/>
      <c r="R10" s="225"/>
      <c r="S10" s="225"/>
      <c r="AC10" s="84">
        <v>11</v>
      </c>
    </row>
    <row s="1820" customFormat="1" customHeight="1" ht="1.05">
      <c r="A11" s="759"/>
      <c r="B11" s="418"/>
      <c r="C11" s="759"/>
      <c r="D11" s="165"/>
      <c r="E11" s="791"/>
      <c r="F11" s="791"/>
      <c r="G11" s="174"/>
      <c r="H11" s="174"/>
      <c r="I11" s="176"/>
      <c r="J11" s="250" t="s">
        <v>96</v>
      </c>
      <c r="K11" s="156"/>
      <c r="L11" s="156"/>
      <c r="M11" s="156" t="s">
        <v>97</v>
      </c>
      <c r="N11" s="227" t="s">
        <v>98</v>
      </c>
      <c r="O11" s="156" t="s">
        <v>99</v>
      </c>
      <c r="P11" s="226"/>
      <c r="Q11" s="226"/>
      <c r="R11" s="226"/>
      <c r="S11" s="226"/>
      <c r="AC11" s="117">
        <v>1</v>
      </c>
    </row>
    <row s="1820" customFormat="1" customHeight="1" ht="15">
      <c r="A12" s="2100">
        <v>1</v>
      </c>
      <c r="B12" s="418"/>
      <c r="C12" s="759"/>
      <c r="D12" s="783"/>
      <c r="E12" s="220">
        <f>A12</f>
        <v>1</v>
      </c>
      <c r="F12" s="803" t="s">
        <v>100</v>
      </c>
      <c r="G12" s="541" t="str">
        <f>"Территория "&amp;E12</f>
        <v>Территория 1</v>
      </c>
      <c r="H12" s="793"/>
      <c r="I12" s="793"/>
      <c r="J12" s="790"/>
      <c r="K12" s="501"/>
      <c r="L12" s="501"/>
      <c r="M12" s="501"/>
      <c r="N12" s="227"/>
      <c r="O12" s="501"/>
      <c r="P12" s="226"/>
      <c r="Q12" s="226"/>
      <c r="R12" s="226"/>
      <c r="S12" s="226"/>
      <c r="AC12" s="508">
        <v>14</v>
      </c>
    </row>
    <row s="1851" customFormat="1" customHeight="1" ht="15.75">
      <c r="A13" s="2100"/>
      <c r="B13" s="418">
        <v>1</v>
      </c>
      <c r="C13" s="418"/>
      <c r="D13" s="801"/>
      <c r="E13" s="781" t="str">
        <f>A12&amp;"."&amp;B13</f>
        <v>1.1</v>
      </c>
      <c r="F13" s="796" t="s">
        <v>101</v>
      </c>
      <c r="G13" s="794" t="s">
        <v>102</v>
      </c>
      <c r="H13" s="794" t="s">
        <v>103</v>
      </c>
      <c r="I13" s="792" t="s">
        <v>104</v>
      </c>
      <c r="J13" s="501">
        <f>MERGEVALUE(G13)</f>
      </c>
      <c r="K13" s="512"/>
      <c r="L13" s="512"/>
      <c r="M13" s="501" t="str">
        <f t="array" ref="M13:M13">IF(ISERROR(MATCH(MID(N13,1,250),MID(note_ter,1,250),0)),"n","y")</f>
        <v>n</v>
      </c>
      <c r="N13" s="512"/>
      <c r="O13" s="501" t="str">
        <f>H13&amp;"("&amp;I13&amp;")"</f>
        <v>Рабочий поселок Искателей(11811111)</v>
      </c>
      <c r="P13" s="418"/>
      <c r="Q13" s="418"/>
      <c r="R13" s="421"/>
      <c r="S13" s="418"/>
      <c r="T13" s="418"/>
      <c r="U13" s="418"/>
      <c r="V13" s="423"/>
      <c r="W13" s="423"/>
      <c r="X13" s="420"/>
      <c r="Y13" s="420"/>
      <c r="Z13" s="420"/>
      <c r="AA13" s="420"/>
      <c r="AB13" s="420"/>
      <c r="AC13" s="424">
        <v>15</v>
      </c>
    </row>
    <row s="1851" customFormat="1" customHeight="1" ht="15.75">
      <c r="A14" s="2100"/>
      <c r="B14" s="418"/>
      <c r="C14" s="413"/>
      <c r="D14" s="802"/>
      <c r="E14" s="422"/>
      <c r="F14" s="178"/>
      <c r="G14" s="416" t="s">
        <v>105</v>
      </c>
      <c r="H14" s="188"/>
      <c r="I14" s="425"/>
      <c r="J14" s="512"/>
      <c r="K14" s="512"/>
      <c r="L14" s="512"/>
      <c r="M14" s="512"/>
      <c r="N14" s="501"/>
      <c r="O14" s="512"/>
      <c r="P14" s="418"/>
      <c r="Q14" s="418"/>
      <c r="R14" s="421"/>
      <c r="S14" s="418"/>
      <c r="T14" s="418"/>
      <c r="U14" s="418"/>
      <c r="V14" s="423"/>
      <c r="W14" s="423"/>
      <c r="X14" s="420"/>
      <c r="Y14" s="420"/>
      <c r="Z14" s="420"/>
      <c r="AA14" s="420"/>
      <c r="AB14" s="420"/>
      <c r="AC14" s="424">
        <v>15</v>
      </c>
    </row>
    <row s="1820" customFormat="1" customHeight="1" ht="14.699999999999998">
      <c r="A15" s="759"/>
      <c r="B15" s="418"/>
      <c r="C15" s="759"/>
      <c r="D15" s="783"/>
      <c r="E15" s="795"/>
      <c r="F15" s="179"/>
      <c r="G15" s="417" t="s">
        <v>106</v>
      </c>
      <c r="H15" s="179"/>
      <c r="I15" s="180"/>
      <c r="J15" s="250"/>
      <c r="K15" s="156"/>
      <c r="L15" s="156"/>
      <c r="M15" s="156"/>
      <c r="N15" s="227" t="s">
        <v>107</v>
      </c>
      <c r="O15" s="156"/>
      <c r="P15" s="226"/>
      <c r="Q15" s="226"/>
      <c r="R15" s="226"/>
      <c r="S15" s="226"/>
      <c r="AC15" s="117">
        <v>14</v>
      </c>
    </row>
    <row s="1820" customFormat="1" customHeight="1" ht="22.049999999999997">
      <c r="A16" s="759"/>
      <c r="B16" s="418"/>
      <c r="C16" s="759"/>
      <c r="D16" s="166"/>
      <c r="E16" s="181"/>
      <c r="F16" s="181"/>
      <c r="G16" s="181"/>
      <c r="H16" s="181"/>
      <c r="I16" s="181"/>
      <c r="J16" s="156"/>
      <c r="K16" s="156"/>
      <c r="L16" s="156"/>
      <c r="M16" s="156"/>
      <c r="N16" s="227"/>
      <c r="O16" s="156"/>
      <c r="P16" s="226"/>
      <c r="Q16" s="226"/>
      <c r="R16" s="226"/>
      <c r="S16" s="226"/>
      <c r="AC16" s="117">
        <v>21</v>
      </c>
    </row>
    <row s="1820" customFormat="1" customHeight="1" ht="14.699999999999998">
      <c r="A17" s="759"/>
      <c r="B17" s="418"/>
      <c r="C17" s="759"/>
      <c r="D17" s="166"/>
      <c r="E17" s="84"/>
      <c r="F17" s="759"/>
      <c r="G17" s="84"/>
      <c r="H17" s="84"/>
      <c r="I17" s="84"/>
      <c r="J17" s="156"/>
      <c r="K17" s="156"/>
      <c r="L17" s="156"/>
      <c r="M17" s="156"/>
      <c r="N17" s="227"/>
      <c r="O17" s="156"/>
      <c r="P17" s="226"/>
      <c r="Q17" s="226"/>
      <c r="R17" s="226"/>
      <c r="S17" s="226"/>
      <c r="AC17" s="117">
        <v>14</v>
      </c>
    </row>
    <row s="1820" customFormat="1" customHeight="1" ht="1.05">
      <c r="A18" s="759"/>
      <c r="B18" s="418"/>
      <c r="C18" s="759"/>
      <c r="D18" s="166"/>
      <c r="E18" s="84"/>
      <c r="F18" s="759"/>
      <c r="G18" s="84"/>
      <c r="H18" s="84"/>
      <c r="I18" s="84"/>
      <c r="J18" s="156"/>
      <c r="K18" s="156"/>
      <c r="L18" s="156"/>
      <c r="M18" s="156"/>
      <c r="N18" s="227"/>
      <c r="O18" s="156"/>
      <c r="P18" s="226"/>
      <c r="Q18" s="226"/>
      <c r="R18" s="226"/>
      <c r="S18" s="226"/>
      <c r="AC18" s="117">
        <v>1</v>
      </c>
    </row>
    <row s="1065" customFormat="1" customHeight="1" ht="10.5">
      <c r="B19" s="835"/>
      <c r="D19" s="183"/>
      <c r="J19" s="156"/>
      <c r="K19" s="156"/>
      <c r="L19" s="156"/>
      <c r="M19" s="156"/>
      <c r="N19" s="227"/>
      <c r="O19" s="156"/>
      <c r="P19" s="226"/>
      <c r="Q19" s="226"/>
      <c r="R19" s="226"/>
      <c r="S19" s="226"/>
      <c r="AC19" s="182">
        <v>10</v>
      </c>
    </row>
    <row s="1065" customFormat="1" customHeight="1" ht="10.5">
      <c r="B20" s="835"/>
      <c r="D20" s="183"/>
      <c r="J20" s="156"/>
      <c r="K20" s="156"/>
      <c r="L20" s="156"/>
      <c r="M20" s="156"/>
      <c r="N20" s="227"/>
      <c r="O20" s="156"/>
      <c r="P20" s="226"/>
      <c r="Q20" s="226"/>
      <c r="R20" s="226"/>
      <c r="S20" s="226"/>
      <c r="AC20" s="182">
        <v>10</v>
      </c>
    </row>
    <row customHeight="1" ht="14.699999999999998">
      <c r="AC21" s="84">
        <v>14</v>
      </c>
    </row>
    <row customHeight="1" ht="14.699999999999998">
      <c r="AC22" s="84">
        <v>14</v>
      </c>
    </row>
    <row customHeight="1" ht="14.699999999999998">
      <c r="AC23" s="84">
        <v>14</v>
      </c>
    </row>
    <row customHeight="1" ht="14.699999999999998">
      <c r="H24" s="65"/>
      <c r="AC24" s="84">
        <v>14</v>
      </c>
    </row>
    <row customHeight="1" ht="14.699999999999998">
      <c r="AC25" s="84">
        <v>14</v>
      </c>
    </row>
    <row customHeight="1" ht="14.699999999999998">
      <c r="AC26" s="84">
        <v>14</v>
      </c>
    </row>
    <row customHeight="1" ht="14.699999999999998">
      <c r="AC27" s="84">
        <v>14</v>
      </c>
    </row>
    <row customHeight="1" ht="14.699999999999998">
      <c r="J28" s="84"/>
      <c r="K28" s="84"/>
      <c r="L28" s="84"/>
      <c r="AC28" s="84">
        <v>14</v>
      </c>
    </row>
    <row customHeight="1" ht="22.5" hidden="1">
      <c r="A29" s="759" t="s">
        <v>84</v>
      </c>
      <c r="B29" s="418">
        <v>0</v>
      </c>
      <c r="C29" s="759">
        <v>3</v>
      </c>
      <c r="D29" s="166">
        <v>3</v>
      </c>
      <c r="E29" s="84">
        <v>6</v>
      </c>
      <c r="F29" s="759">
        <v>0</v>
      </c>
      <c r="G29" s="84">
        <v>46</v>
      </c>
      <c r="H29" s="84">
        <v>42</v>
      </c>
      <c r="I29" s="84">
        <v>14</v>
      </c>
      <c r="J29" s="156">
        <v>3</v>
      </c>
      <c r="K29" s="156">
        <v>0</v>
      </c>
      <c r="L29" s="156">
        <v>0</v>
      </c>
      <c r="M29" s="156">
        <v>0</v>
      </c>
      <c r="N29" s="227">
        <v>0</v>
      </c>
      <c r="O29" s="156">
        <v>0</v>
      </c>
      <c r="P29" s="226">
        <v>0</v>
      </c>
      <c r="Q29" s="226">
        <v>0</v>
      </c>
      <c r="R29" s="226">
        <v>0</v>
      </c>
      <c r="S29" s="226">
        <v>0</v>
      </c>
      <c r="T29" s="84">
        <v>0</v>
      </c>
      <c r="U29" s="84">
        <v>0</v>
      </c>
      <c r="V29" s="84">
        <v>0</v>
      </c>
      <c r="W29" s="84">
        <v>0</v>
      </c>
      <c r="X29" s="84">
        <v>0</v>
      </c>
      <c r="Y29" s="84">
        <v>0</v>
      </c>
      <c r="Z29" s="84">
        <v>0</v>
      </c>
      <c r="AA29" s="84">
        <v>0</v>
      </c>
      <c r="AB29" s="84">
        <v>8</v>
      </c>
      <c r="AC29" s="84">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F76D644-EA7E-F338-522D-0.C5651DA6}" mc:Ignorable="x14ac xr xr2 xr3">
  <sheetPr>
    <tabColor rgb="FFCCCCFF"/>
  </sheetPr>
  <dimension ref="A1:AM17"/>
  <sheetViews>
    <sheetView topLeftCell="A1" showGridLines="0" zoomScale="90" workbookViewId="0">
      <selection activeCell="A1" sqref="A1"/>
    </sheetView>
  </sheetViews>
  <sheetFormatPr defaultColWidth="9.140625" customHeight="1" defaultRowHeight="11.25"/>
  <cols>
    <col min="1" max="1" style="1854" width="6.421875" hidden="1" customWidth="1"/>
    <col min="2" max="2" style="1854" width="2.00390625" hidden="1" customWidth="1"/>
    <col min="3" max="3" style="1854" width="3.00390625" customWidth="1"/>
    <col min="4" max="4" style="1854" width="4.00390625" customWidth="1"/>
    <col min="5" max="5" style="1854" width="44.00390625" customWidth="1"/>
    <col min="6" max="6" style="1854" width="6.421875" customWidth="1"/>
    <col min="7" max="7" style="1854" width="4.00390625" customWidth="1"/>
    <col min="8" max="8" style="1854" width="5.00390625" customWidth="1"/>
    <col min="9" max="9" style="1854" width="52.00390625" customWidth="1"/>
    <col min="10" max="10" style="1854" width="7.00390625" customWidth="1"/>
    <col min="11" max="11" style="1854" width="3.00390625" customWidth="1"/>
    <col min="12" max="12" style="1854" width="6.00390625" customWidth="1"/>
    <col min="13" max="13" style="1854" width="56.00390625" customWidth="1"/>
    <col min="14" max="14" style="1371" width="8.00390625" customWidth="1"/>
    <col min="15" max="20" style="1625" width="9.140625" hidden="1"/>
    <col min="21" max="24" style="1267" width="9.140625" hidden="1"/>
    <col min="25" max="37" style="1371" width="9.140625" hidden="1"/>
    <col min="38" max="38" style="1371" width="8.00390625" customWidth="1"/>
    <col min="39" max="39" style="1854" width="9.140625" hidden="1"/>
  </cols>
  <sheetData>
    <row customHeight="1" ht="11.25" hidden="1">
      <c r="AM1" s="584" t="s">
        <v>14</v>
      </c>
    </row>
    <row customHeight="1" ht="11.25" hidden="1">
      <c r="AM2" s="584">
        <v>0</v>
      </c>
    </row>
    <row customHeight="1" ht="11.549999999999999">
      <c r="AM3" s="584">
        <v>11</v>
      </c>
    </row>
    <row customHeight="1" ht="35.699999999999996">
      <c r="A4" s="586"/>
      <c r="B4" s="586"/>
      <c r="D4" s="2120" t="str">
        <f>Титульный!E5</f>
        <v>Показатели, подлежащие раскрытию в сфере холодного водоснабжения (цены и тарифы)</v>
      </c>
      <c r="E4" s="2121"/>
      <c r="F4" s="2121"/>
      <c r="G4" s="2121"/>
      <c r="H4" s="2121"/>
      <c r="I4" s="2122"/>
      <c r="J4" s="585"/>
      <c r="K4" s="585"/>
      <c r="L4" s="585"/>
      <c r="M4" s="585"/>
      <c r="AM4" s="584">
        <v>34</v>
      </c>
    </row>
    <row s="590" customFormat="1" customHeight="1" ht="14.699999999999998">
      <c r="A5" s="586"/>
      <c r="B5" s="586"/>
      <c r="C5" s="586"/>
      <c r="D5" s="2123" t="str">
        <f>IF(org=0,"Не определено",org)</f>
        <v>ИМУП «ПОСЖИЛКОМСЕРВИС»</v>
      </c>
      <c r="E5" s="2124"/>
      <c r="F5" s="2124"/>
      <c r="G5" s="2124"/>
      <c r="H5" s="2124"/>
      <c r="I5" s="2125"/>
      <c r="J5" s="587"/>
      <c r="K5" s="587"/>
      <c r="L5" s="587"/>
      <c r="M5" s="587"/>
      <c r="N5" s="587"/>
      <c r="O5" s="871"/>
      <c r="P5" s="871"/>
      <c r="Q5" s="871"/>
      <c r="R5" s="871"/>
      <c r="S5" s="871"/>
      <c r="T5" s="871"/>
      <c r="U5" s="1262"/>
      <c r="V5" s="1262"/>
      <c r="W5" s="1262"/>
      <c r="X5" s="1262"/>
      <c r="Y5" s="587"/>
      <c r="Z5" s="587"/>
      <c r="AA5" s="587"/>
      <c r="AB5" s="587"/>
      <c r="AC5" s="587"/>
      <c r="AD5" s="587"/>
      <c r="AE5" s="587"/>
      <c r="AF5" s="587"/>
      <c r="AG5" s="587"/>
      <c r="AH5" s="587"/>
      <c r="AI5" s="587"/>
      <c r="AJ5" s="587"/>
      <c r="AK5" s="587"/>
      <c r="AL5" s="587"/>
      <c r="AM5" s="588">
        <v>14</v>
      </c>
    </row>
    <row s="590" customFormat="1" customHeight="1" ht="6.3">
      <c r="A6" s="2126"/>
      <c r="B6" s="2126"/>
      <c r="C6" s="2126"/>
      <c r="D6" s="2126"/>
      <c r="E6" s="2126"/>
      <c r="F6" s="2126"/>
      <c r="G6" s="589"/>
      <c r="H6" s="589"/>
      <c r="I6" s="589"/>
      <c r="J6" s="589"/>
      <c r="K6" s="589"/>
      <c r="N6" s="591"/>
      <c r="O6" s="1415"/>
      <c r="P6" s="1415"/>
      <c r="Q6" s="1415"/>
      <c r="R6" s="1415"/>
      <c r="S6" s="1415"/>
      <c r="T6" s="1415"/>
      <c r="U6" s="1265"/>
      <c r="V6" s="1265"/>
      <c r="W6" s="1265"/>
      <c r="X6" s="1265"/>
      <c r="Y6" s="591"/>
      <c r="Z6" s="591"/>
      <c r="AA6" s="591"/>
      <c r="AB6" s="591"/>
      <c r="AC6" s="591"/>
      <c r="AD6" s="591"/>
      <c r="AE6" s="591"/>
      <c r="AF6" s="591"/>
      <c r="AG6" s="591"/>
      <c r="AH6" s="591"/>
      <c r="AI6" s="591"/>
      <c r="AJ6" s="591"/>
      <c r="AK6" s="591"/>
      <c r="AL6" s="591"/>
      <c r="AM6" s="590">
        <v>6</v>
      </c>
    </row>
    <row customHeight="1" ht="45.75" hidden="1">
      <c r="E7" s="2131"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2"/>
      <c r="G7" s="2132"/>
      <c r="H7" s="2132"/>
      <c r="I7" s="2132"/>
      <c r="J7" s="2132"/>
      <c r="K7" s="2132"/>
      <c r="L7" s="2132"/>
      <c r="M7" s="2132"/>
      <c r="AM7" s="584">
        <v>0</v>
      </c>
    </row>
    <row s="590" customFormat="1" customHeight="1" ht="6.3">
      <c r="A8" s="592"/>
      <c r="B8" s="592"/>
      <c r="C8" s="592"/>
      <c r="D8" s="592"/>
      <c r="E8" s="592"/>
      <c r="F8" s="592"/>
      <c r="G8" s="592"/>
      <c r="H8" s="592"/>
      <c r="I8" s="592"/>
      <c r="J8" s="592"/>
      <c r="K8" s="592"/>
      <c r="L8" s="592"/>
      <c r="M8" s="590"/>
      <c r="N8" s="587"/>
      <c r="O8" s="871"/>
      <c r="P8" s="871"/>
      <c r="Q8" s="871"/>
      <c r="R8" s="871"/>
      <c r="S8" s="871"/>
      <c r="T8" s="871"/>
      <c r="U8" s="1262"/>
      <c r="V8" s="1262"/>
      <c r="W8" s="1262"/>
      <c r="X8" s="1262"/>
      <c r="Y8" s="587"/>
      <c r="Z8" s="587"/>
      <c r="AA8" s="587"/>
      <c r="AB8" s="587"/>
      <c r="AC8" s="587"/>
      <c r="AD8" s="587"/>
      <c r="AE8" s="587"/>
      <c r="AF8" s="587"/>
      <c r="AG8" s="587"/>
      <c r="AH8" s="587"/>
      <c r="AI8" s="587"/>
      <c r="AJ8" s="587"/>
      <c r="AK8" s="587"/>
      <c r="AL8" s="587"/>
      <c r="AM8" s="588">
        <v>6</v>
      </c>
    </row>
    <row customHeight="1" ht="18.75">
      <c r="A9" s="2127"/>
      <c r="B9" s="324"/>
      <c r="C9" s="324"/>
      <c r="D9" s="2128" t="s">
        <v>108</v>
      </c>
      <c r="E9" s="2128"/>
      <c r="F9" s="2129" t="s">
        <v>109</v>
      </c>
      <c r="G9" s="2130"/>
      <c r="H9" s="2130"/>
      <c r="I9" s="2130"/>
      <c r="J9" s="2133" t="s">
        <v>110</v>
      </c>
      <c r="K9" s="2133"/>
      <c r="L9" s="2133"/>
      <c r="M9" s="2133"/>
      <c r="AM9" s="584">
        <v>18</v>
      </c>
    </row>
    <row customHeight="1" ht="24">
      <c r="A10" s="2127"/>
      <c r="B10" s="593"/>
      <c r="C10" s="526"/>
      <c r="D10" s="524" t="s">
        <v>90</v>
      </c>
      <c r="E10" s="524" t="s">
        <v>91</v>
      </c>
      <c r="F10" s="524" t="s">
        <v>111</v>
      </c>
      <c r="G10" s="2134" t="s">
        <v>90</v>
      </c>
      <c r="H10" s="2135"/>
      <c r="I10" s="524" t="s">
        <v>91</v>
      </c>
      <c r="J10" s="524" t="s">
        <v>111</v>
      </c>
      <c r="K10" s="2134" t="s">
        <v>90</v>
      </c>
      <c r="L10" s="2135"/>
      <c r="M10" s="524" t="s">
        <v>91</v>
      </c>
      <c r="N10" s="1628"/>
      <c r="AM10" s="584">
        <v>23</v>
      </c>
    </row>
    <row s="1854" customFormat="1" customHeight="1" ht="11.25" hidden="1">
      <c r="A11" s="594"/>
      <c r="B11" s="594"/>
      <c r="C11" s="594"/>
      <c r="D11" s="595" t="s">
        <v>112</v>
      </c>
      <c r="E11" s="595" t="s">
        <v>113</v>
      </c>
      <c r="F11" s="595" t="s">
        <v>92</v>
      </c>
      <c r="G11" s="2116" t="s">
        <v>93</v>
      </c>
      <c r="H11" s="2117"/>
      <c r="I11" s="595" t="s">
        <v>114</v>
      </c>
      <c r="J11" s="595" t="s">
        <v>94</v>
      </c>
      <c r="K11" s="2118" t="s">
        <v>95</v>
      </c>
      <c r="L11" s="2119"/>
      <c r="M11" s="595" t="s">
        <v>115</v>
      </c>
      <c r="N11" s="1627"/>
      <c r="O11" s="1414"/>
      <c r="P11" s="1416"/>
      <c r="Q11" s="1416"/>
      <c r="R11" s="1416"/>
      <c r="S11" s="1416"/>
      <c r="T11" s="1416"/>
      <c r="U11" s="1266"/>
      <c r="V11" s="1266"/>
      <c r="W11" s="1266"/>
      <c r="X11" s="1266"/>
      <c r="Y11" s="596"/>
      <c r="Z11" s="596"/>
      <c r="AA11" s="596"/>
      <c r="AB11" s="596"/>
      <c r="AC11" s="596"/>
      <c r="AD11" s="596"/>
      <c r="AE11" s="596"/>
      <c r="AF11" s="596"/>
      <c r="AG11" s="596"/>
      <c r="AH11" s="596"/>
      <c r="AI11" s="596"/>
      <c r="AJ11" s="596"/>
      <c r="AK11" s="596"/>
      <c r="AL11" s="596"/>
      <c r="AM11" s="597">
        <v>0</v>
      </c>
    </row>
    <row customHeight="1" ht="1.05">
      <c r="A12" s="598"/>
      <c r="B12" s="599"/>
      <c r="C12" s="599"/>
      <c r="D12" s="600"/>
      <c r="E12" s="368"/>
      <c r="F12" s="601"/>
      <c r="G12" s="1060"/>
      <c r="H12" s="1060"/>
      <c r="I12" s="601"/>
      <c r="J12" s="601"/>
      <c r="K12" s="175"/>
      <c r="L12" s="368"/>
      <c r="M12" s="602"/>
      <c r="N12" s="1628"/>
      <c r="O12" s="1414" t="s">
        <v>116</v>
      </c>
      <c r="P12" s="1414" t="s">
        <v>117</v>
      </c>
      <c r="Q12" s="1414" t="s">
        <v>118</v>
      </c>
      <c r="R12" s="1414" t="s">
        <v>119</v>
      </c>
      <c r="AM12" s="584">
        <v>1</v>
      </c>
    </row>
    <row s="1854" customFormat="1" customHeight="1" ht="15.75">
      <c r="A13" s="294"/>
      <c r="B13" s="294"/>
      <c r="C13" s="527"/>
      <c r="D13" s="2109" t="s">
        <v>112</v>
      </c>
      <c r="E13" s="2110"/>
      <c r="F13" s="2113" t="s">
        <v>63</v>
      </c>
      <c r="G13" s="2114"/>
      <c r="H13" s="2115">
        <v>1</v>
      </c>
      <c r="I13" s="2106" t="str">
        <f>IF(U13="","",INDEX(TERRITORY_MR_LIST,MATCH(U13,TERRITORY_LIST_ID,0)))</f>
        <v/>
      </c>
      <c r="J13" s="2108" t="s">
        <v>19</v>
      </c>
      <c r="K13" s="603"/>
      <c r="L13" s="528" t="s">
        <v>112</v>
      </c>
      <c r="M13" s="604" t="s">
        <v>28</v>
      </c>
      <c r="N13" s="813"/>
      <c r="O13" s="1417" t="s">
        <v>120</v>
      </c>
      <c r="P13" s="1414">
        <f>$E$13</f>
        <v>0</v>
      </c>
      <c r="Q13" s="1414" t="str">
        <f>IF($F$13="нет","без дифференциации",$I$13)</f>
        <v/>
      </c>
      <c r="R13" s="1414" t="str">
        <f>IF($J$13="нет","без дифференциации",M13)</f>
        <v>без дифференциации</v>
      </c>
      <c r="S13" s="1417"/>
      <c r="T13" s="1417"/>
      <c r="U13" s="1267"/>
      <c r="V13" s="1267"/>
      <c r="W13" s="1267"/>
      <c r="X13" s="1267"/>
      <c r="Y13" s="605" t="s">
        <v>121</v>
      </c>
      <c r="Z13" s="605">
        <v>1705000</v>
      </c>
      <c r="AA13" s="605"/>
      <c r="AB13" s="605"/>
      <c r="AC13" s="605"/>
      <c r="AD13" s="605"/>
      <c r="AE13" s="605"/>
      <c r="AF13" s="605"/>
      <c r="AG13" s="605"/>
      <c r="AH13" s="605"/>
      <c r="AI13" s="605"/>
      <c r="AJ13" s="605"/>
      <c r="AK13" s="605"/>
      <c r="AL13" s="605"/>
      <c r="AM13" s="607">
        <v>15</v>
      </c>
    </row>
    <row s="1854" customFormat="1" customHeight="1" ht="15.75">
      <c r="A14" s="294"/>
      <c r="B14" s="294"/>
      <c r="C14" s="177"/>
      <c r="D14" s="2109"/>
      <c r="E14" s="2111"/>
      <c r="F14" s="2108"/>
      <c r="G14" s="2114"/>
      <c r="H14" s="2115"/>
      <c r="I14" s="2107"/>
      <c r="J14" s="2108"/>
      <c r="K14" s="422"/>
      <c r="L14" s="178"/>
      <c r="M14" s="608" t="s">
        <v>122</v>
      </c>
      <c r="N14" s="813"/>
      <c r="O14" s="1417"/>
      <c r="P14" s="1414"/>
      <c r="Q14" s="1414"/>
      <c r="R14" s="1414"/>
      <c r="S14" s="1417"/>
      <c r="T14" s="1417"/>
      <c r="U14" s="1267"/>
      <c r="V14" s="1267"/>
      <c r="W14" s="1267"/>
      <c r="X14" s="1267"/>
      <c r="Y14" s="605"/>
      <c r="Z14" s="605"/>
      <c r="AA14" s="605"/>
      <c r="AB14" s="605"/>
      <c r="AC14" s="605"/>
      <c r="AD14" s="605"/>
      <c r="AE14" s="605"/>
      <c r="AF14" s="605"/>
      <c r="AG14" s="605"/>
      <c r="AH14" s="605"/>
      <c r="AI14" s="605"/>
      <c r="AJ14" s="605"/>
      <c r="AK14" s="605"/>
      <c r="AL14" s="605"/>
      <c r="AM14" s="607">
        <v>15</v>
      </c>
    </row>
    <row s="1854" customFormat="1" customHeight="1" ht="15.75">
      <c r="A15" s="294"/>
      <c r="B15" s="294"/>
      <c r="C15" s="177"/>
      <c r="D15" s="2109"/>
      <c r="E15" s="2112"/>
      <c r="F15" s="2108"/>
      <c r="G15" s="1061"/>
      <c r="H15" s="1062"/>
      <c r="I15" s="581" t="s">
        <v>123</v>
      </c>
      <c r="J15" s="178"/>
      <c r="K15" s="178"/>
      <c r="L15" s="178"/>
      <c r="M15" s="609"/>
      <c r="N15" s="813"/>
      <c r="O15" s="1417"/>
      <c r="P15" s="1414"/>
      <c r="Q15" s="1414"/>
      <c r="R15" s="1414"/>
      <c r="S15" s="1417"/>
      <c r="T15" s="1417"/>
      <c r="U15" s="1267"/>
      <c r="V15" s="1267"/>
      <c r="W15" s="1267"/>
      <c r="X15" s="1267"/>
      <c r="Y15" s="605"/>
      <c r="Z15" s="605"/>
      <c r="AA15" s="605"/>
      <c r="AB15" s="605"/>
      <c r="AC15" s="605"/>
      <c r="AD15" s="605"/>
      <c r="AE15" s="605"/>
      <c r="AF15" s="605"/>
      <c r="AG15" s="605"/>
      <c r="AH15" s="605"/>
      <c r="AI15" s="605"/>
      <c r="AJ15" s="605"/>
      <c r="AK15" s="605"/>
      <c r="AL15" s="605"/>
      <c r="AM15" s="607">
        <v>15</v>
      </c>
    </row>
    <row customHeight="1" ht="15.75">
      <c r="A16" s="610"/>
      <c r="B16" s="136"/>
      <c r="C16" s="807"/>
      <c r="D16" s="422"/>
      <c r="E16" s="572" t="s">
        <v>124</v>
      </c>
      <c r="F16" s="178"/>
      <c r="G16" s="178"/>
      <c r="H16" s="178"/>
      <c r="I16" s="178"/>
      <c r="J16" s="178"/>
      <c r="K16" s="178" t="s">
        <v>28</v>
      </c>
      <c r="L16" s="178"/>
      <c r="M16" s="609"/>
      <c r="N16" s="1628"/>
      <c r="AM16" s="584">
        <v>15</v>
      </c>
    </row>
    <row customHeight="1" ht="11.25" hidden="1">
      <c r="A17" s="584" t="s">
        <v>84</v>
      </c>
      <c r="B17" s="584">
        <v>0</v>
      </c>
      <c r="C17" s="584">
        <v>3</v>
      </c>
      <c r="D17" s="584">
        <v>4</v>
      </c>
      <c r="E17" s="584">
        <v>44</v>
      </c>
      <c r="F17" s="584">
        <v>6</v>
      </c>
      <c r="G17" s="584">
        <v>4</v>
      </c>
      <c r="H17" s="584">
        <v>5</v>
      </c>
      <c r="I17" s="584">
        <v>52</v>
      </c>
      <c r="J17" s="584">
        <v>6</v>
      </c>
      <c r="K17" s="584">
        <v>3</v>
      </c>
      <c r="L17" s="584">
        <v>6</v>
      </c>
      <c r="M17" s="584">
        <v>56</v>
      </c>
      <c r="N17" s="585">
        <v>8</v>
      </c>
      <c r="O17" s="1414">
        <v>0</v>
      </c>
      <c r="P17" s="1414">
        <v>0</v>
      </c>
      <c r="Q17" s="1414">
        <v>0</v>
      </c>
      <c r="R17" s="1414">
        <v>0</v>
      </c>
      <c r="S17" s="1414">
        <v>0</v>
      </c>
      <c r="T17" s="1414">
        <v>0</v>
      </c>
      <c r="U17" s="1264">
        <v>0</v>
      </c>
      <c r="V17" s="1264">
        <v>0</v>
      </c>
      <c r="W17" s="1264">
        <v>0</v>
      </c>
      <c r="X17" s="1264">
        <v>0</v>
      </c>
      <c r="Y17" s="585">
        <v>0</v>
      </c>
      <c r="Z17" s="585">
        <v>0</v>
      </c>
      <c r="AA17" s="585">
        <v>0</v>
      </c>
      <c r="AB17" s="585">
        <v>0</v>
      </c>
      <c r="AC17" s="585">
        <v>0</v>
      </c>
      <c r="AD17" s="585">
        <v>0</v>
      </c>
      <c r="AE17" s="585">
        <v>0</v>
      </c>
      <c r="AF17" s="585">
        <v>0</v>
      </c>
      <c r="AG17" s="585">
        <v>0</v>
      </c>
      <c r="AH17" s="585">
        <v>0</v>
      </c>
      <c r="AI17" s="585">
        <v>0</v>
      </c>
      <c r="AJ17" s="585">
        <v>0</v>
      </c>
      <c r="AK17" s="585">
        <v>0</v>
      </c>
      <c r="AL17" s="585">
        <v>8</v>
      </c>
      <c r="AM17" s="584">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F6A913B-F8C7-3A89-42BC-0.1B5B997B}" mc:Ignorable="x14ac xr xr2 xr3">
  <sheetPr>
    <tabColor rgb="FFCCCCFF"/>
  </sheetPr>
  <dimension ref="A1:AR150"/>
  <sheetViews>
    <sheetView topLeftCell="A1" showGridLines="0" zoomScale="90" workbookViewId="0">
      <selection activeCell="J88" sqref="J88:J91"/>
    </sheetView>
  </sheetViews>
  <sheetFormatPr defaultColWidth="9.140625" customHeight="1" defaultRowHeight="11.25"/>
  <cols>
    <col min="1" max="2" style="1625" width="3.7109375" hidden="1" customWidth="1"/>
    <col min="3" max="3" style="1854" width="3.00390625" customWidth="1"/>
    <col min="4" max="4" style="1854" width="6.00390625" customWidth="1"/>
    <col min="5" max="5" style="1854" width="42.00390625" customWidth="1"/>
    <col min="6" max="6" style="1854" width="15.00390625" customWidth="1"/>
    <col min="7" max="7" style="1854" width="42.00390625" customWidth="1"/>
    <col min="8" max="8" style="1854" width="3.00390625" customWidth="1"/>
    <col min="9" max="9" style="1854" width="5.00390625" customWidth="1"/>
    <col min="10" max="10" style="1854" width="47.00390625" customWidth="1"/>
    <col min="11" max="12" style="1854" width="3.00390625" customWidth="1"/>
    <col min="13" max="13" style="1854" width="5.00390625" customWidth="1"/>
    <col min="14" max="14" style="1854" width="28.00390625" customWidth="1"/>
    <col min="15" max="16" style="1854" width="3.00390625" customWidth="1"/>
    <col min="17" max="17" style="1854" width="5.00390625" customWidth="1"/>
    <col min="18" max="18" style="1854" width="34.00390625" customWidth="1"/>
    <col min="19" max="20" style="1854" width="3.7109375" hidden="1" customWidth="1"/>
    <col min="21" max="21" style="1854" width="5.7109375" hidden="1" customWidth="1"/>
    <col min="22" max="22" style="1854" width="34.421875" hidden="1" customWidth="1"/>
    <col min="23" max="23" style="1854" width="30.00390625" customWidth="1"/>
    <col min="24" max="24" style="1854" width="3.00390625" customWidth="1"/>
    <col min="25" max="28" style="1267" width="9.8515625" hidden="1" customWidth="1"/>
    <col min="29" max="29" style="1267" width="27.00390625" hidden="1" customWidth="1"/>
    <col min="30" max="30" style="1267" width="10.57421875" hidden="1" customWidth="1"/>
    <col min="31" max="31" style="1267" width="10.7109375" hidden="1" customWidth="1"/>
    <col min="32" max="32" style="1267" width="10.00390625" hidden="1" customWidth="1"/>
    <col min="33" max="33" style="1267" width="12.8515625" hidden="1" customWidth="1"/>
    <col min="34" max="34" style="1267" width="24.421875" hidden="1" customWidth="1"/>
    <col min="35" max="35" style="1267" width="15.8515625" hidden="1" customWidth="1"/>
    <col min="36" max="36" style="1267" width="19.421875" hidden="1" customWidth="1"/>
    <col min="37" max="37" style="1267" width="11.00390625" hidden="1" customWidth="1"/>
    <col min="38" max="38" style="1267" width="23.57421875" hidden="1" customWidth="1"/>
    <col min="39" max="39" style="1267" width="23.8515625" hidden="1" customWidth="1"/>
    <col min="40" max="40" style="1267" width="25.28125" hidden="1" customWidth="1"/>
    <col min="41" max="41" style="1267" width="16.8515625" hidden="1" customWidth="1"/>
    <col min="42" max="42" style="1267" width="29.57421875" hidden="1" customWidth="1"/>
    <col min="43" max="43" style="1267" width="29.8515625" hidden="1" customWidth="1"/>
    <col min="44" max="44" style="1854" width="9.140625" hidden="1"/>
  </cols>
  <sheetData>
    <row customHeight="1" ht="11.25" hidden="1">
      <c r="A1" s="157"/>
      <c r="AR1" s="105" t="s">
        <v>14</v>
      </c>
    </row>
    <row customHeight="1" ht="11.25" hidden="1">
      <c r="AR2" s="105">
        <v>0</v>
      </c>
    </row>
    <row customHeight="1" ht="11.25" hidden="1">
      <c r="AR3" s="105">
        <v>0</v>
      </c>
    </row>
    <row customHeight="1" ht="3">
      <c r="AR4" s="105">
        <v>3</v>
      </c>
    </row>
    <row s="590" customFormat="1" customHeight="1" ht="30.45">
      <c r="A5" s="155"/>
      <c r="B5" s="155"/>
      <c r="D5" s="2158"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2159"/>
      <c r="F5" s="2159"/>
      <c r="G5" s="2159"/>
      <c r="H5" s="2159"/>
      <c r="I5" s="2159"/>
      <c r="J5" s="2160"/>
      <c r="K5" s="266"/>
      <c r="L5" s="143"/>
      <c r="M5" s="143"/>
      <c r="N5" s="143"/>
      <c r="O5" s="143"/>
      <c r="P5" s="143"/>
      <c r="Q5" s="143"/>
      <c r="R5" s="143"/>
      <c r="S5" s="291"/>
      <c r="T5" s="291"/>
      <c r="U5" s="291"/>
      <c r="V5" s="291"/>
      <c r="W5" s="143"/>
      <c r="Y5" s="1261"/>
      <c r="Z5" s="1261"/>
      <c r="AA5" s="1261"/>
      <c r="AB5" s="1261"/>
      <c r="AC5" s="1261"/>
      <c r="AD5" s="1261"/>
      <c r="AE5" s="1261"/>
      <c r="AF5" s="1261"/>
      <c r="AG5" s="1261"/>
      <c r="AH5" s="1261"/>
      <c r="AI5" s="1261"/>
      <c r="AJ5" s="1261"/>
      <c r="AK5" s="1261"/>
      <c r="AL5" s="1261"/>
      <c r="AM5" s="1261"/>
      <c r="AN5" s="1261"/>
      <c r="AO5" s="1261"/>
      <c r="AP5" s="1261"/>
      <c r="AQ5" s="1261"/>
      <c r="AR5" s="112">
        <v>29</v>
      </c>
    </row>
    <row s="590" customFormat="1" customHeight="1" ht="14.699999999999998">
      <c r="A6" s="586"/>
      <c r="B6" s="586"/>
      <c r="C6" s="586"/>
      <c r="D6" s="2164" t="str">
        <f>IF(org=0,"Не определено",org)</f>
        <v>ИМУП «ПОСЖИЛКОМСЕРВИС»</v>
      </c>
      <c r="E6" s="2164"/>
      <c r="F6" s="2164"/>
      <c r="G6" s="2164"/>
      <c r="H6" s="2164"/>
      <c r="I6" s="2164"/>
      <c r="J6" s="2164"/>
      <c r="K6" s="587"/>
      <c r="L6" s="587"/>
      <c r="M6" s="587"/>
      <c r="N6" s="587"/>
      <c r="O6" s="871"/>
      <c r="P6" s="871"/>
      <c r="Q6" s="871"/>
      <c r="R6" s="871"/>
      <c r="S6" s="871"/>
      <c r="T6" s="871"/>
      <c r="U6" s="871"/>
      <c r="V6" s="871"/>
      <c r="W6" s="871"/>
      <c r="X6" s="587"/>
      <c r="Y6" s="1262"/>
      <c r="Z6" s="1262"/>
      <c r="AA6" s="1262"/>
      <c r="AB6" s="1262"/>
      <c r="AC6" s="1262"/>
      <c r="AD6" s="1262"/>
      <c r="AE6" s="1262"/>
      <c r="AF6" s="1262"/>
      <c r="AG6" s="1262"/>
      <c r="AH6" s="1262"/>
      <c r="AI6" s="1262"/>
      <c r="AJ6" s="1262"/>
      <c r="AK6" s="1262"/>
      <c r="AL6" s="1262"/>
      <c r="AM6" s="1262"/>
      <c r="AN6" s="1262"/>
      <c r="AO6" s="1262"/>
      <c r="AP6" s="1262"/>
      <c r="AQ6" s="1262"/>
      <c r="AR6" s="588">
        <v>14</v>
      </c>
    </row>
    <row s="300" customFormat="1" customHeight="1" ht="11.549999999999999">
      <c r="A7" s="212"/>
      <c r="B7" s="212"/>
      <c r="D7" s="2161"/>
      <c r="E7" s="2162"/>
      <c r="F7" s="2162"/>
      <c r="G7" s="2162"/>
      <c r="H7" s="2162"/>
      <c r="I7" s="2162"/>
      <c r="J7" s="2163"/>
      <c r="S7" s="300"/>
      <c r="T7" s="300"/>
      <c r="U7" s="300"/>
      <c r="V7" s="300"/>
      <c r="Y7" s="1263"/>
      <c r="Z7" s="1263"/>
      <c r="AA7" s="1263"/>
      <c r="AB7" s="1263"/>
      <c r="AC7" s="1263"/>
      <c r="AD7" s="1263"/>
      <c r="AE7" s="1263"/>
      <c r="AF7" s="1263"/>
      <c r="AG7" s="1263"/>
      <c r="AH7" s="1263"/>
      <c r="AI7" s="1263"/>
      <c r="AJ7" s="1263"/>
      <c r="AK7" s="1263"/>
      <c r="AL7" s="1263"/>
      <c r="AM7" s="1263"/>
      <c r="AN7" s="1263"/>
      <c r="AO7" s="1263"/>
      <c r="AP7" s="1263"/>
      <c r="AQ7" s="1263"/>
      <c r="AR7" s="277">
        <v>11</v>
      </c>
    </row>
    <row s="590" customFormat="1" customHeight="1" ht="1.05">
      <c r="A8" s="155"/>
      <c r="B8" s="155"/>
      <c r="D8" s="213"/>
      <c r="E8" s="213"/>
      <c r="F8" s="213"/>
      <c r="G8" s="213"/>
      <c r="H8" s="213"/>
      <c r="I8" s="213"/>
      <c r="J8" s="213"/>
      <c r="K8" s="213"/>
      <c r="L8" s="213"/>
      <c r="M8" s="213"/>
      <c r="N8" s="213"/>
      <c r="O8" s="213"/>
      <c r="P8" s="213"/>
      <c r="Q8" s="213"/>
      <c r="R8" s="213"/>
      <c r="S8" s="213"/>
      <c r="T8" s="213"/>
      <c r="U8" s="213"/>
      <c r="V8" s="213"/>
      <c r="W8" s="213"/>
      <c r="X8" s="133"/>
      <c r="Y8" s="1261"/>
      <c r="Z8" s="1261"/>
      <c r="AA8" s="1261"/>
      <c r="AB8" s="1261"/>
      <c r="AC8" s="1261"/>
      <c r="AD8" s="1261"/>
      <c r="AE8" s="1261"/>
      <c r="AF8" s="1261"/>
      <c r="AG8" s="1261"/>
      <c r="AH8" s="1261"/>
      <c r="AI8" s="1261"/>
      <c r="AJ8" s="1261"/>
      <c r="AK8" s="1261"/>
      <c r="AL8" s="1261"/>
      <c r="AM8" s="1261"/>
      <c r="AN8" s="1261"/>
      <c r="AO8" s="1261"/>
      <c r="AP8" s="1261"/>
      <c r="AQ8" s="1261"/>
      <c r="AR8" s="112">
        <v>1</v>
      </c>
    </row>
    <row customHeight="1" ht="28.5">
      <c r="D9" s="2128" t="s">
        <v>90</v>
      </c>
      <c r="E9" s="2102" t="s">
        <v>125</v>
      </c>
      <c r="F9" s="2104"/>
      <c r="G9" s="2128" t="s">
        <v>108</v>
      </c>
      <c r="H9" s="2128" t="s">
        <v>90</v>
      </c>
      <c r="I9" s="2128"/>
      <c r="J9" s="2128" t="s">
        <v>126</v>
      </c>
      <c r="K9" s="2156" t="s">
        <v>127</v>
      </c>
      <c r="L9" s="2156"/>
      <c r="M9" s="2156"/>
      <c r="N9" s="2156"/>
      <c r="O9" s="2156" t="s">
        <v>128</v>
      </c>
      <c r="P9" s="2156"/>
      <c r="Q9" s="2156"/>
      <c r="R9" s="2156"/>
      <c r="S9" s="2156" t="s">
        <v>129</v>
      </c>
      <c r="T9" s="2156"/>
      <c r="U9" s="2156"/>
      <c r="V9" s="2156"/>
      <c r="W9" s="2128" t="s">
        <v>130</v>
      </c>
      <c r="AR9" s="105">
        <v>27</v>
      </c>
    </row>
    <row customHeight="1" ht="31.5">
      <c r="D10" s="2128"/>
      <c r="E10" s="1285" t="s">
        <v>91</v>
      </c>
      <c r="F10" s="1285" t="s">
        <v>131</v>
      </c>
      <c r="G10" s="2128"/>
      <c r="H10" s="2128"/>
      <c r="I10" s="2128"/>
      <c r="J10" s="2128"/>
      <c r="K10" s="111" t="s">
        <v>111</v>
      </c>
      <c r="L10" s="2128" t="s">
        <v>90</v>
      </c>
      <c r="M10" s="2128"/>
      <c r="N10" s="111" t="s">
        <v>132</v>
      </c>
      <c r="O10" s="111" t="s">
        <v>111</v>
      </c>
      <c r="P10" s="2128" t="s">
        <v>90</v>
      </c>
      <c r="Q10" s="2128"/>
      <c r="R10" s="111" t="s">
        <v>132</v>
      </c>
      <c r="S10" s="284" t="s">
        <v>111</v>
      </c>
      <c r="T10" s="2128" t="s">
        <v>90</v>
      </c>
      <c r="U10" s="2128"/>
      <c r="V10" s="284" t="s">
        <v>91</v>
      </c>
      <c r="W10" s="2128"/>
      <c r="Z10" s="1260" t="s">
        <v>133</v>
      </c>
      <c r="AA10" s="1260" t="s">
        <v>134</v>
      </c>
      <c r="AB10" s="1260" t="s">
        <v>135</v>
      </c>
      <c r="AC10" s="1260" t="s">
        <v>136</v>
      </c>
      <c r="AD10" s="1260" t="s">
        <v>137</v>
      </c>
      <c r="AE10" s="1260" t="s">
        <v>138</v>
      </c>
      <c r="AF10" s="1260" t="s">
        <v>139</v>
      </c>
      <c r="AG10" s="1260" t="s">
        <v>140</v>
      </c>
      <c r="AH10" s="1260" t="s">
        <v>141</v>
      </c>
      <c r="AI10" s="1260" t="s">
        <v>142</v>
      </c>
      <c r="AJ10" s="1260" t="s">
        <v>143</v>
      </c>
      <c r="AK10" s="1260" t="s">
        <v>144</v>
      </c>
      <c r="AL10" s="1260" t="s">
        <v>145</v>
      </c>
      <c r="AM10" s="1260" t="s">
        <v>146</v>
      </c>
      <c r="AN10" s="1260" t="s">
        <v>147</v>
      </c>
      <c r="AO10" s="1260" t="s">
        <v>148</v>
      </c>
      <c r="AP10" s="1260" t="s">
        <v>149</v>
      </c>
      <c r="AQ10" s="1260" t="s">
        <v>150</v>
      </c>
      <c r="AR10" s="105">
        <v>30</v>
      </c>
    </row>
    <row s="1625" customFormat="1" customHeight="1" ht="12" hidden="1">
      <c r="D11" s="1250" t="s">
        <v>112</v>
      </c>
      <c r="E11" s="1250" t="s">
        <v>113</v>
      </c>
      <c r="F11" s="1250"/>
      <c r="G11" s="1250" t="s">
        <v>92</v>
      </c>
      <c r="H11" s="2157" t="s">
        <v>114</v>
      </c>
      <c r="I11" s="2157"/>
      <c r="J11" s="1250" t="s">
        <v>94</v>
      </c>
      <c r="K11" s="1250" t="s">
        <v>95</v>
      </c>
      <c r="L11" s="2157" t="s">
        <v>115</v>
      </c>
      <c r="M11" s="2157"/>
      <c r="N11" s="1250" t="s">
        <v>151</v>
      </c>
      <c r="O11" s="1250" t="s">
        <v>152</v>
      </c>
      <c r="P11" s="2157" t="s">
        <v>153</v>
      </c>
      <c r="Q11" s="2157"/>
      <c r="R11" s="1250" t="s">
        <v>154</v>
      </c>
      <c r="S11" s="1250" t="s">
        <v>153</v>
      </c>
      <c r="T11" s="2157" t="s">
        <v>154</v>
      </c>
      <c r="U11" s="2157"/>
      <c r="V11" s="1250" t="s">
        <v>155</v>
      </c>
      <c r="W11" s="1250" t="s">
        <v>156</v>
      </c>
      <c r="Y11" s="1260"/>
      <c r="Z11" s="1260"/>
      <c r="AA11" s="1260"/>
      <c r="AB11" s="1260"/>
      <c r="AC11" s="1260"/>
      <c r="AD11" s="1260"/>
      <c r="AE11" s="1260"/>
      <c r="AF11" s="1260"/>
      <c r="AG11" s="1260"/>
      <c r="AH11" s="1260"/>
      <c r="AI11" s="1260"/>
      <c r="AJ11" s="1260"/>
      <c r="AK11" s="1260"/>
      <c r="AL11" s="1260"/>
      <c r="AM11" s="1260"/>
      <c r="AN11" s="1260"/>
      <c r="AO11" s="1260"/>
      <c r="AP11" s="1260"/>
      <c r="AQ11" s="1260"/>
      <c r="AR11" s="278">
        <v>0</v>
      </c>
    </row>
    <row customHeight="1" ht="14.25" hidden="1">
      <c r="C12" s="210"/>
      <c r="D12" s="1283">
        <v>0</v>
      </c>
      <c r="E12" s="251"/>
      <c r="F12" s="251"/>
      <c r="G12" s="251"/>
      <c r="H12" s="252"/>
      <c r="I12" s="252"/>
      <c r="J12" s="159"/>
      <c r="K12" s="113"/>
      <c r="L12" s="159"/>
      <c r="M12" s="159"/>
      <c r="N12" s="253"/>
      <c r="O12" s="113"/>
      <c r="P12" s="159"/>
      <c r="Q12" s="159"/>
      <c r="R12" s="254"/>
      <c r="S12" s="285"/>
      <c r="T12" s="293"/>
      <c r="U12" s="293"/>
      <c r="V12" s="297"/>
      <c r="W12" s="113"/>
      <c r="X12" s="142"/>
      <c r="AR12" s="105">
        <v>0</v>
      </c>
    </row>
    <row s="1854" customFormat="1" customHeight="1" ht="17.25" hidden="1">
      <c r="A13" s="322"/>
      <c r="C13" s="210"/>
      <c r="D13" s="2136">
        <v>1</v>
      </c>
      <c r="E13" s="2144" t="s">
        <v>157</v>
      </c>
      <c r="F13" s="2146" t="s">
        <v>19</v>
      </c>
      <c r="G13" s="2144"/>
      <c r="H13" s="2149"/>
      <c r="I13" s="2151"/>
      <c r="J13" s="2153"/>
      <c r="K13" s="2138"/>
      <c r="L13" s="2138"/>
      <c r="M13" s="2138"/>
      <c r="N13" s="2140"/>
      <c r="O13" s="2138"/>
      <c r="P13" s="2138"/>
      <c r="Q13" s="2138"/>
      <c r="R13" s="2143"/>
      <c r="S13" s="2138"/>
      <c r="T13" s="1421"/>
      <c r="U13" s="1421"/>
      <c r="V13" s="1420"/>
      <c r="W13" s="1297"/>
      <c r="Y13" s="1268"/>
      <c r="Z13" s="1268"/>
      <c r="AA13" s="1268"/>
      <c r="AB13" s="1268"/>
      <c r="AC13" s="1268" t="s">
        <v>158</v>
      </c>
      <c r="AD13" s="1268" t="s">
        <v>159</v>
      </c>
      <c r="AE13" s="1268" t="s">
        <v>160</v>
      </c>
      <c r="AF13" s="1268" t="s">
        <v>161</v>
      </c>
      <c r="AG13" s="1268" t="s">
        <v>162</v>
      </c>
      <c r="AH13" s="1268"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68" t="str">
        <f>IF($G$13=0,"",$G$13)</f>
        <v/>
      </c>
      <c r="AJ13" s="1268" t="str">
        <f>IF($J$13=0,"",$J$13)</f>
        <v/>
      </c>
      <c r="AK13" s="1268" t="str">
        <f>IF($K$13="нет","без дифференциации",IF($N$13=0,"",$N$13))</f>
        <v/>
      </c>
      <c r="AL13" s="1268" t="str">
        <f>IF($O$13="нет","без дифференциации",IF($R$13=0,"",$R$13))</f>
        <v/>
      </c>
      <c r="AM13" s="1268" t="str">
        <f>IF($S$13="нет","без дифференциации",IF($V$13=0,"",$V$13))</f>
        <v/>
      </c>
      <c r="AN13" s="1268">
        <f>$I$13</f>
        <v>0</v>
      </c>
      <c r="AO13" s="1268" t="str">
        <f>$I$13&amp;"."&amp;$M$13</f>
        <v>.</v>
      </c>
      <c r="AP13" s="1268" t="str">
        <f>$I$13&amp;"."&amp;$M$13&amp;"."&amp;$Q$13</f>
        <v>..</v>
      </c>
      <c r="AQ13" s="1268" t="str">
        <f>$I$13&amp;"."&amp;$M$13&amp;"."&amp;$Q$13&amp;"."&amp;$U$13</f>
        <v>...</v>
      </c>
      <c r="AR13" s="751">
        <v>0</v>
      </c>
    </row>
    <row s="1854" customFormat="1" customHeight="1" ht="17.25" hidden="1">
      <c r="A14" s="322"/>
      <c r="C14" s="321"/>
      <c r="D14" s="2136"/>
      <c r="E14" s="2144"/>
      <c r="F14" s="2147"/>
      <c r="G14" s="2144"/>
      <c r="H14" s="2150"/>
      <c r="I14" s="2152"/>
      <c r="J14" s="2154"/>
      <c r="K14" s="2139"/>
      <c r="L14" s="2139"/>
      <c r="M14" s="2139"/>
      <c r="N14" s="2141"/>
      <c r="O14" s="2139"/>
      <c r="P14" s="2139"/>
      <c r="Q14" s="2139"/>
      <c r="R14" s="2142"/>
      <c r="S14" s="2139"/>
      <c r="T14" s="1298"/>
      <c r="U14" s="1298"/>
      <c r="V14" s="1298"/>
      <c r="W14" s="1299"/>
      <c r="Y14" s="1260"/>
      <c r="Z14" s="1260"/>
      <c r="AA14" s="1260"/>
      <c r="AB14" s="1260"/>
      <c r="AC14" s="1260"/>
      <c r="AD14" s="1260"/>
      <c r="AE14" s="1260"/>
      <c r="AF14" s="1260"/>
      <c r="AG14" s="1260"/>
      <c r="AH14" s="1260"/>
      <c r="AI14" s="1260"/>
      <c r="AJ14" s="1260"/>
      <c r="AK14" s="1260"/>
      <c r="AL14" s="1260"/>
      <c r="AM14" s="1260"/>
      <c r="AN14" s="1260"/>
      <c r="AO14" s="1260"/>
      <c r="AP14" s="1260"/>
      <c r="AQ14" s="1260"/>
      <c r="AR14" s="751">
        <v>0</v>
      </c>
    </row>
    <row s="1854" customFormat="1" customHeight="1" ht="17.25" hidden="1">
      <c r="A15" s="322"/>
      <c r="C15" s="210"/>
      <c r="D15" s="2136"/>
      <c r="E15" s="2144"/>
      <c r="F15" s="2147"/>
      <c r="G15" s="2144"/>
      <c r="H15" s="2150"/>
      <c r="I15" s="2152"/>
      <c r="J15" s="2155"/>
      <c r="K15" s="2139"/>
      <c r="L15" s="2139"/>
      <c r="M15" s="2139"/>
      <c r="N15" s="2142"/>
      <c r="O15" s="2139"/>
      <c r="P15" s="1419"/>
      <c r="Q15" s="1298"/>
      <c r="R15" s="1298"/>
      <c r="S15" s="330"/>
      <c r="T15" s="330"/>
      <c r="U15" s="330"/>
      <c r="V15" s="330"/>
      <c r="W15" s="1299"/>
      <c r="Y15" s="1268"/>
      <c r="Z15" s="1268"/>
      <c r="AA15" s="1268"/>
      <c r="AB15" s="1268"/>
      <c r="AC15" s="1268"/>
      <c r="AD15" s="1268"/>
      <c r="AE15" s="1268"/>
      <c r="AF15" s="1268"/>
      <c r="AG15" s="1268"/>
      <c r="AH15" s="1268"/>
      <c r="AI15" s="1268"/>
      <c r="AJ15" s="1268"/>
      <c r="AK15" s="1268"/>
      <c r="AL15" s="1268"/>
      <c r="AM15" s="1268"/>
      <c r="AN15" s="1268"/>
      <c r="AO15" s="1268"/>
      <c r="AP15" s="1268"/>
      <c r="AQ15" s="1268"/>
      <c r="AR15" s="1418">
        <v>0</v>
      </c>
    </row>
    <row s="1854" customFormat="1" customHeight="1" ht="17.25" hidden="1">
      <c r="A16" s="322"/>
      <c r="C16" s="321"/>
      <c r="D16" s="2136"/>
      <c r="E16" s="2144"/>
      <c r="F16" s="2147"/>
      <c r="G16" s="2144"/>
      <c r="H16" s="2150"/>
      <c r="I16" s="2152"/>
      <c r="J16" s="2155"/>
      <c r="K16" s="2139"/>
      <c r="L16" s="1298"/>
      <c r="M16" s="1298"/>
      <c r="N16" s="1298"/>
      <c r="O16" s="1298"/>
      <c r="P16" s="1298"/>
      <c r="Q16" s="1298"/>
      <c r="R16" s="1298"/>
      <c r="S16" s="330"/>
      <c r="T16" s="330"/>
      <c r="U16" s="330"/>
      <c r="V16" s="330"/>
      <c r="W16" s="1299"/>
      <c r="Y16" s="1260"/>
      <c r="Z16" s="1260"/>
      <c r="AA16" s="1260"/>
      <c r="AB16" s="1260"/>
      <c r="AC16" s="1260"/>
      <c r="AD16" s="1260"/>
      <c r="AE16" s="1260"/>
      <c r="AF16" s="1260"/>
      <c r="AG16" s="1260"/>
      <c r="AH16" s="1260"/>
      <c r="AI16" s="1260"/>
      <c r="AJ16" s="1260"/>
      <c r="AK16" s="1260"/>
      <c r="AL16" s="1260"/>
      <c r="AM16" s="1260"/>
      <c r="AN16" s="1260"/>
      <c r="AO16" s="1260"/>
      <c r="AP16" s="1260"/>
      <c r="AQ16" s="1260"/>
      <c r="AR16" s="1418">
        <v>0</v>
      </c>
    </row>
    <row s="1854" customFormat="1" customHeight="1" ht="17.25" hidden="1">
      <c r="A17" s="322"/>
      <c r="C17" s="321"/>
      <c r="D17" s="2137"/>
      <c r="E17" s="2145"/>
      <c r="F17" s="2148"/>
      <c r="G17" s="2145"/>
      <c r="H17" s="1300"/>
      <c r="I17" s="1301"/>
      <c r="J17" s="1301"/>
      <c r="K17" s="1301"/>
      <c r="L17" s="1301"/>
      <c r="M17" s="1301"/>
      <c r="N17" s="1301"/>
      <c r="O17" s="1301"/>
      <c r="P17" s="1301"/>
      <c r="Q17" s="1301"/>
      <c r="R17" s="1301"/>
      <c r="S17" s="1302"/>
      <c r="T17" s="1302"/>
      <c r="U17" s="1302"/>
      <c r="V17" s="1302"/>
      <c r="W17" s="1303"/>
      <c r="Y17" s="1260"/>
      <c r="Z17" s="1260"/>
      <c r="AA17" s="1260"/>
      <c r="AB17" s="1260"/>
      <c r="AC17" s="1260"/>
      <c r="AD17" s="1260"/>
      <c r="AE17" s="1260"/>
      <c r="AF17" s="1260"/>
      <c r="AG17" s="1260"/>
      <c r="AH17" s="1260"/>
      <c r="AI17" s="1260"/>
      <c r="AJ17" s="1260"/>
      <c r="AK17" s="1260"/>
      <c r="AL17" s="1260"/>
      <c r="AM17" s="1260"/>
      <c r="AN17" s="1260"/>
      <c r="AO17" s="1260"/>
      <c r="AP17" s="1260"/>
      <c r="AQ17" s="1260"/>
      <c r="AR17" s="751">
        <v>0</v>
      </c>
    </row>
    <row s="1854" customFormat="1" customHeight="1" ht="17.25" hidden="1">
      <c r="A18" s="322"/>
      <c r="C18" s="210"/>
      <c r="D18" s="2136">
        <v>2</v>
      </c>
      <c r="E18" s="2165"/>
      <c r="F18" s="2146" t="s">
        <v>19</v>
      </c>
      <c r="G18" s="2144"/>
      <c r="H18" s="2149"/>
      <c r="I18" s="2151"/>
      <c r="J18" s="2153"/>
      <c r="K18" s="2138"/>
      <c r="L18" s="2138"/>
      <c r="M18" s="2138"/>
      <c r="N18" s="2140"/>
      <c r="O18" s="2138"/>
      <c r="P18" s="2138"/>
      <c r="Q18" s="2138"/>
      <c r="R18" s="2143"/>
      <c r="S18" s="2138"/>
      <c r="T18" s="1421"/>
      <c r="U18" s="1421"/>
      <c r="V18" s="1420"/>
      <c r="W18" s="1297"/>
      <c r="X18" s="1268"/>
      <c r="Y18" s="1268"/>
      <c r="Z18" s="1268"/>
      <c r="AA18" s="1268"/>
      <c r="AB18" s="1268"/>
      <c r="AC18" s="1268" t="s">
        <v>163</v>
      </c>
      <c r="AD18" s="1268" t="s">
        <v>164</v>
      </c>
      <c r="AE18" s="1268" t="s">
        <v>165</v>
      </c>
      <c r="AF18" s="1268" t="s">
        <v>166</v>
      </c>
      <c r="AG18" s="1268" t="s">
        <v>167</v>
      </c>
      <c r="AH18" s="1268" t="str">
        <f>IF($E$18=0,"",$E$18)</f>
        <v/>
      </c>
      <c r="AI18" s="1268" t="str">
        <f>IF($G$18=0,"",$G$18)</f>
        <v/>
      </c>
      <c r="AJ18" s="1268" t="str">
        <f>IF($J$18=0,"",$J$18)</f>
        <v/>
      </c>
      <c r="AK18" s="1268" t="str">
        <f>IF($K$18="нет","без дифференциации",IF($N$18=0,"",$N$18))</f>
        <v/>
      </c>
      <c r="AL18" s="1268" t="str">
        <f>IF($O$18="нет","без дифференциации",IF($R$18=0,"",$R$18))</f>
        <v/>
      </c>
      <c r="AM18" s="1268" t="str">
        <f>IF($S$18="нет","без дифференциации",IF($V$18=0,"",$V$18))</f>
        <v/>
      </c>
      <c r="AN18" s="1773">
        <f>$I$18</f>
        <v>0</v>
      </c>
      <c r="AO18" s="1268" t="str">
        <f>$I$18&amp;"."&amp;$M$18</f>
        <v>.</v>
      </c>
      <c r="AP18" s="1260" t="str">
        <f>$I$18&amp;"."&amp;$M$18&amp;"."&amp;$Q$18</f>
        <v>..</v>
      </c>
      <c r="AQ18" s="1260" t="str">
        <f>$I$18&amp;"."&amp;$M$18&amp;"."&amp;$Q$18&amp;"."&amp;$U$18</f>
        <v>...</v>
      </c>
      <c r="AR18" s="1284">
        <v>0</v>
      </c>
    </row>
    <row s="1854" customFormat="1" customHeight="1" ht="17.25" hidden="1">
      <c r="A19" s="322"/>
      <c r="C19" s="321"/>
      <c r="D19" s="2136"/>
      <c r="E19" s="2165"/>
      <c r="F19" s="2147"/>
      <c r="G19" s="2144"/>
      <c r="H19" s="2150"/>
      <c r="I19" s="2152"/>
      <c r="J19" s="2154"/>
      <c r="K19" s="2139"/>
      <c r="L19" s="2139"/>
      <c r="M19" s="2139"/>
      <c r="N19" s="2141"/>
      <c r="O19" s="2139"/>
      <c r="P19" s="2139"/>
      <c r="Q19" s="2139"/>
      <c r="R19" s="2142"/>
      <c r="S19" s="2139"/>
      <c r="T19" s="1298"/>
      <c r="U19" s="1298"/>
      <c r="V19" s="1298"/>
      <c r="W19" s="1299"/>
      <c r="X19" s="1260"/>
      <c r="Y19" s="1260"/>
      <c r="Z19" s="1260"/>
      <c r="AA19" s="1260"/>
      <c r="AB19" s="1260"/>
      <c r="AC19" s="1260"/>
      <c r="AD19" s="1260"/>
      <c r="AE19" s="1260"/>
      <c r="AF19" s="1260"/>
      <c r="AG19" s="1260"/>
      <c r="AH19" s="1260"/>
      <c r="AI19" s="1260"/>
      <c r="AJ19" s="1260"/>
      <c r="AK19" s="1260"/>
      <c r="AL19" s="1260"/>
      <c r="AM19" s="1260"/>
      <c r="AN19" s="1260"/>
      <c r="AO19" s="1260"/>
      <c r="AP19" s="1260"/>
      <c r="AQ19" s="1260"/>
      <c r="AR19" s="1284">
        <v>0</v>
      </c>
    </row>
    <row s="1854" customFormat="1" customHeight="1" ht="17.25" hidden="1">
      <c r="A20" s="322"/>
      <c r="C20" s="321"/>
      <c r="D20" s="2137"/>
      <c r="E20" s="2166"/>
      <c r="F20" s="2147"/>
      <c r="G20" s="2145"/>
      <c r="H20" s="2150"/>
      <c r="I20" s="2152"/>
      <c r="J20" s="2155"/>
      <c r="K20" s="2139"/>
      <c r="L20" s="2139"/>
      <c r="M20" s="2139"/>
      <c r="N20" s="2142"/>
      <c r="O20" s="2139"/>
      <c r="P20" s="1419"/>
      <c r="Q20" s="1298"/>
      <c r="R20" s="1298"/>
      <c r="S20" s="330"/>
      <c r="T20" s="330"/>
      <c r="U20" s="330"/>
      <c r="V20" s="330"/>
      <c r="W20" s="1299"/>
      <c r="X20" s="1260"/>
      <c r="Y20" s="1260"/>
      <c r="Z20" s="1260"/>
      <c r="AA20" s="1260"/>
      <c r="AB20" s="1260"/>
      <c r="AC20" s="1260"/>
      <c r="AD20" s="1260"/>
      <c r="AE20" s="1260"/>
      <c r="AF20" s="1260"/>
      <c r="AG20" s="1260"/>
      <c r="AH20" s="1260"/>
      <c r="AI20" s="1260"/>
      <c r="AJ20" s="1260"/>
      <c r="AK20" s="1260"/>
      <c r="AL20" s="1260"/>
      <c r="AM20" s="1260"/>
      <c r="AN20" s="1260"/>
      <c r="AO20" s="1260"/>
      <c r="AP20" s="1260"/>
      <c r="AQ20" s="1260"/>
      <c r="AR20" s="1284">
        <v>0</v>
      </c>
    </row>
    <row s="1854" customFormat="1" customHeight="1" ht="17.25" hidden="1">
      <c r="A21" s="322"/>
      <c r="C21" s="321"/>
      <c r="D21" s="2137"/>
      <c r="E21" s="2166"/>
      <c r="F21" s="2147"/>
      <c r="G21" s="2145"/>
      <c r="H21" s="2150"/>
      <c r="I21" s="2152"/>
      <c r="J21" s="2155"/>
      <c r="K21" s="2139"/>
      <c r="L21" s="1298"/>
      <c r="M21" s="1298"/>
      <c r="N21" s="1298"/>
      <c r="O21" s="1298"/>
      <c r="P21" s="1298"/>
      <c r="Q21" s="1298"/>
      <c r="R21" s="1298"/>
      <c r="S21" s="330"/>
      <c r="T21" s="330"/>
      <c r="U21" s="330"/>
      <c r="V21" s="330"/>
      <c r="W21" s="1299"/>
      <c r="X21" s="1260"/>
      <c r="Y21" s="1260"/>
      <c r="Z21" s="1260"/>
      <c r="AA21" s="1260"/>
      <c r="AB21" s="1260"/>
      <c r="AC21" s="1260"/>
      <c r="AD21" s="1260"/>
      <c r="AE21" s="1260"/>
      <c r="AF21" s="1260"/>
      <c r="AG21" s="1260"/>
      <c r="AH21" s="1260"/>
      <c r="AI21" s="1260"/>
      <c r="AJ21" s="1260"/>
      <c r="AK21" s="1260"/>
      <c r="AL21" s="1260"/>
      <c r="AM21" s="1260"/>
      <c r="AN21" s="1260"/>
      <c r="AO21" s="1260"/>
      <c r="AP21" s="1260"/>
      <c r="AQ21" s="1260"/>
      <c r="AR21" s="1284">
        <v>0</v>
      </c>
    </row>
    <row s="1854" customFormat="1" customHeight="1" ht="17.25" hidden="1">
      <c r="A22" s="322"/>
      <c r="C22" s="321"/>
      <c r="D22" s="2137"/>
      <c r="E22" s="2166"/>
      <c r="F22" s="2148"/>
      <c r="G22" s="2145"/>
      <c r="H22" s="1300"/>
      <c r="I22" s="1301"/>
      <c r="J22" s="1301"/>
      <c r="K22" s="1301"/>
      <c r="L22" s="1301"/>
      <c r="M22" s="1301"/>
      <c r="N22" s="1301"/>
      <c r="O22" s="1301"/>
      <c r="P22" s="1301"/>
      <c r="Q22" s="1301"/>
      <c r="R22" s="1301"/>
      <c r="S22" s="1302"/>
      <c r="T22" s="1302"/>
      <c r="U22" s="1302"/>
      <c r="V22" s="1302"/>
      <c r="W22" s="1303"/>
      <c r="X22" s="1260"/>
      <c r="Y22" s="1260"/>
      <c r="Z22" s="1260"/>
      <c r="AA22" s="1260"/>
      <c r="AB22" s="1260"/>
      <c r="AC22" s="1260"/>
      <c r="AD22" s="1260"/>
      <c r="AE22" s="1260"/>
      <c r="AF22" s="1260"/>
      <c r="AG22" s="1260"/>
      <c r="AH22" s="1260"/>
      <c r="AI22" s="1260"/>
      <c r="AJ22" s="1260"/>
      <c r="AK22" s="1260"/>
      <c r="AL22" s="1260"/>
      <c r="AM22" s="1260"/>
      <c r="AN22" s="1260"/>
      <c r="AO22" s="1260"/>
      <c r="AP22" s="1260"/>
      <c r="AQ22" s="1260"/>
      <c r="AR22" s="1284">
        <v>0</v>
      </c>
    </row>
    <row s="1854" customFormat="1" customHeight="1" ht="17.25" hidden="1">
      <c r="A23" s="322"/>
      <c r="C23" s="210"/>
      <c r="D23" s="2136">
        <v>2</v>
      </c>
      <c r="E23" s="2144" t="s">
        <v>168</v>
      </c>
      <c r="F23" s="2146" t="s">
        <v>19</v>
      </c>
      <c r="G23" s="2144"/>
      <c r="H23" s="2149"/>
      <c r="I23" s="2151"/>
      <c r="J23" s="2153"/>
      <c r="K23" s="2138"/>
      <c r="L23" s="2138"/>
      <c r="M23" s="2138"/>
      <c r="N23" s="2140"/>
      <c r="O23" s="2138"/>
      <c r="P23" s="2138"/>
      <c r="Q23" s="2138"/>
      <c r="R23" s="2143"/>
      <c r="S23" s="2138"/>
      <c r="T23" s="1999"/>
      <c r="U23" s="1999"/>
      <c r="V23" s="2001"/>
      <c r="W23" s="1297"/>
      <c r="X23" s="1268"/>
      <c r="Y23" s="1268"/>
      <c r="Z23" s="1268"/>
      <c r="AA23" s="1268"/>
      <c r="AB23" s="1268"/>
      <c r="AC23" s="1268" t="s">
        <v>163</v>
      </c>
      <c r="AD23" s="1268" t="s">
        <v>164</v>
      </c>
      <c r="AE23" s="1268" t="s">
        <v>165</v>
      </c>
      <c r="AF23" s="1268" t="s">
        <v>166</v>
      </c>
      <c r="AG23" s="1268" t="s">
        <v>167</v>
      </c>
      <c r="AH23" s="1268" t="str">
        <f>IF($E$23=0,"",$E$23)</f>
        <v>Тарифы на тепловую энергию (мощность), поставляемую теплоснабжающими организациями потребителям, другим теплоснабжающим организациям</v>
      </c>
      <c r="AI23" s="1268" t="str">
        <f>IF($G$23=0,"",$G$23)</f>
        <v/>
      </c>
      <c r="AJ23" s="1268" t="str">
        <f>IF($J$23=0,"",$J$23)</f>
        <v/>
      </c>
      <c r="AK23" s="1268" t="str">
        <f>IF($K$23="нет","без дифференциации",IF($N$23=0,"",$N$23))</f>
        <v/>
      </c>
      <c r="AL23" s="1268" t="str">
        <f>IF($O$23="нет","без дифференциации",IF($R$23=0,"",$R$23))</f>
        <v/>
      </c>
      <c r="AM23" s="1268" t="str">
        <f>IF($S$23="нет","без дифференциации",IF($V$23=0,"",$V$23))</f>
        <v/>
      </c>
      <c r="AN23" s="1773">
        <f>$I$23</f>
        <v>0</v>
      </c>
      <c r="AO23" s="1268" t="str">
        <f>$I$23&amp;"."&amp;$M$23</f>
        <v>.</v>
      </c>
      <c r="AP23" s="1267" t="str">
        <f>$I$23&amp;"."&amp;$M$23&amp;"."&amp;$Q$23</f>
        <v>..</v>
      </c>
      <c r="AQ23" s="1267" t="str">
        <f>$I$23&amp;"."&amp;$M$23&amp;"."&amp;$Q$23&amp;"."&amp;$U$23</f>
        <v>...</v>
      </c>
      <c r="AR23" s="1468">
        <v>0</v>
      </c>
    </row>
    <row s="1854" customFormat="1" customHeight="1" ht="17.25" hidden="1">
      <c r="A24" s="322"/>
      <c r="C24" s="321"/>
      <c r="D24" s="2136"/>
      <c r="E24" s="2144"/>
      <c r="F24" s="2147"/>
      <c r="G24" s="2144"/>
      <c r="H24" s="2150"/>
      <c r="I24" s="2152"/>
      <c r="J24" s="2154"/>
      <c r="K24" s="2139"/>
      <c r="L24" s="2139"/>
      <c r="M24" s="2139"/>
      <c r="N24" s="2141"/>
      <c r="O24" s="2139"/>
      <c r="P24" s="2139"/>
      <c r="Q24" s="2139"/>
      <c r="R24" s="2142"/>
      <c r="S24" s="2139"/>
      <c r="T24" s="2004"/>
      <c r="U24" s="2004"/>
      <c r="V24" s="2004"/>
      <c r="W24" s="2005"/>
      <c r="X24" s="1267"/>
      <c r="Y24" s="1267"/>
      <c r="Z24" s="1267"/>
      <c r="AA24" s="1267"/>
      <c r="AB24" s="1267"/>
      <c r="AC24" s="1267"/>
      <c r="AD24" s="1267"/>
      <c r="AE24" s="1267"/>
      <c r="AF24" s="1267"/>
      <c r="AG24" s="1267"/>
      <c r="AH24" s="1267"/>
      <c r="AI24" s="1267"/>
      <c r="AJ24" s="1267"/>
      <c r="AK24" s="1267"/>
      <c r="AL24" s="1267"/>
      <c r="AM24" s="1267"/>
      <c r="AN24" s="1267"/>
      <c r="AO24" s="1267"/>
      <c r="AP24" s="1267"/>
      <c r="AQ24" s="1267"/>
      <c r="AR24" s="1468">
        <v>0</v>
      </c>
    </row>
    <row s="1854" customFormat="1" customHeight="1" ht="17.25" hidden="1">
      <c r="A25" s="322"/>
      <c r="C25" s="321"/>
      <c r="D25" s="2137"/>
      <c r="E25" s="2145"/>
      <c r="F25" s="2147"/>
      <c r="G25" s="2145"/>
      <c r="H25" s="2150"/>
      <c r="I25" s="2152"/>
      <c r="J25" s="2155"/>
      <c r="K25" s="2139"/>
      <c r="L25" s="2139"/>
      <c r="M25" s="2139"/>
      <c r="N25" s="2142"/>
      <c r="O25" s="2139"/>
      <c r="P25" s="2000"/>
      <c r="Q25" s="2004"/>
      <c r="R25" s="2004"/>
      <c r="S25" s="330"/>
      <c r="T25" s="330"/>
      <c r="U25" s="330"/>
      <c r="V25" s="330"/>
      <c r="W25" s="2005"/>
      <c r="X25" s="1267"/>
      <c r="Y25" s="1267"/>
      <c r="Z25" s="1267"/>
      <c r="AA25" s="1267"/>
      <c r="AB25" s="1267"/>
      <c r="AC25" s="1267"/>
      <c r="AD25" s="1267"/>
      <c r="AE25" s="1267"/>
      <c r="AF25" s="1267"/>
      <c r="AG25" s="1267"/>
      <c r="AH25" s="1267"/>
      <c r="AI25" s="1267"/>
      <c r="AJ25" s="1267"/>
      <c r="AK25" s="1267"/>
      <c r="AL25" s="1267"/>
      <c r="AM25" s="1267"/>
      <c r="AN25" s="1267"/>
      <c r="AO25" s="1267"/>
      <c r="AP25" s="1267"/>
      <c r="AQ25" s="1267"/>
      <c r="AR25" s="1468">
        <v>0</v>
      </c>
    </row>
    <row s="1854" customFormat="1" customHeight="1" ht="17.25" hidden="1">
      <c r="A26" s="322"/>
      <c r="C26" s="321"/>
      <c r="D26" s="2137"/>
      <c r="E26" s="2145"/>
      <c r="F26" s="2147"/>
      <c r="G26" s="2145"/>
      <c r="H26" s="2150"/>
      <c r="I26" s="2152"/>
      <c r="J26" s="2155"/>
      <c r="K26" s="2139"/>
      <c r="L26" s="2004"/>
      <c r="M26" s="2004"/>
      <c r="N26" s="2004"/>
      <c r="O26" s="2004"/>
      <c r="P26" s="2004"/>
      <c r="Q26" s="2004"/>
      <c r="R26" s="2004"/>
      <c r="S26" s="330"/>
      <c r="T26" s="330"/>
      <c r="U26" s="330"/>
      <c r="V26" s="330"/>
      <c r="W26" s="2005"/>
      <c r="X26" s="1267"/>
      <c r="Y26" s="1267"/>
      <c r="Z26" s="1267"/>
      <c r="AA26" s="1267"/>
      <c r="AB26" s="1267"/>
      <c r="AC26" s="1267"/>
      <c r="AD26" s="1267"/>
      <c r="AE26" s="1267"/>
      <c r="AF26" s="1267"/>
      <c r="AG26" s="1267"/>
      <c r="AH26" s="1267"/>
      <c r="AI26" s="1267"/>
      <c r="AJ26" s="1267"/>
      <c r="AK26" s="1267"/>
      <c r="AL26" s="1267"/>
      <c r="AM26" s="1267"/>
      <c r="AN26" s="1267"/>
      <c r="AO26" s="1267"/>
      <c r="AP26" s="1267"/>
      <c r="AQ26" s="1267"/>
      <c r="AR26" s="1468">
        <v>0</v>
      </c>
    </row>
    <row s="1854" customFormat="1" customHeight="1" ht="17.25" hidden="1">
      <c r="A27" s="322"/>
      <c r="C27" s="321"/>
      <c r="D27" s="2137"/>
      <c r="E27" s="2145"/>
      <c r="F27" s="2148"/>
      <c r="G27" s="2145"/>
      <c r="H27" s="1300"/>
      <c r="I27" s="2002"/>
      <c r="J27" s="2002"/>
      <c r="K27" s="2002"/>
      <c r="L27" s="2002"/>
      <c r="M27" s="2002"/>
      <c r="N27" s="2002"/>
      <c r="O27" s="2002"/>
      <c r="P27" s="2002"/>
      <c r="Q27" s="2002"/>
      <c r="R27" s="2002"/>
      <c r="S27" s="1302"/>
      <c r="T27" s="1302"/>
      <c r="U27" s="1302"/>
      <c r="V27" s="1302"/>
      <c r="W27" s="2003"/>
      <c r="X27" s="1267"/>
      <c r="Y27" s="1267"/>
      <c r="Z27" s="1267"/>
      <c r="AA27" s="1267"/>
      <c r="AB27" s="1267"/>
      <c r="AC27" s="1267"/>
      <c r="AD27" s="1267"/>
      <c r="AE27" s="1267"/>
      <c r="AF27" s="1267"/>
      <c r="AG27" s="1267"/>
      <c r="AH27" s="1267"/>
      <c r="AI27" s="1267"/>
      <c r="AJ27" s="1267"/>
      <c r="AK27" s="1267"/>
      <c r="AL27" s="1267"/>
      <c r="AM27" s="1267"/>
      <c r="AN27" s="1267"/>
      <c r="AO27" s="1267"/>
      <c r="AP27" s="1267"/>
      <c r="AQ27" s="1267"/>
      <c r="AR27" s="1468">
        <v>0</v>
      </c>
    </row>
    <row s="1854" customFormat="1" customHeight="1" ht="17.25" hidden="1">
      <c r="A28" s="322"/>
      <c r="C28" s="210"/>
      <c r="D28" s="2136">
        <v>3</v>
      </c>
      <c r="E28" s="2144" t="s">
        <v>169</v>
      </c>
      <c r="F28" s="2146" t="s">
        <v>19</v>
      </c>
      <c r="G28" s="2144"/>
      <c r="H28" s="2149"/>
      <c r="I28" s="2151"/>
      <c r="J28" s="2153"/>
      <c r="K28" s="2138"/>
      <c r="L28" s="2138"/>
      <c r="M28" s="2138"/>
      <c r="N28" s="2140"/>
      <c r="O28" s="2138"/>
      <c r="P28" s="2138"/>
      <c r="Q28" s="2138"/>
      <c r="R28" s="2143"/>
      <c r="S28" s="2138"/>
      <c r="T28" s="1421"/>
      <c r="U28" s="1421"/>
      <c r="V28" s="1420"/>
      <c r="W28" s="1297"/>
      <c r="X28" s="1268"/>
      <c r="Y28" s="1268"/>
      <c r="Z28" s="1268"/>
      <c r="AA28" s="1268"/>
      <c r="AB28" s="1268"/>
      <c r="AC28" s="1268" t="s">
        <v>170</v>
      </c>
      <c r="AD28" s="1268" t="s">
        <v>171</v>
      </c>
      <c r="AE28" s="1268" t="s">
        <v>172</v>
      </c>
      <c r="AF28" s="1268" t="s">
        <v>173</v>
      </c>
      <c r="AG28" s="1268" t="s">
        <v>174</v>
      </c>
      <c r="AH28" s="1268" t="str">
        <f>IF($E$28=0,"",$E$28)</f>
        <v>Тарифы на теплоноситель, поставляемый теплоснабжающими организациями потребителям, другим теплоснабжающим организациям</v>
      </c>
      <c r="AI28" s="1268" t="str">
        <f>IF($G$28=0,"",$G$28)</f>
        <v/>
      </c>
      <c r="AJ28" s="1268" t="str">
        <f>IF($J$28=0,"",$J$28)</f>
        <v/>
      </c>
      <c r="AK28" s="1268" t="str">
        <f>IF($K$28="нет","без дифференциации",IF($N$28=0,"",$N$28))</f>
        <v/>
      </c>
      <c r="AL28" s="1268" t="str">
        <f>IF($O$28="нет","без дифференциации",IF($R$28=0,"",$R$28))</f>
        <v/>
      </c>
      <c r="AM28" s="1268" t="str">
        <f>IF($S$28="нет","без дифференциации",IF($V$28=0,"",$V$28))</f>
        <v/>
      </c>
      <c r="AN28" s="1773">
        <f>$I$28</f>
        <v>0</v>
      </c>
      <c r="AO28" s="1268" t="str">
        <f>$I$28&amp;"."&amp;$M$28</f>
        <v>.</v>
      </c>
      <c r="AP28" s="1260" t="str">
        <f>$I$28&amp;"."&amp;$M$28&amp;"."&amp;$Q$28</f>
        <v>..</v>
      </c>
      <c r="AQ28" s="1260" t="str">
        <f>$I$28&amp;"."&amp;$M$28&amp;"."&amp;$Q$28&amp;"."&amp;$U$28</f>
        <v>...</v>
      </c>
      <c r="AR28" s="1284">
        <v>0</v>
      </c>
    </row>
    <row s="1854" customFormat="1" customHeight="1" ht="17.25" hidden="1">
      <c r="A29" s="322"/>
      <c r="C29" s="321"/>
      <c r="D29" s="2136"/>
      <c r="E29" s="2144"/>
      <c r="F29" s="2147"/>
      <c r="G29" s="2144"/>
      <c r="H29" s="2150"/>
      <c r="I29" s="2152"/>
      <c r="J29" s="2154"/>
      <c r="K29" s="2139"/>
      <c r="L29" s="2139"/>
      <c r="M29" s="2139"/>
      <c r="N29" s="2141"/>
      <c r="O29" s="2139"/>
      <c r="P29" s="2139"/>
      <c r="Q29" s="2139"/>
      <c r="R29" s="2142"/>
      <c r="S29" s="2139"/>
      <c r="T29" s="1298"/>
      <c r="U29" s="1298"/>
      <c r="V29" s="1298"/>
      <c r="W29" s="1299"/>
      <c r="X29" s="1260"/>
      <c r="Y29" s="1260"/>
      <c r="Z29" s="1260"/>
      <c r="AA29" s="1260"/>
      <c r="AB29" s="1260"/>
      <c r="AC29" s="1260"/>
      <c r="AD29" s="1260"/>
      <c r="AE29" s="1260"/>
      <c r="AF29" s="1260"/>
      <c r="AG29" s="1260"/>
      <c r="AH29" s="1260"/>
      <c r="AI29" s="1260"/>
      <c r="AJ29" s="1260"/>
      <c r="AK29" s="1260"/>
      <c r="AL29" s="1260"/>
      <c r="AM29" s="1260"/>
      <c r="AN29" s="1260"/>
      <c r="AO29" s="1260"/>
      <c r="AP29" s="1260"/>
      <c r="AQ29" s="1260"/>
      <c r="AR29" s="1284">
        <v>0</v>
      </c>
    </row>
    <row s="1854" customFormat="1" customHeight="1" ht="17.25" hidden="1">
      <c r="A30" s="322"/>
      <c r="C30" s="321"/>
      <c r="D30" s="2137"/>
      <c r="E30" s="2145"/>
      <c r="F30" s="2147"/>
      <c r="G30" s="2145"/>
      <c r="H30" s="2150"/>
      <c r="I30" s="2152"/>
      <c r="J30" s="2155"/>
      <c r="K30" s="2139"/>
      <c r="L30" s="2139"/>
      <c r="M30" s="2139"/>
      <c r="N30" s="2142"/>
      <c r="O30" s="2139"/>
      <c r="P30" s="1419"/>
      <c r="Q30" s="1298"/>
      <c r="R30" s="1298"/>
      <c r="S30" s="330"/>
      <c r="T30" s="330"/>
      <c r="U30" s="330"/>
      <c r="V30" s="330"/>
      <c r="W30" s="1299"/>
      <c r="X30" s="1260"/>
      <c r="Y30" s="1260"/>
      <c r="Z30" s="1260"/>
      <c r="AA30" s="1260"/>
      <c r="AB30" s="1260"/>
      <c r="AC30" s="1260"/>
      <c r="AD30" s="1260"/>
      <c r="AE30" s="1260"/>
      <c r="AF30" s="1260"/>
      <c r="AG30" s="1260"/>
      <c r="AH30" s="1260"/>
      <c r="AI30" s="1260"/>
      <c r="AJ30" s="1260"/>
      <c r="AK30" s="1260"/>
      <c r="AL30" s="1260"/>
      <c r="AM30" s="1260"/>
      <c r="AN30" s="1260"/>
      <c r="AO30" s="1260"/>
      <c r="AP30" s="1260"/>
      <c r="AQ30" s="1260"/>
      <c r="AR30" s="1284">
        <v>0</v>
      </c>
    </row>
    <row s="1854" customFormat="1" customHeight="1" ht="17.25" hidden="1">
      <c r="A31" s="322"/>
      <c r="C31" s="321"/>
      <c r="D31" s="2137"/>
      <c r="E31" s="2145"/>
      <c r="F31" s="2147"/>
      <c r="G31" s="2145"/>
      <c r="H31" s="2150"/>
      <c r="I31" s="2152"/>
      <c r="J31" s="2155"/>
      <c r="K31" s="2139"/>
      <c r="L31" s="1298"/>
      <c r="M31" s="1298"/>
      <c r="N31" s="1298"/>
      <c r="O31" s="1298"/>
      <c r="P31" s="1298"/>
      <c r="Q31" s="1298"/>
      <c r="R31" s="1298"/>
      <c r="S31" s="330"/>
      <c r="T31" s="330"/>
      <c r="U31" s="330"/>
      <c r="V31" s="330"/>
      <c r="W31" s="1299"/>
      <c r="X31" s="1260"/>
      <c r="Y31" s="1260"/>
      <c r="Z31" s="1260"/>
      <c r="AA31" s="1260"/>
      <c r="AB31" s="1260"/>
      <c r="AC31" s="1260"/>
      <c r="AD31" s="1260"/>
      <c r="AE31" s="1260"/>
      <c r="AF31" s="1260"/>
      <c r="AG31" s="1260"/>
      <c r="AH31" s="1260"/>
      <c r="AI31" s="1260"/>
      <c r="AJ31" s="1260"/>
      <c r="AK31" s="1260"/>
      <c r="AL31" s="1260"/>
      <c r="AM31" s="1260"/>
      <c r="AN31" s="1260"/>
      <c r="AO31" s="1260"/>
      <c r="AP31" s="1260"/>
      <c r="AQ31" s="1260"/>
      <c r="AR31" s="1284">
        <v>0</v>
      </c>
    </row>
    <row s="1854" customFormat="1" customHeight="1" ht="17.25" hidden="1">
      <c r="A32" s="322"/>
      <c r="C32" s="321"/>
      <c r="D32" s="2137"/>
      <c r="E32" s="2145"/>
      <c r="F32" s="2148"/>
      <c r="G32" s="2145"/>
      <c r="H32" s="1300"/>
      <c r="I32" s="1301"/>
      <c r="J32" s="1301"/>
      <c r="K32" s="1301"/>
      <c r="L32" s="1301"/>
      <c r="M32" s="1301"/>
      <c r="N32" s="1301"/>
      <c r="O32" s="1301"/>
      <c r="P32" s="1301"/>
      <c r="Q32" s="1301"/>
      <c r="R32" s="1301"/>
      <c r="S32" s="1302"/>
      <c r="T32" s="1302"/>
      <c r="U32" s="1302"/>
      <c r="V32" s="1302"/>
      <c r="W32" s="1303"/>
      <c r="X32" s="1260"/>
      <c r="Y32" s="1260"/>
      <c r="Z32" s="1260"/>
      <c r="AA32" s="1260"/>
      <c r="AB32" s="1260"/>
      <c r="AC32" s="1260"/>
      <c r="AD32" s="1260"/>
      <c r="AE32" s="1260"/>
      <c r="AF32" s="1260"/>
      <c r="AG32" s="1260"/>
      <c r="AH32" s="1260"/>
      <c r="AI32" s="1260"/>
      <c r="AJ32" s="1260"/>
      <c r="AK32" s="1260"/>
      <c r="AL32" s="1260"/>
      <c r="AM32" s="1260"/>
      <c r="AN32" s="1260"/>
      <c r="AO32" s="1260"/>
      <c r="AP32" s="1260"/>
      <c r="AQ32" s="1260"/>
      <c r="AR32" s="1284">
        <v>0</v>
      </c>
    </row>
    <row s="1854" customFormat="1" customHeight="1" ht="17.25" hidden="1">
      <c r="A33" s="322"/>
      <c r="C33" s="210"/>
      <c r="D33" s="2136">
        <v>4</v>
      </c>
      <c r="E33" s="2144" t="s">
        <v>175</v>
      </c>
      <c r="F33" s="2146" t="s">
        <v>19</v>
      </c>
      <c r="G33" s="2144"/>
      <c r="H33" s="2149"/>
      <c r="I33" s="2151"/>
      <c r="J33" s="2153"/>
      <c r="K33" s="2138"/>
      <c r="L33" s="2138"/>
      <c r="M33" s="2138"/>
      <c r="N33" s="2140"/>
      <c r="O33" s="2138"/>
      <c r="P33" s="2138"/>
      <c r="Q33" s="2138"/>
      <c r="R33" s="2143"/>
      <c r="S33" s="2138"/>
      <c r="T33" s="1421"/>
      <c r="U33" s="1421"/>
      <c r="V33" s="1420"/>
      <c r="W33" s="1297"/>
      <c r="X33" s="1268"/>
      <c r="Y33" s="1268"/>
      <c r="Z33" s="1268"/>
      <c r="AA33" s="1268"/>
      <c r="AB33" s="1268"/>
      <c r="AC33" s="1268" t="s">
        <v>176</v>
      </c>
      <c r="AD33" s="1268" t="s">
        <v>177</v>
      </c>
      <c r="AE33" s="1268" t="s">
        <v>178</v>
      </c>
      <c r="AF33" s="1268" t="s">
        <v>179</v>
      </c>
      <c r="AG33" s="1268" t="s">
        <v>180</v>
      </c>
      <c r="AH33" s="1268"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68" t="str">
        <f>IF($G$33=0,"",$G$33)</f>
        <v/>
      </c>
      <c r="AJ33" s="1268" t="str">
        <f>IF($J$33=0,"",$J$33)</f>
        <v/>
      </c>
      <c r="AK33" s="1268" t="str">
        <f>IF($K$33="нет","без дифференциации",IF($N$33=0,"",$N$33))</f>
        <v/>
      </c>
      <c r="AL33" s="1268" t="str">
        <f>IF($O$33="нет","без дифференциации",IF($R$33=0,"",$R$33))</f>
        <v/>
      </c>
      <c r="AM33" s="1268" t="str">
        <f>IF($S$33="нет","без дифференциации",IF($V$33=0,"",$V$33))</f>
        <v/>
      </c>
      <c r="AN33" s="1773">
        <f>$I$33</f>
        <v>0</v>
      </c>
      <c r="AO33" s="1268" t="str">
        <f>$I$33&amp;"."&amp;$M$33</f>
        <v>.</v>
      </c>
      <c r="AP33" s="1260" t="str">
        <f>$I$33&amp;"."&amp;$M$33&amp;"."&amp;$Q$33</f>
        <v>..</v>
      </c>
      <c r="AQ33" s="1260" t="str">
        <f>$I$33&amp;"."&amp;$M$33&amp;"."&amp;$Q$33&amp;"."&amp;$U$33</f>
        <v>...</v>
      </c>
      <c r="AR33" s="1284">
        <v>0</v>
      </c>
    </row>
    <row s="1854" customFormat="1" customHeight="1" ht="17.25" hidden="1">
      <c r="A34" s="322"/>
      <c r="C34" s="321"/>
      <c r="D34" s="2136"/>
      <c r="E34" s="2144"/>
      <c r="F34" s="2147"/>
      <c r="G34" s="2144"/>
      <c r="H34" s="2150"/>
      <c r="I34" s="2152"/>
      <c r="J34" s="2154"/>
      <c r="K34" s="2139"/>
      <c r="L34" s="2139"/>
      <c r="M34" s="2139"/>
      <c r="N34" s="2141"/>
      <c r="O34" s="2139"/>
      <c r="P34" s="2139"/>
      <c r="Q34" s="2139"/>
      <c r="R34" s="2142"/>
      <c r="S34" s="2139"/>
      <c r="T34" s="1298"/>
      <c r="U34" s="1298"/>
      <c r="V34" s="1298"/>
      <c r="W34" s="1299"/>
      <c r="X34" s="1260"/>
      <c r="Y34" s="1260"/>
      <c r="Z34" s="1260"/>
      <c r="AA34" s="1260"/>
      <c r="AB34" s="1260"/>
      <c r="AC34" s="1260"/>
      <c r="AD34" s="1260"/>
      <c r="AE34" s="1260"/>
      <c r="AF34" s="1260"/>
      <c r="AG34" s="1260"/>
      <c r="AH34" s="1260"/>
      <c r="AI34" s="1260"/>
      <c r="AJ34" s="1260"/>
      <c r="AK34" s="1260"/>
      <c r="AL34" s="1260"/>
      <c r="AM34" s="1260"/>
      <c r="AN34" s="1260"/>
      <c r="AO34" s="1260"/>
      <c r="AP34" s="1260"/>
      <c r="AQ34" s="1260"/>
      <c r="AR34" s="1284">
        <v>0</v>
      </c>
    </row>
    <row s="1854" customFormat="1" customHeight="1" ht="17.25" hidden="1">
      <c r="A35" s="322"/>
      <c r="C35" s="321"/>
      <c r="D35" s="2137"/>
      <c r="E35" s="2145"/>
      <c r="F35" s="2147"/>
      <c r="G35" s="2145"/>
      <c r="H35" s="2150"/>
      <c r="I35" s="2152"/>
      <c r="J35" s="2155"/>
      <c r="K35" s="2139"/>
      <c r="L35" s="2139"/>
      <c r="M35" s="2139"/>
      <c r="N35" s="2142"/>
      <c r="O35" s="2139"/>
      <c r="P35" s="1419"/>
      <c r="Q35" s="1298"/>
      <c r="R35" s="1298"/>
      <c r="S35" s="330"/>
      <c r="T35" s="330"/>
      <c r="U35" s="330"/>
      <c r="V35" s="330"/>
      <c r="W35" s="1299"/>
      <c r="X35" s="1260"/>
      <c r="Y35" s="1260"/>
      <c r="Z35" s="1260"/>
      <c r="AA35" s="1260"/>
      <c r="AB35" s="1260"/>
      <c r="AC35" s="1260"/>
      <c r="AD35" s="1260"/>
      <c r="AE35" s="1260"/>
      <c r="AF35" s="1260"/>
      <c r="AG35" s="1260"/>
      <c r="AH35" s="1260"/>
      <c r="AI35" s="1260"/>
      <c r="AJ35" s="1260"/>
      <c r="AK35" s="1260"/>
      <c r="AL35" s="1260"/>
      <c r="AM35" s="1260"/>
      <c r="AN35" s="1260"/>
      <c r="AO35" s="1260"/>
      <c r="AP35" s="1260"/>
      <c r="AQ35" s="1260"/>
      <c r="AR35" s="1284">
        <v>0</v>
      </c>
    </row>
    <row s="1854" customFormat="1" customHeight="1" ht="17.25" hidden="1">
      <c r="A36" s="322"/>
      <c r="C36" s="321"/>
      <c r="D36" s="2137"/>
      <c r="E36" s="2145"/>
      <c r="F36" s="2147"/>
      <c r="G36" s="2145"/>
      <c r="H36" s="2150"/>
      <c r="I36" s="2152"/>
      <c r="J36" s="2155"/>
      <c r="K36" s="2139"/>
      <c r="L36" s="1298"/>
      <c r="M36" s="1298"/>
      <c r="N36" s="1298"/>
      <c r="O36" s="1298"/>
      <c r="P36" s="1298"/>
      <c r="Q36" s="1298"/>
      <c r="R36" s="1298"/>
      <c r="S36" s="330"/>
      <c r="T36" s="330"/>
      <c r="U36" s="330"/>
      <c r="V36" s="330"/>
      <c r="W36" s="1299"/>
      <c r="X36" s="1260"/>
      <c r="Y36" s="1260"/>
      <c r="Z36" s="1260"/>
      <c r="AA36" s="1260"/>
      <c r="AB36" s="1260"/>
      <c r="AC36" s="1260"/>
      <c r="AD36" s="1260"/>
      <c r="AE36" s="1260"/>
      <c r="AF36" s="1260"/>
      <c r="AG36" s="1260"/>
      <c r="AH36" s="1260"/>
      <c r="AI36" s="1260"/>
      <c r="AJ36" s="1260"/>
      <c r="AK36" s="1260"/>
      <c r="AL36" s="1260"/>
      <c r="AM36" s="1260"/>
      <c r="AN36" s="1260"/>
      <c r="AO36" s="1260"/>
      <c r="AP36" s="1260"/>
      <c r="AQ36" s="1260"/>
      <c r="AR36" s="1284">
        <v>0</v>
      </c>
    </row>
    <row s="1854" customFormat="1" customHeight="1" ht="17.25" hidden="1">
      <c r="A37" s="322"/>
      <c r="C37" s="321"/>
      <c r="D37" s="2137"/>
      <c r="E37" s="2145"/>
      <c r="F37" s="2148"/>
      <c r="G37" s="2145"/>
      <c r="H37" s="1300"/>
      <c r="I37" s="1301"/>
      <c r="J37" s="1301"/>
      <c r="K37" s="1301"/>
      <c r="L37" s="1301"/>
      <c r="M37" s="1301"/>
      <c r="N37" s="1301"/>
      <c r="O37" s="1301"/>
      <c r="P37" s="1301"/>
      <c r="Q37" s="1301"/>
      <c r="R37" s="1301"/>
      <c r="S37" s="1302"/>
      <c r="T37" s="1302"/>
      <c r="U37" s="1302"/>
      <c r="V37" s="1302"/>
      <c r="W37" s="1303"/>
      <c r="X37" s="1260"/>
      <c r="Y37" s="1260"/>
      <c r="Z37" s="1260"/>
      <c r="AA37" s="1260"/>
      <c r="AB37" s="1260"/>
      <c r="AC37" s="1260"/>
      <c r="AD37" s="1260"/>
      <c r="AE37" s="1260"/>
      <c r="AF37" s="1260"/>
      <c r="AG37" s="1260"/>
      <c r="AH37" s="1260"/>
      <c r="AI37" s="1260"/>
      <c r="AJ37" s="1260"/>
      <c r="AK37" s="1260"/>
      <c r="AL37" s="1260"/>
      <c r="AM37" s="1260"/>
      <c r="AN37" s="1260"/>
      <c r="AO37" s="1260"/>
      <c r="AP37" s="1260"/>
      <c r="AQ37" s="1260"/>
      <c r="AR37" s="1284">
        <v>0</v>
      </c>
    </row>
    <row s="1854" customFormat="1" customHeight="1" ht="17.25" hidden="1">
      <c r="A38" s="322"/>
      <c r="C38" s="210"/>
      <c r="D38" s="2136">
        <v>5</v>
      </c>
      <c r="E38" s="2144" t="s">
        <v>181</v>
      </c>
      <c r="F38" s="2146" t="s">
        <v>19</v>
      </c>
      <c r="G38" s="2144"/>
      <c r="H38" s="2149"/>
      <c r="I38" s="2151"/>
      <c r="J38" s="2153"/>
      <c r="K38" s="2138"/>
      <c r="L38" s="2138"/>
      <c r="M38" s="2138"/>
      <c r="N38" s="2140"/>
      <c r="O38" s="2138"/>
      <c r="P38" s="2138"/>
      <c r="Q38" s="2138"/>
      <c r="R38" s="2143"/>
      <c r="S38" s="2138"/>
      <c r="T38" s="1421"/>
      <c r="U38" s="1421"/>
      <c r="V38" s="1420"/>
      <c r="W38" s="1297"/>
      <c r="X38" s="1268"/>
      <c r="Y38" s="1268"/>
      <c r="Z38" s="1268"/>
      <c r="AA38" s="1268"/>
      <c r="AB38" s="1268"/>
      <c r="AC38" s="1268" t="s">
        <v>182</v>
      </c>
      <c r="AD38" s="1268" t="s">
        <v>183</v>
      </c>
      <c r="AE38" s="1268" t="s">
        <v>184</v>
      </c>
      <c r="AF38" s="1268" t="s">
        <v>185</v>
      </c>
      <c r="AG38" s="1268" t="s">
        <v>186</v>
      </c>
      <c r="AH38" s="1268" t="str">
        <f>IF($E$38=0,"",$E$38)</f>
        <v>Тарифы на услуги по передаче тепловой энергии</v>
      </c>
      <c r="AI38" s="1268" t="str">
        <f>IF($G$38=0,"",$G$38)</f>
        <v/>
      </c>
      <c r="AJ38" s="1268" t="str">
        <f>IF($J$38=0,"",$J$38)</f>
        <v/>
      </c>
      <c r="AK38" s="1268" t="str">
        <f>IF($K$38="нет","без дифференциации",IF($N$38=0,"",$N$38))</f>
        <v/>
      </c>
      <c r="AL38" s="1268" t="str">
        <f>IF($O$38="нет","без дифференциации",IF($R$38=0,"",$R$38))</f>
        <v/>
      </c>
      <c r="AM38" s="1268" t="str">
        <f>IF($S$38="нет","без дифференциации",IF($V$38=0,"",$V$38))</f>
        <v/>
      </c>
      <c r="AN38" s="1773">
        <f>$I$38</f>
        <v>0</v>
      </c>
      <c r="AO38" s="1268" t="str">
        <f>$I$38&amp;"."&amp;$M$38</f>
        <v>.</v>
      </c>
      <c r="AP38" s="1260" t="str">
        <f>$I$38&amp;"."&amp;$M$38&amp;"."&amp;$Q$38</f>
        <v>..</v>
      </c>
      <c r="AQ38" s="1260" t="str">
        <f>$I$38&amp;"."&amp;$M$38&amp;"."&amp;$Q$38&amp;"."&amp;$U$38</f>
        <v>...</v>
      </c>
      <c r="AR38" s="1284">
        <v>0</v>
      </c>
    </row>
    <row s="1854" customFormat="1" customHeight="1" ht="17.25" hidden="1">
      <c r="A39" s="322"/>
      <c r="C39" s="321"/>
      <c r="D39" s="2136"/>
      <c r="E39" s="2144"/>
      <c r="F39" s="2147"/>
      <c r="G39" s="2144"/>
      <c r="H39" s="2150"/>
      <c r="I39" s="2152"/>
      <c r="J39" s="2154"/>
      <c r="K39" s="2139"/>
      <c r="L39" s="2139"/>
      <c r="M39" s="2139"/>
      <c r="N39" s="2141"/>
      <c r="O39" s="2139"/>
      <c r="P39" s="2139"/>
      <c r="Q39" s="2139"/>
      <c r="R39" s="2142"/>
      <c r="S39" s="2139"/>
      <c r="T39" s="1298"/>
      <c r="U39" s="1298"/>
      <c r="V39" s="1298"/>
      <c r="W39" s="1299"/>
      <c r="X39" s="1260"/>
      <c r="Y39" s="1260"/>
      <c r="Z39" s="1260"/>
      <c r="AA39" s="1260"/>
      <c r="AB39" s="1260"/>
      <c r="AC39" s="1260"/>
      <c r="AD39" s="1260"/>
      <c r="AE39" s="1260"/>
      <c r="AF39" s="1260"/>
      <c r="AG39" s="1260"/>
      <c r="AH39" s="1260"/>
      <c r="AI39" s="1260"/>
      <c r="AJ39" s="1260"/>
      <c r="AK39" s="1260"/>
      <c r="AL39" s="1260"/>
      <c r="AM39" s="1260"/>
      <c r="AN39" s="1260"/>
      <c r="AO39" s="1260"/>
      <c r="AP39" s="1260"/>
      <c r="AQ39" s="1260"/>
      <c r="AR39" s="1284">
        <v>0</v>
      </c>
    </row>
    <row s="1854" customFormat="1" customHeight="1" ht="17.25" hidden="1">
      <c r="A40" s="322"/>
      <c r="C40" s="321"/>
      <c r="D40" s="2137"/>
      <c r="E40" s="2145"/>
      <c r="F40" s="2147"/>
      <c r="G40" s="2145"/>
      <c r="H40" s="2150"/>
      <c r="I40" s="2152"/>
      <c r="J40" s="2155"/>
      <c r="K40" s="2139"/>
      <c r="L40" s="2139"/>
      <c r="M40" s="2139"/>
      <c r="N40" s="2142"/>
      <c r="O40" s="2139"/>
      <c r="P40" s="1419"/>
      <c r="Q40" s="1298"/>
      <c r="R40" s="1298"/>
      <c r="S40" s="330"/>
      <c r="T40" s="330"/>
      <c r="U40" s="330"/>
      <c r="V40" s="330"/>
      <c r="W40" s="1299"/>
      <c r="X40" s="1260"/>
      <c r="Y40" s="1260"/>
      <c r="Z40" s="1260"/>
      <c r="AA40" s="1260"/>
      <c r="AB40" s="1260"/>
      <c r="AC40" s="1260"/>
      <c r="AD40" s="1260"/>
      <c r="AE40" s="1260"/>
      <c r="AF40" s="1260"/>
      <c r="AG40" s="1260"/>
      <c r="AH40" s="1260"/>
      <c r="AI40" s="1260"/>
      <c r="AJ40" s="1260"/>
      <c r="AK40" s="1260"/>
      <c r="AL40" s="1260"/>
      <c r="AM40" s="1260"/>
      <c r="AN40" s="1260"/>
      <c r="AO40" s="1260"/>
      <c r="AP40" s="1260"/>
      <c r="AQ40" s="1260"/>
      <c r="AR40" s="1284">
        <v>0</v>
      </c>
    </row>
    <row s="1854" customFormat="1" customHeight="1" ht="17.25" hidden="1">
      <c r="A41" s="322"/>
      <c r="C41" s="321"/>
      <c r="D41" s="2137"/>
      <c r="E41" s="2145"/>
      <c r="F41" s="2147"/>
      <c r="G41" s="2145"/>
      <c r="H41" s="2150"/>
      <c r="I41" s="2152"/>
      <c r="J41" s="2155"/>
      <c r="K41" s="2139"/>
      <c r="L41" s="1298"/>
      <c r="M41" s="1298"/>
      <c r="N41" s="1298"/>
      <c r="O41" s="1298"/>
      <c r="P41" s="1298"/>
      <c r="Q41" s="1298"/>
      <c r="R41" s="1298"/>
      <c r="S41" s="330"/>
      <c r="T41" s="330"/>
      <c r="U41" s="330"/>
      <c r="V41" s="330"/>
      <c r="W41" s="1299"/>
      <c r="X41" s="1260"/>
      <c r="Y41" s="1260"/>
      <c r="Z41" s="1260"/>
      <c r="AA41" s="1260"/>
      <c r="AB41" s="1260"/>
      <c r="AC41" s="1260"/>
      <c r="AD41" s="1260"/>
      <c r="AE41" s="1260"/>
      <c r="AF41" s="1260"/>
      <c r="AG41" s="1260"/>
      <c r="AH41" s="1260"/>
      <c r="AI41" s="1260"/>
      <c r="AJ41" s="1260"/>
      <c r="AK41" s="1260"/>
      <c r="AL41" s="1260"/>
      <c r="AM41" s="1260"/>
      <c r="AN41" s="1260"/>
      <c r="AO41" s="1260"/>
      <c r="AP41" s="1260"/>
      <c r="AQ41" s="1260"/>
      <c r="AR41" s="1284">
        <v>0</v>
      </c>
    </row>
    <row s="1854" customFormat="1" customHeight="1" ht="17.25" hidden="1">
      <c r="A42" s="322"/>
      <c r="C42" s="321"/>
      <c r="D42" s="2137"/>
      <c r="E42" s="2145"/>
      <c r="F42" s="2148"/>
      <c r="G42" s="2145"/>
      <c r="H42" s="1300"/>
      <c r="I42" s="1301"/>
      <c r="J42" s="1301"/>
      <c r="K42" s="1301"/>
      <c r="L42" s="1301"/>
      <c r="M42" s="1301"/>
      <c r="N42" s="1301"/>
      <c r="O42" s="1301"/>
      <c r="P42" s="1301"/>
      <c r="Q42" s="1301"/>
      <c r="R42" s="1301"/>
      <c r="S42" s="1302"/>
      <c r="T42" s="1302"/>
      <c r="U42" s="1302"/>
      <c r="V42" s="1302"/>
      <c r="W42" s="1303"/>
      <c r="X42" s="1260"/>
      <c r="Y42" s="1260"/>
      <c r="Z42" s="1260"/>
      <c r="AA42" s="1260"/>
      <c r="AB42" s="1260"/>
      <c r="AC42" s="1260"/>
      <c r="AD42" s="1260"/>
      <c r="AE42" s="1260"/>
      <c r="AF42" s="1260"/>
      <c r="AG42" s="1260"/>
      <c r="AH42" s="1260"/>
      <c r="AI42" s="1260"/>
      <c r="AJ42" s="1260"/>
      <c r="AK42" s="1260"/>
      <c r="AL42" s="1260"/>
      <c r="AM42" s="1260"/>
      <c r="AN42" s="1260"/>
      <c r="AO42" s="1260"/>
      <c r="AP42" s="1260"/>
      <c r="AQ42" s="1260"/>
      <c r="AR42" s="1284">
        <v>0</v>
      </c>
    </row>
    <row s="1854" customFormat="1" customHeight="1" ht="17.25" hidden="1">
      <c r="A43" s="322"/>
      <c r="C43" s="210"/>
      <c r="D43" s="2136">
        <v>6</v>
      </c>
      <c r="E43" s="2144" t="s">
        <v>187</v>
      </c>
      <c r="F43" s="2146" t="s">
        <v>19</v>
      </c>
      <c r="G43" s="2144"/>
      <c r="H43" s="2149"/>
      <c r="I43" s="2151"/>
      <c r="J43" s="2153"/>
      <c r="K43" s="2138"/>
      <c r="L43" s="2138"/>
      <c r="M43" s="2138"/>
      <c r="N43" s="2140"/>
      <c r="O43" s="2138"/>
      <c r="P43" s="2138"/>
      <c r="Q43" s="2138"/>
      <c r="R43" s="2143"/>
      <c r="S43" s="2138"/>
      <c r="T43" s="1421"/>
      <c r="U43" s="1421"/>
      <c r="V43" s="1420"/>
      <c r="W43" s="1297"/>
      <c r="X43" s="1268"/>
      <c r="Y43" s="1268"/>
      <c r="Z43" s="1268"/>
      <c r="AA43" s="1268"/>
      <c r="AB43" s="1268"/>
      <c r="AC43" s="1268" t="s">
        <v>188</v>
      </c>
      <c r="AD43" s="1268" t="s">
        <v>189</v>
      </c>
      <c r="AE43" s="1268" t="s">
        <v>190</v>
      </c>
      <c r="AF43" s="1268" t="s">
        <v>191</v>
      </c>
      <c r="AG43" s="1268" t="s">
        <v>192</v>
      </c>
      <c r="AH43" s="1268" t="str">
        <f>IF($E$43=0,"",$E$43)</f>
        <v>Тарифы на услуги по передаче теплоносителя</v>
      </c>
      <c r="AI43" s="1268" t="str">
        <f>IF($G$43=0,"",$G$43)</f>
        <v/>
      </c>
      <c r="AJ43" s="1268" t="str">
        <f>IF($J$43=0,"",$J$43)</f>
        <v/>
      </c>
      <c r="AK43" s="1268" t="str">
        <f>IF($K$43="нет","без дифференциации",IF($N$43=0,"",$N$43))</f>
        <v/>
      </c>
      <c r="AL43" s="1268" t="str">
        <f>IF($O$43="нет","без дифференциации",IF($R$43=0,"",$R$43))</f>
        <v/>
      </c>
      <c r="AM43" s="1268" t="str">
        <f>IF($S$43="нет","без дифференциации",IF($V$43=0,"",$V$43))</f>
        <v/>
      </c>
      <c r="AN43" s="1773">
        <f>$I$43</f>
        <v>0</v>
      </c>
      <c r="AO43" s="1268" t="str">
        <f>$I$43&amp;"."&amp;$M$43</f>
        <v>.</v>
      </c>
      <c r="AP43" s="1260" t="str">
        <f>$I$43&amp;"."&amp;$M$43&amp;"."&amp;$Q$43</f>
        <v>..</v>
      </c>
      <c r="AQ43" s="1260" t="str">
        <f>$I$43&amp;"."&amp;$M$43&amp;"."&amp;$Q$43&amp;"."&amp;$U$43</f>
        <v>...</v>
      </c>
      <c r="AR43" s="1284">
        <v>0</v>
      </c>
    </row>
    <row s="1854" customFormat="1" customHeight="1" ht="17.25" hidden="1">
      <c r="A44" s="322"/>
      <c r="C44" s="321"/>
      <c r="D44" s="2136"/>
      <c r="E44" s="2144"/>
      <c r="F44" s="2147"/>
      <c r="G44" s="2144"/>
      <c r="H44" s="2150"/>
      <c r="I44" s="2152"/>
      <c r="J44" s="2154"/>
      <c r="K44" s="2139"/>
      <c r="L44" s="2139"/>
      <c r="M44" s="2139"/>
      <c r="N44" s="2141"/>
      <c r="O44" s="2139"/>
      <c r="P44" s="2139"/>
      <c r="Q44" s="2139"/>
      <c r="R44" s="2142"/>
      <c r="S44" s="2139"/>
      <c r="T44" s="1298"/>
      <c r="U44" s="1298"/>
      <c r="V44" s="1298"/>
      <c r="W44" s="1299"/>
      <c r="X44" s="1260"/>
      <c r="Y44" s="1260"/>
      <c r="Z44" s="1260"/>
      <c r="AA44" s="1260"/>
      <c r="AB44" s="1260"/>
      <c r="AC44" s="1260"/>
      <c r="AD44" s="1260"/>
      <c r="AE44" s="1260"/>
      <c r="AF44" s="1260"/>
      <c r="AG44" s="1260"/>
      <c r="AH44" s="1260"/>
      <c r="AI44" s="1260"/>
      <c r="AJ44" s="1260"/>
      <c r="AK44" s="1260"/>
      <c r="AL44" s="1260"/>
      <c r="AM44" s="1260"/>
      <c r="AN44" s="1260"/>
      <c r="AO44" s="1260"/>
      <c r="AP44" s="1260"/>
      <c r="AQ44" s="1260"/>
      <c r="AR44" s="1284">
        <v>0</v>
      </c>
    </row>
    <row s="1854" customFormat="1" customHeight="1" ht="17.25" hidden="1">
      <c r="A45" s="322"/>
      <c r="C45" s="321"/>
      <c r="D45" s="2137"/>
      <c r="E45" s="2145"/>
      <c r="F45" s="2147"/>
      <c r="G45" s="2145"/>
      <c r="H45" s="2150"/>
      <c r="I45" s="2152"/>
      <c r="J45" s="2155"/>
      <c r="K45" s="2139"/>
      <c r="L45" s="2139"/>
      <c r="M45" s="2139"/>
      <c r="N45" s="2142"/>
      <c r="O45" s="2139"/>
      <c r="P45" s="1419"/>
      <c r="Q45" s="1298"/>
      <c r="R45" s="1298"/>
      <c r="S45" s="330"/>
      <c r="T45" s="330"/>
      <c r="U45" s="330"/>
      <c r="V45" s="330"/>
      <c r="W45" s="1299"/>
      <c r="X45" s="1260"/>
      <c r="Y45" s="1260"/>
      <c r="Z45" s="1260"/>
      <c r="AA45" s="1260"/>
      <c r="AB45" s="1260"/>
      <c r="AC45" s="1260"/>
      <c r="AD45" s="1260"/>
      <c r="AE45" s="1260"/>
      <c r="AF45" s="1260"/>
      <c r="AG45" s="1260"/>
      <c r="AH45" s="1260"/>
      <c r="AI45" s="1260"/>
      <c r="AJ45" s="1260"/>
      <c r="AK45" s="1260"/>
      <c r="AL45" s="1260"/>
      <c r="AM45" s="1260"/>
      <c r="AN45" s="1260"/>
      <c r="AO45" s="1260"/>
      <c r="AP45" s="1260"/>
      <c r="AQ45" s="1260"/>
      <c r="AR45" s="1284">
        <v>0</v>
      </c>
    </row>
    <row s="1854" customFormat="1" customHeight="1" ht="17.25" hidden="1">
      <c r="A46" s="322"/>
      <c r="C46" s="210"/>
      <c r="D46" s="2137"/>
      <c r="E46" s="2145"/>
      <c r="F46" s="2147"/>
      <c r="G46" s="2145"/>
      <c r="H46" s="2150"/>
      <c r="I46" s="2152"/>
      <c r="J46" s="2155"/>
      <c r="K46" s="2139"/>
      <c r="L46" s="1298"/>
      <c r="M46" s="1298"/>
      <c r="N46" s="1298"/>
      <c r="O46" s="1298"/>
      <c r="P46" s="1298"/>
      <c r="Q46" s="1298"/>
      <c r="R46" s="1298"/>
      <c r="S46" s="330"/>
      <c r="T46" s="330"/>
      <c r="U46" s="330"/>
      <c r="V46" s="330"/>
      <c r="W46" s="1299"/>
      <c r="Y46" s="1268"/>
      <c r="Z46" s="1268"/>
      <c r="AA46" s="1268"/>
      <c r="AB46" s="1268"/>
      <c r="AC46" s="1268"/>
      <c r="AD46" s="1268"/>
      <c r="AE46" s="1268"/>
      <c r="AF46" s="1268"/>
      <c r="AG46" s="1268"/>
      <c r="AH46" s="1268"/>
      <c r="AI46" s="1268"/>
      <c r="AJ46" s="1268"/>
      <c r="AK46" s="1268"/>
      <c r="AL46" s="1268"/>
      <c r="AM46" s="1268"/>
      <c r="AN46" s="1268"/>
      <c r="AO46" s="1268"/>
      <c r="AP46" s="1268"/>
      <c r="AQ46" s="1268"/>
      <c r="AR46" s="1327">
        <v>0</v>
      </c>
    </row>
    <row s="1854" customFormat="1" customHeight="1" ht="17.25" hidden="1">
      <c r="A47" s="322"/>
      <c r="C47" s="321"/>
      <c r="D47" s="2137"/>
      <c r="E47" s="2145"/>
      <c r="F47" s="2148"/>
      <c r="G47" s="2145"/>
      <c r="H47" s="1300"/>
      <c r="I47" s="1301"/>
      <c r="J47" s="1301"/>
      <c r="K47" s="1301"/>
      <c r="L47" s="1301"/>
      <c r="M47" s="1301"/>
      <c r="N47" s="1301"/>
      <c r="O47" s="1301"/>
      <c r="P47" s="1301"/>
      <c r="Q47" s="1301"/>
      <c r="R47" s="1301"/>
      <c r="S47" s="1302"/>
      <c r="T47" s="1302"/>
      <c r="U47" s="1302"/>
      <c r="V47" s="1302"/>
      <c r="W47" s="1303"/>
      <c r="X47" s="1260"/>
      <c r="Y47" s="1260"/>
      <c r="Z47" s="1260"/>
      <c r="AA47" s="1260"/>
      <c r="AB47" s="1260"/>
      <c r="AC47" s="1260"/>
      <c r="AD47" s="1260"/>
      <c r="AE47" s="1260"/>
      <c r="AF47" s="1260"/>
      <c r="AG47" s="1260"/>
      <c r="AH47" s="1260"/>
      <c r="AI47" s="1260"/>
      <c r="AJ47" s="1260"/>
      <c r="AK47" s="1260"/>
      <c r="AL47" s="1260"/>
      <c r="AM47" s="1260"/>
      <c r="AN47" s="1260"/>
      <c r="AO47" s="1260"/>
      <c r="AP47" s="1260"/>
      <c r="AQ47" s="1260"/>
      <c r="AR47" s="1284">
        <v>0</v>
      </c>
    </row>
    <row s="1854" customFormat="1" customHeight="1" ht="17.25" hidden="1">
      <c r="A48" s="322"/>
      <c r="C48" s="210"/>
      <c r="D48" s="2167">
        <v>7</v>
      </c>
      <c r="E48" s="2170" t="s">
        <v>193</v>
      </c>
      <c r="F48" s="2146" t="s">
        <v>19</v>
      </c>
      <c r="G48" s="2170"/>
      <c r="H48" s="2149"/>
      <c r="I48" s="2151"/>
      <c r="J48" s="2153"/>
      <c r="K48" s="2138"/>
      <c r="L48" s="2138"/>
      <c r="M48" s="2138"/>
      <c r="N48" s="2140"/>
      <c r="O48" s="2138"/>
      <c r="P48" s="2138"/>
      <c r="Q48" s="2138"/>
      <c r="R48" s="2143"/>
      <c r="S48" s="2138"/>
      <c r="T48" s="1421"/>
      <c r="U48" s="1421"/>
      <c r="V48" s="1420"/>
      <c r="W48" s="1297"/>
      <c r="X48" s="1268"/>
      <c r="Y48" s="1268"/>
      <c r="Z48" s="1268"/>
      <c r="AA48" s="1268"/>
      <c r="AB48" s="1268"/>
      <c r="AC48" s="1268" t="s">
        <v>194</v>
      </c>
      <c r="AD48" s="1268" t="s">
        <v>195</v>
      </c>
      <c r="AE48" s="1268" t="s">
        <v>196</v>
      </c>
      <c r="AF48" s="1268" t="s">
        <v>197</v>
      </c>
      <c r="AG48" s="1268" t="s">
        <v>198</v>
      </c>
      <c r="AH48" s="1268" t="str">
        <f>IF($E$48=0,"",$E$48)</f>
        <v>Плата за услуги по поддержанию резервной тепловой мощности при отсутствии потребления тепловой энергии</v>
      </c>
      <c r="AI48" s="1268" t="str">
        <f>IF($G$48=0,"",$G$48)</f>
        <v/>
      </c>
      <c r="AJ48" s="1268" t="str">
        <f>IF($J$48=0,"",$J$48)</f>
        <v/>
      </c>
      <c r="AK48" s="1268" t="str">
        <f>IF($K$48="нет","без дифференциации",IF($N$48=0,"",$N$48))</f>
        <v/>
      </c>
      <c r="AL48" s="1268" t="str">
        <f>IF($O$48="нет","без дифференциации",IF($R$48=0,"",$R$48))</f>
        <v/>
      </c>
      <c r="AM48" s="1268" t="str">
        <f>IF($S$48="нет","без дифференциации",IF($V$48=0,"",$V$48))</f>
        <v/>
      </c>
      <c r="AN48" s="1773">
        <f>$I$48</f>
        <v>0</v>
      </c>
      <c r="AO48" s="1268" t="str">
        <f>$I$48&amp;"."&amp;$M$48</f>
        <v>.</v>
      </c>
      <c r="AP48" s="1260" t="str">
        <f>$I$48&amp;"."&amp;$M$48&amp;"."&amp;$Q$48</f>
        <v>..</v>
      </c>
      <c r="AQ48" s="1260" t="str">
        <f>$I$48&amp;"."&amp;$M$48&amp;"."&amp;$Q$48&amp;"."&amp;$U$48</f>
        <v>...</v>
      </c>
      <c r="AR48" s="1309">
        <v>0</v>
      </c>
    </row>
    <row s="1854" customFormat="1" customHeight="1" ht="17.25" hidden="1">
      <c r="A49" s="322"/>
      <c r="C49" s="321"/>
      <c r="D49" s="2168"/>
      <c r="E49" s="2171"/>
      <c r="F49" s="2147"/>
      <c r="G49" s="2171"/>
      <c r="H49" s="2150"/>
      <c r="I49" s="2152"/>
      <c r="J49" s="2154"/>
      <c r="K49" s="2139"/>
      <c r="L49" s="2139"/>
      <c r="M49" s="2139"/>
      <c r="N49" s="2141"/>
      <c r="O49" s="2139"/>
      <c r="P49" s="2139"/>
      <c r="Q49" s="2139"/>
      <c r="R49" s="2142"/>
      <c r="S49" s="2139"/>
      <c r="T49" s="1298"/>
      <c r="U49" s="1298"/>
      <c r="V49" s="1298"/>
      <c r="W49" s="1299"/>
      <c r="X49" s="1260"/>
      <c r="Y49" s="1260"/>
      <c r="Z49" s="1260"/>
      <c r="AA49" s="1260"/>
      <c r="AB49" s="1260"/>
      <c r="AC49" s="1260"/>
      <c r="AD49" s="1260"/>
      <c r="AE49" s="1260"/>
      <c r="AF49" s="1260"/>
      <c r="AG49" s="1260"/>
      <c r="AH49" s="1260"/>
      <c r="AI49" s="1260"/>
      <c r="AJ49" s="1260"/>
      <c r="AK49" s="1260"/>
      <c r="AL49" s="1260"/>
      <c r="AM49" s="1260"/>
      <c r="AN49" s="1260"/>
      <c r="AO49" s="1260"/>
      <c r="AP49" s="1260"/>
      <c r="AQ49" s="1260"/>
      <c r="AR49" s="1309">
        <v>0</v>
      </c>
    </row>
    <row s="1854" customFormat="1" customHeight="1" ht="17.25" hidden="1">
      <c r="A50" s="322"/>
      <c r="C50" s="321"/>
      <c r="D50" s="2168"/>
      <c r="E50" s="2171"/>
      <c r="F50" s="2147"/>
      <c r="G50" s="2171"/>
      <c r="H50" s="2150"/>
      <c r="I50" s="2152"/>
      <c r="J50" s="2155"/>
      <c r="K50" s="2139"/>
      <c r="L50" s="2139"/>
      <c r="M50" s="2139"/>
      <c r="N50" s="2142"/>
      <c r="O50" s="2139"/>
      <c r="P50" s="1419"/>
      <c r="Q50" s="1298"/>
      <c r="R50" s="1298"/>
      <c r="S50" s="330"/>
      <c r="T50" s="330"/>
      <c r="U50" s="330"/>
      <c r="V50" s="330"/>
      <c r="W50" s="1299"/>
      <c r="X50" s="1260"/>
      <c r="Y50" s="1260"/>
      <c r="Z50" s="1260"/>
      <c r="AA50" s="1260"/>
      <c r="AB50" s="1260"/>
      <c r="AC50" s="1260"/>
      <c r="AD50" s="1260"/>
      <c r="AE50" s="1260"/>
      <c r="AF50" s="1260"/>
      <c r="AG50" s="1260"/>
      <c r="AH50" s="1260"/>
      <c r="AI50" s="1260"/>
      <c r="AJ50" s="1260"/>
      <c r="AK50" s="1260"/>
      <c r="AL50" s="1260"/>
      <c r="AM50" s="1260"/>
      <c r="AN50" s="1260"/>
      <c r="AO50" s="1260"/>
      <c r="AP50" s="1260"/>
      <c r="AQ50" s="1260"/>
      <c r="AR50" s="1309">
        <v>0</v>
      </c>
    </row>
    <row s="1854" customFormat="1" customHeight="1" ht="17.25" hidden="1">
      <c r="A51" s="322"/>
      <c r="C51" s="210"/>
      <c r="D51" s="2168"/>
      <c r="E51" s="2171"/>
      <c r="F51" s="2147"/>
      <c r="G51" s="2171"/>
      <c r="H51" s="2150"/>
      <c r="I51" s="2152"/>
      <c r="J51" s="2155"/>
      <c r="K51" s="2139"/>
      <c r="L51" s="1298"/>
      <c r="M51" s="1298"/>
      <c r="N51" s="1298"/>
      <c r="O51" s="1298"/>
      <c r="P51" s="1298"/>
      <c r="Q51" s="1298"/>
      <c r="R51" s="1298"/>
      <c r="S51" s="330"/>
      <c r="T51" s="330"/>
      <c r="U51" s="330"/>
      <c r="V51" s="330"/>
      <c r="W51" s="1299"/>
      <c r="Y51" s="1268"/>
      <c r="Z51" s="1268"/>
      <c r="AA51" s="1268"/>
      <c r="AB51" s="1268"/>
      <c r="AC51" s="1268"/>
      <c r="AD51" s="1268"/>
      <c r="AE51" s="1268"/>
      <c r="AF51" s="1268"/>
      <c r="AG51" s="1268"/>
      <c r="AH51" s="1268"/>
      <c r="AI51" s="1268"/>
      <c r="AJ51" s="1268"/>
      <c r="AK51" s="1268"/>
      <c r="AL51" s="1268"/>
      <c r="AM51" s="1268"/>
      <c r="AN51" s="1268"/>
      <c r="AO51" s="1268"/>
      <c r="AP51" s="1268"/>
      <c r="AQ51" s="1268"/>
      <c r="AR51" s="1327">
        <v>0</v>
      </c>
    </row>
    <row s="1854" customFormat="1" customHeight="1" ht="17.25" hidden="1">
      <c r="A52" s="322"/>
      <c r="C52" s="321"/>
      <c r="D52" s="2169"/>
      <c r="E52" s="2172"/>
      <c r="F52" s="2148"/>
      <c r="G52" s="2172"/>
      <c r="H52" s="1300"/>
      <c r="I52" s="1301"/>
      <c r="J52" s="1301"/>
      <c r="K52" s="1301"/>
      <c r="L52" s="1301"/>
      <c r="M52" s="1301"/>
      <c r="N52" s="1301"/>
      <c r="O52" s="1301"/>
      <c r="P52" s="1301"/>
      <c r="Q52" s="1301"/>
      <c r="R52" s="1301"/>
      <c r="S52" s="1302"/>
      <c r="T52" s="1302"/>
      <c r="U52" s="1302"/>
      <c r="V52" s="1302"/>
      <c r="W52" s="1303"/>
      <c r="X52" s="1260"/>
      <c r="Y52" s="1260"/>
      <c r="Z52" s="1260"/>
      <c r="AA52" s="1260"/>
      <c r="AB52" s="1260"/>
      <c r="AC52" s="1260"/>
      <c r="AD52" s="1260"/>
      <c r="AE52" s="1260"/>
      <c r="AF52" s="1260"/>
      <c r="AG52" s="1260"/>
      <c r="AH52" s="1260"/>
      <c r="AI52" s="1260"/>
      <c r="AJ52" s="1260"/>
      <c r="AK52" s="1260"/>
      <c r="AL52" s="1260"/>
      <c r="AM52" s="1260"/>
      <c r="AN52" s="1260"/>
      <c r="AO52" s="1260"/>
      <c r="AP52" s="1260"/>
      <c r="AQ52" s="1260"/>
      <c r="AR52" s="1309">
        <v>0</v>
      </c>
    </row>
    <row s="1854" customFormat="1" customHeight="1" ht="17.25" hidden="1">
      <c r="A53" s="322"/>
      <c r="C53" s="210"/>
      <c r="D53" s="2136">
        <v>8</v>
      </c>
      <c r="E53" s="2144" t="s">
        <v>199</v>
      </c>
      <c r="F53" s="2146" t="s">
        <v>19</v>
      </c>
      <c r="G53" s="2144"/>
      <c r="H53" s="2149"/>
      <c r="I53" s="2151"/>
      <c r="J53" s="2153"/>
      <c r="K53" s="2138"/>
      <c r="L53" s="2138"/>
      <c r="M53" s="2138"/>
      <c r="N53" s="2140"/>
      <c r="O53" s="2138"/>
      <c r="P53" s="2138"/>
      <c r="Q53" s="2138"/>
      <c r="R53" s="2143"/>
      <c r="S53" s="2138"/>
      <c r="T53" s="1471"/>
      <c r="U53" s="1471"/>
      <c r="V53" s="1473"/>
      <c r="W53" s="1297"/>
      <c r="X53" s="1268"/>
      <c r="Y53" s="1268"/>
      <c r="Z53" s="1268"/>
      <c r="AA53" s="1268"/>
      <c r="AB53" s="1268"/>
      <c r="AC53" s="1268" t="s">
        <v>200</v>
      </c>
      <c r="AD53" s="1268" t="s">
        <v>201</v>
      </c>
      <c r="AE53" s="1268" t="s">
        <v>202</v>
      </c>
      <c r="AF53" s="1268" t="s">
        <v>203</v>
      </c>
      <c r="AG53" s="1268" t="s">
        <v>204</v>
      </c>
      <c r="AH53" s="1268" t="str">
        <f>IF($E$53=0,"",$E$53)</f>
        <v>Плата за подключение (технологическое присоединение) к системе теплоснабжения</v>
      </c>
      <c r="AI53" s="1268" t="str">
        <f>IF($G$53=0,"",$G$53)</f>
        <v/>
      </c>
      <c r="AJ53" s="1268" t="str">
        <f>IF($J$53=0,"",$J$53)</f>
        <v/>
      </c>
      <c r="AK53" s="1268" t="str">
        <f>IF($K$53="нет","без дифференциации",IF($N$53=0,"",$N$53))</f>
        <v/>
      </c>
      <c r="AL53" s="1268" t="str">
        <f>IF($O$53="нет","без дифференциации",IF($R$53=0,"",$R$53))</f>
        <v/>
      </c>
      <c r="AM53" s="1268" t="str">
        <f>IF($S$53="нет","без дифференциации",IF($V$53=0,"",$V$53))</f>
        <v/>
      </c>
      <c r="AN53" s="1773">
        <f>$I$53</f>
        <v>0</v>
      </c>
      <c r="AO53" s="1268" t="str">
        <f>$I$53&amp;"."&amp;$M$53</f>
        <v>.</v>
      </c>
      <c r="AP53" s="1260" t="str">
        <f>$I$53&amp;"."&amp;$M$53&amp;"."&amp;$Q$53</f>
        <v>..</v>
      </c>
      <c r="AQ53" s="1260" t="str">
        <f>$I$53&amp;"."&amp;$M$53&amp;"."&amp;$Q$53&amp;"."&amp;$U$53</f>
        <v>...</v>
      </c>
      <c r="AR53" s="1309">
        <v>0</v>
      </c>
    </row>
    <row s="1854" customFormat="1" customHeight="1" ht="17.25" hidden="1">
      <c r="A54" s="322"/>
      <c r="C54" s="321"/>
      <c r="D54" s="2136"/>
      <c r="E54" s="2144"/>
      <c r="F54" s="2147"/>
      <c r="G54" s="2144"/>
      <c r="H54" s="2150"/>
      <c r="I54" s="2152"/>
      <c r="J54" s="2154"/>
      <c r="K54" s="2139"/>
      <c r="L54" s="2139"/>
      <c r="M54" s="2139"/>
      <c r="N54" s="2141"/>
      <c r="O54" s="2139"/>
      <c r="P54" s="2139"/>
      <c r="Q54" s="2139"/>
      <c r="R54" s="2142"/>
      <c r="S54" s="2139"/>
      <c r="T54" s="1298"/>
      <c r="U54" s="1298"/>
      <c r="V54" s="1298"/>
      <c r="W54" s="1299"/>
      <c r="X54" s="1260"/>
      <c r="Y54" s="1260"/>
      <c r="Z54" s="1260"/>
      <c r="AA54" s="1260"/>
      <c r="AB54" s="1260"/>
      <c r="AC54" s="1260"/>
      <c r="AD54" s="1260"/>
      <c r="AE54" s="1260"/>
      <c r="AF54" s="1260"/>
      <c r="AG54" s="1260"/>
      <c r="AH54" s="1260"/>
      <c r="AI54" s="1260"/>
      <c r="AJ54" s="1260"/>
      <c r="AK54" s="1260"/>
      <c r="AL54" s="1260"/>
      <c r="AM54" s="1260"/>
      <c r="AN54" s="1260"/>
      <c r="AO54" s="1260"/>
      <c r="AP54" s="1260"/>
      <c r="AQ54" s="1260"/>
      <c r="AR54" s="1309">
        <v>0</v>
      </c>
    </row>
    <row s="1854" customFormat="1" customHeight="1" ht="17.25" hidden="1">
      <c r="A55" s="322"/>
      <c r="C55" s="321"/>
      <c r="D55" s="2137"/>
      <c r="E55" s="2145"/>
      <c r="F55" s="2147"/>
      <c r="G55" s="2145"/>
      <c r="H55" s="2150"/>
      <c r="I55" s="2152"/>
      <c r="J55" s="2155"/>
      <c r="K55" s="2139"/>
      <c r="L55" s="2139"/>
      <c r="M55" s="2139"/>
      <c r="N55" s="2142"/>
      <c r="O55" s="2139"/>
      <c r="P55" s="1472"/>
      <c r="Q55" s="1298"/>
      <c r="R55" s="1298"/>
      <c r="S55" s="330"/>
      <c r="T55" s="330"/>
      <c r="U55" s="330"/>
      <c r="V55" s="330"/>
      <c r="W55" s="1299"/>
      <c r="X55" s="1260"/>
      <c r="Y55" s="1260"/>
      <c r="Z55" s="1260"/>
      <c r="AA55" s="1260"/>
      <c r="AB55" s="1260"/>
      <c r="AC55" s="1260"/>
      <c r="AD55" s="1260"/>
      <c r="AE55" s="1260"/>
      <c r="AF55" s="1260"/>
      <c r="AG55" s="1260"/>
      <c r="AH55" s="1260"/>
      <c r="AI55" s="1260"/>
      <c r="AJ55" s="1260"/>
      <c r="AK55" s="1260"/>
      <c r="AL55" s="1260"/>
      <c r="AM55" s="1260"/>
      <c r="AN55" s="1260"/>
      <c r="AO55" s="1260"/>
      <c r="AP55" s="1260"/>
      <c r="AQ55" s="1260"/>
      <c r="AR55" s="1309">
        <v>0</v>
      </c>
    </row>
    <row s="1854" customFormat="1" customHeight="1" ht="17.25" hidden="1">
      <c r="A56" s="322"/>
      <c r="C56" s="210"/>
      <c r="D56" s="2137"/>
      <c r="E56" s="2145"/>
      <c r="F56" s="2147"/>
      <c r="G56" s="2145"/>
      <c r="H56" s="2150"/>
      <c r="I56" s="2152"/>
      <c r="J56" s="2155"/>
      <c r="K56" s="2139"/>
      <c r="L56" s="1298"/>
      <c r="M56" s="1298"/>
      <c r="N56" s="1298"/>
      <c r="O56" s="1298"/>
      <c r="P56" s="1298"/>
      <c r="Q56" s="1298"/>
      <c r="R56" s="1298"/>
      <c r="S56" s="330"/>
      <c r="T56" s="330"/>
      <c r="U56" s="330"/>
      <c r="V56" s="330"/>
      <c r="W56" s="1299"/>
      <c r="Y56" s="1268"/>
      <c r="Z56" s="1268"/>
      <c r="AA56" s="1268"/>
      <c r="AB56" s="1268"/>
      <c r="AC56" s="1268"/>
      <c r="AD56" s="1268"/>
      <c r="AE56" s="1268"/>
      <c r="AF56" s="1268"/>
      <c r="AG56" s="1268"/>
      <c r="AH56" s="1268"/>
      <c r="AI56" s="1268"/>
      <c r="AJ56" s="1268"/>
      <c r="AK56" s="1268"/>
      <c r="AL56" s="1268"/>
      <c r="AM56" s="1268"/>
      <c r="AN56" s="1268"/>
      <c r="AO56" s="1268"/>
      <c r="AP56" s="1268"/>
      <c r="AQ56" s="1268"/>
      <c r="AR56" s="1327">
        <v>0</v>
      </c>
    </row>
    <row s="1854" customFormat="1" customHeight="1" ht="17.25" hidden="1">
      <c r="A57" s="322"/>
      <c r="C57" s="321"/>
      <c r="D57" s="2137"/>
      <c r="E57" s="2145"/>
      <c r="F57" s="2148"/>
      <c r="G57" s="2145"/>
      <c r="H57" s="1300"/>
      <c r="I57" s="1301"/>
      <c r="J57" s="1301"/>
      <c r="K57" s="1301"/>
      <c r="L57" s="1301"/>
      <c r="M57" s="1301"/>
      <c r="N57" s="1301"/>
      <c r="O57" s="1301"/>
      <c r="P57" s="1301"/>
      <c r="Q57" s="1301"/>
      <c r="R57" s="1301"/>
      <c r="S57" s="1302"/>
      <c r="T57" s="1302"/>
      <c r="U57" s="1302"/>
      <c r="V57" s="1302"/>
      <c r="W57" s="1303"/>
      <c r="X57" s="1260"/>
      <c r="Y57" s="1260"/>
      <c r="Z57" s="1260"/>
      <c r="AA57" s="1260"/>
      <c r="AB57" s="1260"/>
      <c r="AC57" s="1260"/>
      <c r="AD57" s="1260"/>
      <c r="AE57" s="1260"/>
      <c r="AF57" s="1260"/>
      <c r="AG57" s="1260"/>
      <c r="AH57" s="1260"/>
      <c r="AI57" s="1260"/>
      <c r="AJ57" s="1260"/>
      <c r="AK57" s="1260"/>
      <c r="AL57" s="1260"/>
      <c r="AM57" s="1260"/>
      <c r="AN57" s="1260"/>
      <c r="AO57" s="1260"/>
      <c r="AP57" s="1260"/>
      <c r="AQ57" s="1260"/>
      <c r="AR57" s="1309">
        <v>0</v>
      </c>
    </row>
    <row s="1854" customFormat="1" customHeight="1" ht="17.25" hidden="1">
      <c r="A58" s="322"/>
      <c r="C58" s="210"/>
      <c r="D58" s="2136">
        <v>9</v>
      </c>
      <c r="E58" s="2144" t="s">
        <v>205</v>
      </c>
      <c r="F58" s="2146" t="s">
        <v>19</v>
      </c>
      <c r="G58" s="2144"/>
      <c r="H58" s="2149"/>
      <c r="I58" s="2151"/>
      <c r="J58" s="2153"/>
      <c r="K58" s="2138"/>
      <c r="L58" s="2138"/>
      <c r="M58" s="2138"/>
      <c r="N58" s="2140"/>
      <c r="O58" s="2138"/>
      <c r="P58" s="2138"/>
      <c r="Q58" s="2138"/>
      <c r="R58" s="2143"/>
      <c r="S58" s="2138"/>
      <c r="T58" s="1932"/>
      <c r="U58" s="1932"/>
      <c r="V58" s="1934"/>
      <c r="W58" s="1297"/>
      <c r="X58" s="1268"/>
      <c r="Y58" s="1268"/>
      <c r="Z58" s="1268"/>
      <c r="AA58" s="1268"/>
      <c r="AB58" s="1268"/>
      <c r="AC58" s="1268" t="s">
        <v>206</v>
      </c>
      <c r="AD58" s="1268" t="s">
        <v>207</v>
      </c>
      <c r="AE58" s="1268" t="s">
        <v>208</v>
      </c>
      <c r="AF58" s="1268" t="s">
        <v>209</v>
      </c>
      <c r="AG58" s="1268" t="s">
        <v>210</v>
      </c>
      <c r="AH58" s="1268" t="str">
        <f>IF($E$58=0,"",$E$58)</f>
        <v>Плата за подключение (технологическое присоединение) к системе теплоснабжения (индивидуальная)</v>
      </c>
      <c r="AI58" s="1268" t="str">
        <f>IF($G$58=0,"",$G$58)</f>
        <v/>
      </c>
      <c r="AJ58" s="1268" t="str">
        <f>IF($J$58=0,"",$J$58)</f>
        <v/>
      </c>
      <c r="AK58" s="1268" t="str">
        <f>IF($K$58="нет","без дифференциации",IF($N$58=0,"",$N$58))</f>
        <v/>
      </c>
      <c r="AL58" s="1268" t="str">
        <f>IF($O$58="нет","без дифференциации",IF($R$58=0,"",$R$58))</f>
        <v/>
      </c>
      <c r="AM58" s="1268" t="str">
        <f>IF($S$58="нет","без дифференциации",IF($V$58=0,"",$V$58))</f>
        <v/>
      </c>
      <c r="AN58" s="1773">
        <f>$I$58</f>
        <v>0</v>
      </c>
      <c r="AO58" s="1268" t="str">
        <f>$I$58&amp;"."&amp;$M$58</f>
        <v>.</v>
      </c>
      <c r="AP58" s="1267" t="str">
        <f>$I$58&amp;"."&amp;$M$58&amp;"."&amp;$Q$58</f>
        <v>..</v>
      </c>
      <c r="AQ58" s="1267" t="str">
        <f>$I$58&amp;"."&amp;$M$58&amp;"."&amp;$Q$58&amp;"."&amp;$U$58</f>
        <v>...</v>
      </c>
      <c r="AR58" s="1468">
        <v>0</v>
      </c>
    </row>
    <row s="1854" customFormat="1" customHeight="1" ht="17.25" hidden="1">
      <c r="A59" s="322"/>
      <c r="C59" s="321"/>
      <c r="D59" s="2136"/>
      <c r="E59" s="2144"/>
      <c r="F59" s="2147"/>
      <c r="G59" s="2144"/>
      <c r="H59" s="2150"/>
      <c r="I59" s="2152"/>
      <c r="J59" s="2154"/>
      <c r="K59" s="2139"/>
      <c r="L59" s="2139"/>
      <c r="M59" s="2139"/>
      <c r="N59" s="2141"/>
      <c r="O59" s="2139"/>
      <c r="P59" s="2139"/>
      <c r="Q59" s="2139"/>
      <c r="R59" s="2142"/>
      <c r="S59" s="2139"/>
      <c r="T59" s="1935"/>
      <c r="U59" s="1935"/>
      <c r="V59" s="1935"/>
      <c r="W59" s="1936"/>
      <c r="X59" s="1267"/>
      <c r="Y59" s="1267"/>
      <c r="Z59" s="1267"/>
      <c r="AA59" s="1267"/>
      <c r="AB59" s="1267"/>
      <c r="AC59" s="1267"/>
      <c r="AD59" s="1267"/>
      <c r="AE59" s="1267"/>
      <c r="AF59" s="1267"/>
      <c r="AG59" s="1267"/>
      <c r="AH59" s="1267"/>
      <c r="AI59" s="1267"/>
      <c r="AJ59" s="1267"/>
      <c r="AK59" s="1267"/>
      <c r="AL59" s="1267"/>
      <c r="AM59" s="1267"/>
      <c r="AN59" s="1267"/>
      <c r="AO59" s="1267"/>
      <c r="AP59" s="1267"/>
      <c r="AQ59" s="1267"/>
      <c r="AR59" s="1468">
        <v>0</v>
      </c>
    </row>
    <row s="1854" customFormat="1" customHeight="1" ht="17.25" hidden="1">
      <c r="A60" s="322"/>
      <c r="C60" s="321"/>
      <c r="D60" s="2137"/>
      <c r="E60" s="2145"/>
      <c r="F60" s="2147"/>
      <c r="G60" s="2145"/>
      <c r="H60" s="2150"/>
      <c r="I60" s="2152"/>
      <c r="J60" s="2155"/>
      <c r="K60" s="2139"/>
      <c r="L60" s="2139"/>
      <c r="M60" s="2139"/>
      <c r="N60" s="2142"/>
      <c r="O60" s="2139"/>
      <c r="P60" s="1933"/>
      <c r="Q60" s="1935"/>
      <c r="R60" s="1935"/>
      <c r="S60" s="330"/>
      <c r="T60" s="330"/>
      <c r="U60" s="330"/>
      <c r="V60" s="330"/>
      <c r="W60" s="1936"/>
      <c r="X60" s="1267"/>
      <c r="Y60" s="1267"/>
      <c r="Z60" s="1267"/>
      <c r="AA60" s="1267"/>
      <c r="AB60" s="1267"/>
      <c r="AC60" s="1267"/>
      <c r="AD60" s="1267"/>
      <c r="AE60" s="1267"/>
      <c r="AF60" s="1267"/>
      <c r="AG60" s="1267"/>
      <c r="AH60" s="1267"/>
      <c r="AI60" s="1267"/>
      <c r="AJ60" s="1267"/>
      <c r="AK60" s="1267"/>
      <c r="AL60" s="1267"/>
      <c r="AM60" s="1267"/>
      <c r="AN60" s="1267"/>
      <c r="AO60" s="1267"/>
      <c r="AP60" s="1267"/>
      <c r="AQ60" s="1267"/>
      <c r="AR60" s="1468">
        <v>0</v>
      </c>
    </row>
    <row s="1854" customFormat="1" customHeight="1" ht="17.25" hidden="1">
      <c r="A61" s="322"/>
      <c r="C61" s="210"/>
      <c r="D61" s="2137"/>
      <c r="E61" s="2145"/>
      <c r="F61" s="2147"/>
      <c r="G61" s="2145"/>
      <c r="H61" s="2150"/>
      <c r="I61" s="2152"/>
      <c r="J61" s="2155"/>
      <c r="K61" s="2139"/>
      <c r="L61" s="1935"/>
      <c r="M61" s="1935"/>
      <c r="N61" s="1935"/>
      <c r="O61" s="1935"/>
      <c r="P61" s="1935"/>
      <c r="Q61" s="1935"/>
      <c r="R61" s="1935"/>
      <c r="S61" s="330"/>
      <c r="T61" s="330"/>
      <c r="U61" s="330"/>
      <c r="V61" s="330"/>
      <c r="W61" s="1936"/>
      <c r="Y61" s="1268"/>
      <c r="Z61" s="1268"/>
      <c r="AA61" s="1268"/>
      <c r="AB61" s="1268"/>
      <c r="AC61" s="1268"/>
      <c r="AD61" s="1268"/>
      <c r="AE61" s="1268"/>
      <c r="AF61" s="1268"/>
      <c r="AG61" s="1268"/>
      <c r="AH61" s="1268"/>
      <c r="AI61" s="1268"/>
      <c r="AJ61" s="1268"/>
      <c r="AK61" s="1268"/>
      <c r="AL61" s="1268"/>
      <c r="AM61" s="1268"/>
      <c r="AN61" s="1268"/>
      <c r="AO61" s="1268"/>
      <c r="AP61" s="1268"/>
      <c r="AQ61" s="1268"/>
      <c r="AR61" s="1468">
        <v>0</v>
      </c>
    </row>
    <row s="1854" customFormat="1" customHeight="1" ht="17.25" hidden="1">
      <c r="A62" s="322"/>
      <c r="C62" s="321"/>
      <c r="D62" s="2137"/>
      <c r="E62" s="2145"/>
      <c r="F62" s="2148"/>
      <c r="G62" s="2145"/>
      <c r="H62" s="1300"/>
      <c r="I62" s="1937"/>
      <c r="J62" s="1937"/>
      <c r="K62" s="1937"/>
      <c r="L62" s="1937"/>
      <c r="M62" s="1937"/>
      <c r="N62" s="1937"/>
      <c r="O62" s="1937"/>
      <c r="P62" s="1937"/>
      <c r="Q62" s="1937"/>
      <c r="R62" s="1937"/>
      <c r="S62" s="1302"/>
      <c r="T62" s="1302"/>
      <c r="U62" s="1302"/>
      <c r="V62" s="1302"/>
      <c r="W62" s="1938"/>
      <c r="X62" s="1267"/>
      <c r="Y62" s="1267"/>
      <c r="Z62" s="1267"/>
      <c r="AA62" s="1267"/>
      <c r="AB62" s="1267"/>
      <c r="AC62" s="1267"/>
      <c r="AD62" s="1267"/>
      <c r="AE62" s="1267"/>
      <c r="AF62" s="1267"/>
      <c r="AG62" s="1267"/>
      <c r="AH62" s="1267"/>
      <c r="AI62" s="1267"/>
      <c r="AJ62" s="1267"/>
      <c r="AK62" s="1267"/>
      <c r="AL62" s="1267"/>
      <c r="AM62" s="1267"/>
      <c r="AN62" s="1267"/>
      <c r="AO62" s="1267"/>
      <c r="AP62" s="1267"/>
      <c r="AQ62" s="1267"/>
      <c r="AR62" s="1468">
        <v>0</v>
      </c>
    </row>
    <row s="1854" customFormat="1" customHeight="1" ht="17.25" hidden="1">
      <c r="A63" s="322"/>
      <c r="C63" s="210"/>
      <c r="D63" s="2136">
        <v>10</v>
      </c>
      <c r="E63" s="2144" t="s">
        <v>211</v>
      </c>
      <c r="F63" s="2146" t="s">
        <v>19</v>
      </c>
      <c r="G63" s="2144"/>
      <c r="H63" s="2149"/>
      <c r="I63" s="2151"/>
      <c r="J63" s="2153"/>
      <c r="K63" s="2138"/>
      <c r="L63" s="2138"/>
      <c r="M63" s="2138"/>
      <c r="N63" s="2140"/>
      <c r="O63" s="2138"/>
      <c r="P63" s="2138"/>
      <c r="Q63" s="2138"/>
      <c r="R63" s="2143"/>
      <c r="S63" s="2138"/>
      <c r="T63" s="1932"/>
      <c r="U63" s="1932"/>
      <c r="V63" s="1934"/>
      <c r="W63" s="1297"/>
      <c r="X63" s="1268"/>
      <c r="Y63" s="1268"/>
      <c r="Z63" s="1268"/>
      <c r="AA63" s="1268"/>
      <c r="AB63" s="1268"/>
      <c r="AC63" s="1268" t="s">
        <v>212</v>
      </c>
      <c r="AD63" s="1268" t="s">
        <v>213</v>
      </c>
      <c r="AE63" s="1268" t="s">
        <v>214</v>
      </c>
      <c r="AF63" s="1268" t="s">
        <v>215</v>
      </c>
      <c r="AG63" s="1268" t="s">
        <v>216</v>
      </c>
      <c r="AH63" s="1268" t="str">
        <f>IF($E$63=0,"",$E$63)</f>
        <v>Предельный уровень цены на тепловую энергию (мощность), поставляемую теплоснабжающими организациями потребителям</v>
      </c>
      <c r="AI63" s="1268" t="str">
        <f>IF($G$63=0,"",$G$63)</f>
        <v/>
      </c>
      <c r="AJ63" s="1268" t="str">
        <f>IF($J$63=0,"",$J$63)</f>
        <v/>
      </c>
      <c r="AK63" s="1268" t="str">
        <f>IF($K$63="нет","без дифференциации",IF($N$63=0,"",$N$63))</f>
        <v/>
      </c>
      <c r="AL63" s="1268" t="str">
        <f>IF($O$63="нет","без дифференциации",IF($R$63=0,"",$R$63))</f>
        <v/>
      </c>
      <c r="AM63" s="1268" t="str">
        <f>IF($S$63="нет","без дифференциации",IF($V$63=0,"",$V$63))</f>
        <v/>
      </c>
      <c r="AN63" s="1773">
        <f>$I$63</f>
        <v>0</v>
      </c>
      <c r="AO63" s="1268" t="str">
        <f>$I$63&amp;"."&amp;$M$63</f>
        <v>.</v>
      </c>
      <c r="AP63" s="1267" t="str">
        <f>$I$63&amp;"."&amp;$M$63&amp;"."&amp;$Q$63</f>
        <v>..</v>
      </c>
      <c r="AQ63" s="1267" t="str">
        <f>$I$63&amp;"."&amp;$M$63&amp;"."&amp;$Q$63&amp;"."&amp;$U$63</f>
        <v>...</v>
      </c>
      <c r="AR63" s="1468">
        <v>0</v>
      </c>
    </row>
    <row s="1854" customFormat="1" customHeight="1" ht="17.25" hidden="1">
      <c r="A64" s="322"/>
      <c r="C64" s="321"/>
      <c r="D64" s="2136"/>
      <c r="E64" s="2144"/>
      <c r="F64" s="2147"/>
      <c r="G64" s="2144"/>
      <c r="H64" s="2150"/>
      <c r="I64" s="2152"/>
      <c r="J64" s="2154"/>
      <c r="K64" s="2139"/>
      <c r="L64" s="2139"/>
      <c r="M64" s="2139"/>
      <c r="N64" s="2141"/>
      <c r="O64" s="2139"/>
      <c r="P64" s="2139"/>
      <c r="Q64" s="2139"/>
      <c r="R64" s="2142"/>
      <c r="S64" s="2139"/>
      <c r="T64" s="1935"/>
      <c r="U64" s="1935"/>
      <c r="V64" s="1935"/>
      <c r="W64" s="1936"/>
      <c r="X64" s="1267"/>
      <c r="Y64" s="1267"/>
      <c r="Z64" s="1267"/>
      <c r="AA64" s="1267"/>
      <c r="AB64" s="1267"/>
      <c r="AC64" s="1267"/>
      <c r="AD64" s="1267"/>
      <c r="AE64" s="1267"/>
      <c r="AF64" s="1267"/>
      <c r="AG64" s="1267"/>
      <c r="AH64" s="1267"/>
      <c r="AI64" s="1267"/>
      <c r="AJ64" s="1267"/>
      <c r="AK64" s="1267"/>
      <c r="AL64" s="1267"/>
      <c r="AM64" s="1267"/>
      <c r="AN64" s="1267"/>
      <c r="AO64" s="1267"/>
      <c r="AP64" s="1267"/>
      <c r="AQ64" s="1267"/>
      <c r="AR64" s="1468">
        <v>0</v>
      </c>
    </row>
    <row s="1854" customFormat="1" customHeight="1" ht="17.25" hidden="1">
      <c r="A65" s="322"/>
      <c r="C65" s="321"/>
      <c r="D65" s="2137"/>
      <c r="E65" s="2145"/>
      <c r="F65" s="2147"/>
      <c r="G65" s="2145"/>
      <c r="H65" s="2150"/>
      <c r="I65" s="2152"/>
      <c r="J65" s="2155"/>
      <c r="K65" s="2139"/>
      <c r="L65" s="2139"/>
      <c r="M65" s="2139"/>
      <c r="N65" s="2142"/>
      <c r="O65" s="2139"/>
      <c r="P65" s="1933"/>
      <c r="Q65" s="1935"/>
      <c r="R65" s="1935"/>
      <c r="S65" s="330"/>
      <c r="T65" s="330"/>
      <c r="U65" s="330"/>
      <c r="V65" s="330"/>
      <c r="W65" s="1936"/>
      <c r="X65" s="1267"/>
      <c r="Y65" s="1267"/>
      <c r="Z65" s="1267"/>
      <c r="AA65" s="1267"/>
      <c r="AB65" s="1267"/>
      <c r="AC65" s="1267"/>
      <c r="AD65" s="1267"/>
      <c r="AE65" s="1267"/>
      <c r="AF65" s="1267"/>
      <c r="AG65" s="1267"/>
      <c r="AH65" s="1267"/>
      <c r="AI65" s="1267"/>
      <c r="AJ65" s="1267"/>
      <c r="AK65" s="1267"/>
      <c r="AL65" s="1267"/>
      <c r="AM65" s="1267"/>
      <c r="AN65" s="1267"/>
      <c r="AO65" s="1267"/>
      <c r="AP65" s="1267"/>
      <c r="AQ65" s="1267"/>
      <c r="AR65" s="1468">
        <v>0</v>
      </c>
    </row>
    <row s="1854" customFormat="1" customHeight="1" ht="17.25" hidden="1">
      <c r="A66" s="322"/>
      <c r="C66" s="210"/>
      <c r="D66" s="2137"/>
      <c r="E66" s="2145"/>
      <c r="F66" s="2147"/>
      <c r="G66" s="2145"/>
      <c r="H66" s="2150"/>
      <c r="I66" s="2152"/>
      <c r="J66" s="2155"/>
      <c r="K66" s="2139"/>
      <c r="L66" s="1935"/>
      <c r="M66" s="1935"/>
      <c r="N66" s="1935"/>
      <c r="O66" s="1935"/>
      <c r="P66" s="1935"/>
      <c r="Q66" s="1935"/>
      <c r="R66" s="1935"/>
      <c r="S66" s="330"/>
      <c r="T66" s="330"/>
      <c r="U66" s="330"/>
      <c r="V66" s="330"/>
      <c r="W66" s="1936"/>
      <c r="Y66" s="1268"/>
      <c r="Z66" s="1268"/>
      <c r="AA66" s="1268"/>
      <c r="AB66" s="1268"/>
      <c r="AC66" s="1268"/>
      <c r="AD66" s="1268"/>
      <c r="AE66" s="1268"/>
      <c r="AF66" s="1268"/>
      <c r="AG66" s="1268"/>
      <c r="AH66" s="1268"/>
      <c r="AI66" s="1268"/>
      <c r="AJ66" s="1268"/>
      <c r="AK66" s="1268"/>
      <c r="AL66" s="1268"/>
      <c r="AM66" s="1268"/>
      <c r="AN66" s="1268"/>
      <c r="AO66" s="1268"/>
      <c r="AP66" s="1268"/>
      <c r="AQ66" s="1268"/>
      <c r="AR66" s="1468">
        <v>0</v>
      </c>
    </row>
    <row s="1854" customFormat="1" customHeight="1" ht="17.25" hidden="1">
      <c r="A67" s="322"/>
      <c r="C67" s="321"/>
      <c r="D67" s="2137"/>
      <c r="E67" s="2145"/>
      <c r="F67" s="2148"/>
      <c r="G67" s="2145"/>
      <c r="H67" s="1300"/>
      <c r="I67" s="1937"/>
      <c r="J67" s="1937"/>
      <c r="K67" s="1937"/>
      <c r="L67" s="1937"/>
      <c r="M67" s="1937"/>
      <c r="N67" s="1937"/>
      <c r="O67" s="1937"/>
      <c r="P67" s="1937"/>
      <c r="Q67" s="1937"/>
      <c r="R67" s="1937"/>
      <c r="S67" s="1302"/>
      <c r="T67" s="1302"/>
      <c r="U67" s="1302"/>
      <c r="V67" s="1302"/>
      <c r="W67" s="1938"/>
      <c r="X67" s="1267"/>
      <c r="Y67" s="1267"/>
      <c r="Z67" s="1267"/>
      <c r="AA67" s="1267"/>
      <c r="AB67" s="1267"/>
      <c r="AC67" s="1267"/>
      <c r="AD67" s="1267"/>
      <c r="AE67" s="1267"/>
      <c r="AF67" s="1267"/>
      <c r="AG67" s="1267"/>
      <c r="AH67" s="1267"/>
      <c r="AI67" s="1267"/>
      <c r="AJ67" s="1267"/>
      <c r="AK67" s="1267"/>
      <c r="AL67" s="1267"/>
      <c r="AM67" s="1267"/>
      <c r="AN67" s="1267"/>
      <c r="AO67" s="1267"/>
      <c r="AP67" s="1267"/>
      <c r="AQ67" s="1267"/>
      <c r="AR67" s="1468">
        <v>0</v>
      </c>
    </row>
    <row customHeight="1" ht="11.25" hidden="1">
      <c r="AR68" s="105">
        <v>0</v>
      </c>
    </row>
    <row customHeight="1" ht="11.25" hidden="1">
      <c r="E69" s="2175" t="s">
        <v>217</v>
      </c>
      <c r="F69" s="2175"/>
      <c r="G69" s="2175"/>
      <c r="H69" s="2175"/>
      <c r="I69" s="2175"/>
      <c r="J69" s="2175"/>
      <c r="K69" s="2175"/>
      <c r="L69" s="2175"/>
      <c r="M69" s="2175"/>
      <c r="N69" s="2175"/>
      <c r="O69" s="2175"/>
      <c r="P69" s="2175"/>
      <c r="Q69" s="2175"/>
      <c r="R69" s="2175"/>
      <c r="S69" s="2175"/>
      <c r="T69" s="2175"/>
      <c r="U69" s="2175"/>
      <c r="V69" s="2175"/>
      <c r="W69" s="2175"/>
      <c r="AR69" s="105">
        <v>0</v>
      </c>
    </row>
    <row customHeight="1" ht="36.75" hidden="1">
      <c r="E70" s="2173" t="s">
        <v>218</v>
      </c>
      <c r="F70" s="2173"/>
      <c r="G70" s="2174"/>
      <c r="H70" s="2174"/>
      <c r="I70" s="2174"/>
      <c r="J70" s="2174"/>
      <c r="K70" s="2174"/>
      <c r="L70" s="2174"/>
      <c r="M70" s="2174"/>
      <c r="N70" s="2174"/>
      <c r="O70" s="2174"/>
      <c r="P70" s="2174"/>
      <c r="Q70" s="2174"/>
      <c r="R70" s="2174"/>
      <c r="S70" s="2174"/>
      <c r="T70" s="2174"/>
      <c r="U70" s="2174"/>
      <c r="V70" s="2174"/>
      <c r="W70" s="2174"/>
      <c r="AR70" s="105">
        <v>0</v>
      </c>
    </row>
    <row customHeight="1" ht="28.5" hidden="1">
      <c r="E71" s="2173" t="s">
        <v>219</v>
      </c>
      <c r="F71" s="2173"/>
      <c r="G71" s="2174"/>
      <c r="H71" s="2174"/>
      <c r="I71" s="2174"/>
      <c r="J71" s="2174"/>
      <c r="K71" s="2174"/>
      <c r="L71" s="2174"/>
      <c r="M71" s="2174"/>
      <c r="N71" s="2174"/>
      <c r="O71" s="2174"/>
      <c r="P71" s="2174"/>
      <c r="Q71" s="2174"/>
      <c r="R71" s="2174"/>
      <c r="S71" s="2174"/>
      <c r="T71" s="2174"/>
      <c r="U71" s="2174"/>
      <c r="V71" s="2174"/>
      <c r="W71" s="2174"/>
      <c r="AR71" s="105">
        <v>0</v>
      </c>
    </row>
    <row customHeight="1" ht="27" hidden="1">
      <c r="E72" s="2173" t="s">
        <v>220</v>
      </c>
      <c r="F72" s="2173"/>
      <c r="G72" s="2174"/>
      <c r="H72" s="2174"/>
      <c r="I72" s="2174"/>
      <c r="J72" s="2174"/>
      <c r="K72" s="2174"/>
      <c r="L72" s="2174"/>
      <c r="M72" s="2174"/>
      <c r="N72" s="2174"/>
      <c r="O72" s="2174"/>
      <c r="P72" s="2174"/>
      <c r="Q72" s="2174"/>
      <c r="R72" s="2174"/>
      <c r="S72" s="2174"/>
      <c r="T72" s="2174"/>
      <c r="U72" s="2174"/>
      <c r="V72" s="2174"/>
      <c r="W72" s="2174"/>
      <c r="AR72" s="105">
        <v>0</v>
      </c>
    </row>
    <row customHeight="1" ht="17.25" hidden="1">
      <c r="E73" s="2173" t="s">
        <v>221</v>
      </c>
      <c r="F73" s="2173"/>
      <c r="G73" s="2174"/>
      <c r="H73" s="2174"/>
      <c r="I73" s="2174"/>
      <c r="J73" s="2174"/>
      <c r="K73" s="2174"/>
      <c r="L73" s="2174"/>
      <c r="M73" s="2174"/>
      <c r="N73" s="2174"/>
      <c r="O73" s="2174"/>
      <c r="P73" s="2174"/>
      <c r="Q73" s="2174"/>
      <c r="R73" s="2174"/>
      <c r="S73" s="2174"/>
      <c r="T73" s="2174"/>
      <c r="U73" s="2174"/>
      <c r="V73" s="2174"/>
      <c r="W73" s="2174"/>
      <c r="AR73" s="105">
        <v>0</v>
      </c>
    </row>
    <row customHeight="1" ht="15" hidden="1">
      <c r="E74" s="341"/>
      <c r="F74" s="1286"/>
      <c r="G74" s="158"/>
      <c r="H74" s="158"/>
      <c r="I74" s="158"/>
      <c r="J74" s="158"/>
      <c r="K74" s="158"/>
      <c r="L74" s="158"/>
      <c r="M74" s="158"/>
      <c r="N74" s="158"/>
      <c r="O74" s="158"/>
      <c r="P74" s="158"/>
      <c r="Q74" s="158"/>
      <c r="R74" s="158"/>
      <c r="S74" s="158"/>
      <c r="T74" s="158"/>
      <c r="U74" s="158"/>
      <c r="V74" s="158"/>
      <c r="W74" s="158"/>
      <c r="AR74" s="105">
        <v>0</v>
      </c>
    </row>
    <row customHeight="1" ht="15" hidden="1">
      <c r="E75" s="2175" t="s">
        <v>222</v>
      </c>
      <c r="F75" s="2175"/>
      <c r="G75" s="2175"/>
      <c r="H75" s="2175"/>
      <c r="I75" s="2175"/>
      <c r="J75" s="2175"/>
      <c r="K75" s="2175"/>
      <c r="L75" s="2175"/>
      <c r="M75" s="2175"/>
      <c r="N75" s="2175"/>
      <c r="O75" s="2175"/>
      <c r="P75" s="2175"/>
      <c r="Q75" s="2175"/>
      <c r="R75" s="2175"/>
      <c r="S75" s="2175"/>
      <c r="T75" s="2175"/>
      <c r="U75" s="2175"/>
      <c r="V75" s="2175"/>
      <c r="W75" s="2175"/>
      <c r="AR75" s="105">
        <v>0</v>
      </c>
    </row>
    <row customHeight="1" ht="17.25" hidden="1">
      <c r="E76" s="2173" t="s">
        <v>223</v>
      </c>
      <c r="F76" s="2173"/>
      <c r="G76" s="2174"/>
      <c r="H76" s="2174"/>
      <c r="I76" s="2174"/>
      <c r="J76" s="2174"/>
      <c r="K76" s="2174"/>
      <c r="L76" s="2174"/>
      <c r="M76" s="2174"/>
      <c r="N76" s="2174"/>
      <c r="O76" s="2174"/>
      <c r="P76" s="2174"/>
      <c r="Q76" s="2174"/>
      <c r="R76" s="2174"/>
      <c r="S76" s="2174"/>
      <c r="T76" s="2174"/>
      <c r="U76" s="2174"/>
      <c r="V76" s="2174"/>
      <c r="W76" s="2174"/>
      <c r="AR76" s="105">
        <v>0</v>
      </c>
    </row>
    <row customHeight="1" ht="17.25" hidden="1">
      <c r="E77" s="2173" t="s">
        <v>224</v>
      </c>
      <c r="F77" s="2173"/>
      <c r="G77" s="2174"/>
      <c r="H77" s="2174"/>
      <c r="I77" s="2174"/>
      <c r="J77" s="2174"/>
      <c r="K77" s="2174"/>
      <c r="L77" s="2174"/>
      <c r="M77" s="2174"/>
      <c r="N77" s="2174"/>
      <c r="O77" s="2174"/>
      <c r="P77" s="2174"/>
      <c r="Q77" s="2174"/>
      <c r="R77" s="2174"/>
      <c r="S77" s="2174"/>
      <c r="T77" s="2174"/>
      <c r="U77" s="2174"/>
      <c r="V77" s="2174"/>
      <c r="W77" s="2174"/>
      <c r="AR77" s="105">
        <v>0</v>
      </c>
    </row>
    <row s="1854" customFormat="1" customHeight="1" ht="11.25" hidden="1">
      <c r="A78" s="278"/>
      <c r="B78" s="278"/>
      <c r="Y78" s="1260"/>
      <c r="Z78" s="1260"/>
      <c r="AA78" s="1260"/>
      <c r="AB78" s="1260"/>
      <c r="AC78" s="1260"/>
      <c r="AD78" s="1260"/>
      <c r="AE78" s="1260"/>
      <c r="AF78" s="1260"/>
      <c r="AG78" s="1260"/>
      <c r="AH78" s="1260"/>
      <c r="AI78" s="1260"/>
      <c r="AJ78" s="1260"/>
      <c r="AK78" s="1260"/>
      <c r="AL78" s="1260"/>
      <c r="AM78" s="1260"/>
      <c r="AN78" s="1260"/>
      <c r="AO78" s="1260"/>
      <c r="AP78" s="1260"/>
      <c r="AQ78" s="1260"/>
      <c r="AR78" s="1351">
        <v>0</v>
      </c>
    </row>
    <row s="1854" customFormat="1" customHeight="1" ht="17.25">
      <c r="A79" s="322"/>
      <c r="C79" s="210"/>
      <c r="D79" s="2136">
        <v>1</v>
      </c>
      <c r="E79" s="2144" t="s">
        <v>225</v>
      </c>
      <c r="F79" s="2146" t="s">
        <v>63</v>
      </c>
      <c r="G79" s="2632" t="str">
        <f>INDEX(VD_NAME_LIST,MATCH("4189671",VD_ID_LIST,0))</f>
        <v>Холодное водоснабжение. Питьевая вода</v>
      </c>
      <c r="H79" s="2554"/>
      <c r="I79" s="2554">
        <v>1</v>
      </c>
      <c r="J79" s="2502" t="s">
        <v>226</v>
      </c>
      <c r="K79" s="2186" t="s">
        <v>63</v>
      </c>
      <c r="L79" s="2109"/>
      <c r="M79" s="2109" t="s">
        <v>112</v>
      </c>
      <c r="N79" s="2505" t="str">
        <f>IF(Z79="","",INDEX(TERRITORY_MR_LIST,MATCH(Z79,TERRITORY_LIST_ID,0)))</f>
        <v>Территория 1</v>
      </c>
      <c r="O79" s="2186" t="s">
        <v>19</v>
      </c>
      <c r="P79" s="2109"/>
      <c r="Q79" s="2109" t="s">
        <v>112</v>
      </c>
      <c r="R79" s="2633" t="s">
        <v>28</v>
      </c>
      <c r="S79" s="2407" t="s">
        <v>19</v>
      </c>
      <c r="T79" s="2407"/>
      <c r="U79" s="2407" t="s">
        <v>112</v>
      </c>
      <c r="V79" s="1435"/>
      <c r="W79" s="2502"/>
      <c r="Y79" s="1268"/>
      <c r="Z79" s="1268" t="s">
        <v>100</v>
      </c>
      <c r="AA79" s="1268"/>
      <c r="AB79" s="1268" t="s">
        <v>227</v>
      </c>
      <c r="AC79" s="1268" t="s">
        <v>228</v>
      </c>
      <c r="AD79" s="1268" t="s">
        <v>229</v>
      </c>
      <c r="AE79" s="1268" t="s">
        <v>230</v>
      </c>
      <c r="AF79" s="1268" t="s">
        <v>231</v>
      </c>
      <c r="AG79" s="1268"/>
      <c r="AH79" s="1268" t="str">
        <f>IF($E$79=0,"",$E$79)</f>
        <v>Тариф на питьевую воду (питьевое водоснабжение)</v>
      </c>
      <c r="AI79" s="1268" t="str">
        <f>IF($G$79=0,"",$G$79)</f>
        <v>Холодное водоснабжение. Питьевая вода</v>
      </c>
      <c r="AJ79" s="1268" t="str">
        <f>IF($J$79=0,"",$J$79)</f>
        <v>Тарифы на питьевую воду (питьевое водоснабжение), поставляемую потребителям ИМУП "Посжилкомсервис"
</v>
      </c>
      <c r="AK79" s="1268" t="str">
        <f>IF($K$79="нет","без дифференциации",IF($N$79=0,"",$N$79))</f>
        <v>Территория 1</v>
      </c>
      <c r="AL79" s="1268" t="str">
        <f>IF($O$79="нет","без дифференциации",IF($R$79=0,"",$R$79))</f>
        <v>без дифференциации</v>
      </c>
      <c r="AM79" s="1268" t="str">
        <f>IF($S$79="нет","без дифференциации",IF($V$79=0,"",$V$79))</f>
        <v>без дифференциации</v>
      </c>
      <c r="AN79" s="1268">
        <f>$I$79</f>
        <v>1</v>
      </c>
      <c r="AO79" s="1268" t="str">
        <f>$I$79&amp;"."&amp;$M$79</f>
        <v>1.1</v>
      </c>
      <c r="AP79" s="1268" t="str">
        <f>$I$79&amp;"."&amp;$M$79&amp;"."&amp;$Q$79</f>
        <v>1.1.1</v>
      </c>
      <c r="AQ79" s="1268" t="str">
        <f>$I$79&amp;"."&amp;$M$79&amp;"."&amp;$Q$79&amp;"."&amp;$U$79</f>
        <v>1.1.1.1</v>
      </c>
      <c r="AR79" s="1351">
        <v>0</v>
      </c>
    </row>
    <row s="1854" customFormat="1" customHeight="1" ht="17.25">
      <c r="A80" s="322"/>
      <c r="C80" s="321"/>
      <c r="D80" s="2136"/>
      <c r="E80" s="2144"/>
      <c r="F80" s="2147"/>
      <c r="G80" s="2632"/>
      <c r="H80" s="2554"/>
      <c r="I80" s="2554"/>
      <c r="J80" s="2502"/>
      <c r="K80" s="2187"/>
      <c r="L80" s="2109"/>
      <c r="M80" s="2109"/>
      <c r="N80" s="2505"/>
      <c r="O80" s="2187"/>
      <c r="P80" s="2109"/>
      <c r="Q80" s="2109"/>
      <c r="R80" s="2633" t="s">
        <v>28</v>
      </c>
      <c r="S80" s="2407"/>
      <c r="T80" s="1436"/>
      <c r="U80" s="1437"/>
      <c r="V80" s="1437"/>
      <c r="W80" s="2502"/>
      <c r="Y80" s="1260"/>
      <c r="Z80" s="1260"/>
      <c r="AA80" s="1260"/>
      <c r="AB80" s="1260"/>
      <c r="AC80" s="1260"/>
      <c r="AD80" s="1260"/>
      <c r="AE80" s="1260"/>
      <c r="AF80" s="1260"/>
      <c r="AG80" s="1260"/>
      <c r="AH80" s="1260"/>
      <c r="AI80" s="1260"/>
      <c r="AJ80" s="1260"/>
      <c r="AK80" s="1260"/>
      <c r="AL80" s="1260"/>
      <c r="AM80" s="1260"/>
      <c r="AN80" s="1260"/>
      <c r="AO80" s="1260"/>
      <c r="AP80" s="1260"/>
      <c r="AQ80" s="1260"/>
      <c r="AR80" s="1351">
        <v>0</v>
      </c>
    </row>
    <row s="1854" customFormat="1" customHeight="1" ht="17.25">
      <c r="A81" s="322"/>
      <c r="C81" s="210"/>
      <c r="D81" s="2136"/>
      <c r="E81" s="2144"/>
      <c r="F81" s="2147"/>
      <c r="G81" s="2632"/>
      <c r="H81" s="2504"/>
      <c r="I81" s="2504"/>
      <c r="J81" s="2534"/>
      <c r="K81" s="2187"/>
      <c r="L81" s="2504"/>
      <c r="M81" s="2504"/>
      <c r="N81" s="2506"/>
      <c r="O81" s="2113"/>
      <c r="P81" s="2634"/>
      <c r="Q81" s="2635"/>
      <c r="R81" s="2636" t="s">
        <v>232</v>
      </c>
      <c r="S81" s="2637"/>
      <c r="T81" s="2638"/>
      <c r="U81" s="2639"/>
      <c r="V81" s="2640"/>
      <c r="W81" s="2641"/>
      <c r="Y81" s="1268"/>
      <c r="Z81" s="1268"/>
      <c r="AA81" s="1268"/>
      <c r="AB81" s="1268"/>
      <c r="AC81" s="1268"/>
      <c r="AD81" s="1268"/>
      <c r="AE81" s="1268"/>
      <c r="AF81" s="1268"/>
      <c r="AG81" s="1268"/>
      <c r="AH81" s="1268"/>
      <c r="AI81" s="1268"/>
      <c r="AJ81" s="1268"/>
      <c r="AK81" s="1268"/>
      <c r="AL81" s="1268"/>
      <c r="AM81" s="1268"/>
      <c r="AN81" s="1268"/>
      <c r="AO81" s="1268"/>
      <c r="AP81" s="1268"/>
      <c r="AQ81" s="1268"/>
      <c r="AR81" s="1442">
        <v>0</v>
      </c>
    </row>
    <row s="1854" customFormat="1" customHeight="1" ht="17.25">
      <c r="A82" s="322"/>
      <c r="C82" s="321"/>
      <c r="D82" s="2136"/>
      <c r="E82" s="2144"/>
      <c r="F82" s="2147"/>
      <c r="G82" s="2632"/>
      <c r="H82" s="2504"/>
      <c r="I82" s="2504"/>
      <c r="J82" s="2534"/>
      <c r="K82" s="2113"/>
      <c r="L82" s="2642"/>
      <c r="M82" s="2643"/>
      <c r="N82" s="2644" t="s">
        <v>233</v>
      </c>
      <c r="O82" s="2645"/>
      <c r="P82" s="2646"/>
      <c r="Q82" s="2647"/>
      <c r="R82" s="2648"/>
      <c r="S82" s="2649"/>
      <c r="T82" s="2650"/>
      <c r="U82" s="2651"/>
      <c r="V82" s="2652"/>
      <c r="W82" s="2653"/>
      <c r="Y82" s="1260"/>
      <c r="Z82" s="1260"/>
      <c r="AA82" s="1260"/>
      <c r="AB82" s="1260"/>
      <c r="AC82" s="1260"/>
      <c r="AD82" s="1260"/>
      <c r="AE82" s="1260"/>
      <c r="AF82" s="1260"/>
      <c r="AG82" s="1260"/>
      <c r="AH82" s="1260"/>
      <c r="AI82" s="1260"/>
      <c r="AJ82" s="1260"/>
      <c r="AK82" s="1260"/>
      <c r="AL82" s="1260"/>
      <c r="AM82" s="1260"/>
      <c r="AN82" s="1260"/>
      <c r="AO82" s="1260"/>
      <c r="AP82" s="1260"/>
      <c r="AQ82" s="1260"/>
      <c r="AR82" s="1442">
        <v>0</v>
      </c>
    </row>
    <row customHeight="1" ht="17.25">
      <c r="A83" s="1841"/>
      <c r="B83" s="1854"/>
      <c r="C83" s="1843"/>
      <c r="D83" s="1831"/>
      <c r="E83" s="1848"/>
      <c r="F83" s="1785"/>
      <c r="G83" s="1849"/>
      <c r="H83" s="2530" t="s">
        <v>234</v>
      </c>
      <c r="I83" s="2530" t="s">
        <v>113</v>
      </c>
      <c r="J83" s="2502" t="s">
        <v>235</v>
      </c>
      <c r="K83" s="2186" t="s">
        <v>63</v>
      </c>
      <c r="L83" s="2109"/>
      <c r="M83" s="2109" t="s">
        <v>112</v>
      </c>
      <c r="N83" s="2505" t="str">
        <f>IF(Z83="","",INDEX(TERRITORY_MR_LIST,MATCH(Z83,TERRITORY_LIST_ID,0)))</f>
        <v>Территория 1</v>
      </c>
      <c r="O83" s="2186" t="s">
        <v>19</v>
      </c>
      <c r="P83" s="2109"/>
      <c r="Q83" s="2109" t="s">
        <v>112</v>
      </c>
      <c r="R83" s="2654" t="s">
        <v>28</v>
      </c>
      <c r="S83" s="2407" t="s">
        <v>19</v>
      </c>
      <c r="T83" s="1803"/>
      <c r="U83" s="1803" t="s">
        <v>112</v>
      </c>
      <c r="V83" s="1435"/>
      <c r="W83" s="2502"/>
      <c r="X83" s="1854"/>
      <c r="Y83" s="1268"/>
      <c r="Z83" s="1268" t="s">
        <v>100</v>
      </c>
      <c r="AA83" s="1268"/>
      <c r="AB83" s="1268"/>
      <c r="AC83" s="1975" t="s">
        <v>228</v>
      </c>
      <c r="AD83" s="1268" t="s">
        <v>236</v>
      </c>
      <c r="AE83" s="1268" t="s">
        <v>237</v>
      </c>
      <c r="AF83" s="1268" t="s">
        <v>238</v>
      </c>
      <c r="AG83" s="1268" t="s">
        <v>239</v>
      </c>
      <c r="AH83" s="1268" t="str">
        <f>IF($E$79=0,"",$E$79)</f>
        <v>Тариф на питьевую воду (питьевое водоснабжение)</v>
      </c>
      <c r="AI83" s="1268" t="str">
        <f>IF($G$79=0,"",$G$79)</f>
        <v>Холодное водоснабжение. Питьевая вода</v>
      </c>
      <c r="AJ83" s="1268" t="str">
        <f>IF($J$83=0,"",$J$83)</f>
        <v>Льготные тарифы на питьевую воду (питьевое водоснабжение), поставляемую населению и потребителям, приравненным к населению ИМУП "Посжилкомсервис"
</v>
      </c>
      <c r="AK83" s="1268" t="str">
        <f>IF($K$83="нет","без дифференциации",IF($N$83=0,"",$N$83))</f>
        <v>Территория 1</v>
      </c>
      <c r="AL83" s="1845" t="str">
        <f>IF($O$83="нет","без дифференциации",IF($R$83=0,"",$R$83))</f>
        <v>без дифференциации</v>
      </c>
      <c r="AM83" s="1845"/>
      <c r="AN83" s="1268" t="str">
        <f>$I$83</f>
        <v>2</v>
      </c>
      <c r="AO83" s="1268" t="str">
        <f>$I$83&amp;"."&amp;$M$83</f>
        <v>2.1</v>
      </c>
      <c r="AP83" s="1268" t="str">
        <f>$I$83&amp;"."&amp;$M$83&amp;"."&amp;$Q$83</f>
        <v>2.1.1</v>
      </c>
      <c r="AQ83" s="1268"/>
      <c r="AR83" s="1854"/>
    </row>
    <row customHeight="1" ht="17.25">
      <c r="A84" s="1841"/>
      <c r="B84" s="1854"/>
      <c r="C84" s="1846"/>
      <c r="D84" s="1831"/>
      <c r="E84" s="1848"/>
      <c r="F84" s="1785"/>
      <c r="G84" s="1849"/>
      <c r="H84" s="2530"/>
      <c r="I84" s="2530"/>
      <c r="J84" s="2502"/>
      <c r="K84" s="2187"/>
      <c r="L84" s="2109"/>
      <c r="M84" s="2109"/>
      <c r="N84" s="2505"/>
      <c r="O84" s="2187"/>
      <c r="P84" s="2109"/>
      <c r="Q84" s="2109"/>
      <c r="R84" s="2654" t="s">
        <v>28</v>
      </c>
      <c r="S84" s="2407"/>
      <c r="T84" s="1436"/>
      <c r="U84" s="1437"/>
      <c r="V84" s="1437"/>
      <c r="W84" s="2502"/>
      <c r="X84" s="1854"/>
      <c r="Y84" s="1260"/>
      <c r="Z84" s="1260"/>
      <c r="AA84" s="1260"/>
      <c r="AB84" s="1260"/>
      <c r="AC84" s="1260"/>
      <c r="AD84" s="1260"/>
      <c r="AE84" s="1260"/>
      <c r="AF84" s="1260"/>
      <c r="AG84" s="1260"/>
      <c r="AH84" s="1260"/>
      <c r="AI84" s="1260"/>
      <c r="AJ84" s="1260"/>
      <c r="AK84" s="1260"/>
      <c r="AL84" s="1854"/>
      <c r="AM84" s="1854"/>
      <c r="AN84" s="1854"/>
      <c r="AO84" s="1854"/>
      <c r="AP84" s="1854"/>
      <c r="AQ84" s="1854"/>
      <c r="AR84" s="1854"/>
    </row>
    <row customHeight="1" ht="17.25">
      <c r="A85" s="1841"/>
      <c r="B85" s="1854"/>
      <c r="C85" s="1846"/>
      <c r="D85" s="1831"/>
      <c r="E85" s="1848"/>
      <c r="F85" s="1785"/>
      <c r="G85" s="1849"/>
      <c r="H85" s="2504"/>
      <c r="I85" s="2504"/>
      <c r="J85" s="2534"/>
      <c r="K85" s="2187"/>
      <c r="L85" s="2504"/>
      <c r="M85" s="2504"/>
      <c r="N85" s="2506"/>
      <c r="O85" s="2113"/>
      <c r="P85" s="318"/>
      <c r="Q85" s="319"/>
      <c r="R85" s="319" t="s">
        <v>232</v>
      </c>
      <c r="S85" s="1847"/>
      <c r="T85" s="1847"/>
      <c r="U85" s="1847"/>
      <c r="V85" s="1847"/>
      <c r="W85" s="1434"/>
      <c r="X85" s="1854"/>
      <c r="Y85" s="1260"/>
      <c r="Z85" s="1260"/>
      <c r="AA85" s="1260"/>
      <c r="AB85" s="1260"/>
      <c r="AC85" s="1260"/>
      <c r="AD85" s="1260"/>
      <c r="AE85" s="1260"/>
      <c r="AF85" s="1260"/>
      <c r="AG85" s="1260"/>
      <c r="AH85" s="1260"/>
      <c r="AI85" s="1260"/>
      <c r="AJ85" s="1260"/>
      <c r="AK85" s="1260"/>
      <c r="AL85" s="1854"/>
      <c r="AM85" s="1854"/>
      <c r="AN85" s="1854"/>
      <c r="AO85" s="1854"/>
      <c r="AP85" s="1854"/>
      <c r="AQ85" s="1854"/>
      <c r="AR85" s="1854"/>
    </row>
    <row customHeight="1" ht="17.25">
      <c r="A86" s="1841"/>
      <c r="B86" s="1854"/>
      <c r="C86" s="1846"/>
      <c r="D86" s="1831"/>
      <c r="E86" s="1848"/>
      <c r="F86" s="1785"/>
      <c r="G86" s="1849"/>
      <c r="H86" s="2504"/>
      <c r="I86" s="2504"/>
      <c r="J86" s="2534"/>
      <c r="K86" s="2113"/>
      <c r="L86" s="318"/>
      <c r="M86" s="319"/>
      <c r="N86" s="319" t="s">
        <v>233</v>
      </c>
      <c r="O86" s="319"/>
      <c r="P86" s="319"/>
      <c r="Q86" s="319"/>
      <c r="R86" s="319"/>
      <c r="S86" s="1847"/>
      <c r="T86" s="1847"/>
      <c r="U86" s="1847"/>
      <c r="V86" s="1847"/>
      <c r="W86" s="320"/>
      <c r="X86" s="1854"/>
      <c r="Y86" s="1260"/>
      <c r="Z86" s="1260"/>
      <c r="AA86" s="1260"/>
      <c r="AB86" s="1260"/>
      <c r="AC86" s="1260"/>
      <c r="AD86" s="1260"/>
      <c r="AE86" s="1260"/>
      <c r="AF86" s="1260"/>
      <c r="AG86" s="1260"/>
      <c r="AH86" s="1260"/>
      <c r="AI86" s="1260"/>
      <c r="AJ86" s="1260"/>
      <c r="AK86" s="1260"/>
      <c r="AL86" s="1854"/>
      <c r="AM86" s="1854"/>
      <c r="AN86" s="1854"/>
      <c r="AO86" s="1854"/>
      <c r="AP86" s="1854"/>
      <c r="AQ86" s="1854"/>
      <c r="AR86" s="1854"/>
    </row>
    <row s="1854" customFormat="1" customHeight="1" ht="17.25">
      <c r="A87" s="322"/>
      <c r="C87" s="321"/>
      <c r="D87" s="2137"/>
      <c r="E87" s="2145"/>
      <c r="F87" s="2148"/>
      <c r="G87" s="2655"/>
      <c r="H87" s="2656"/>
      <c r="I87" s="2657"/>
      <c r="J87" s="2658" t="s">
        <v>240</v>
      </c>
      <c r="K87" s="2659"/>
      <c r="L87" s="2660"/>
      <c r="M87" s="2661"/>
      <c r="N87" s="2662"/>
      <c r="O87" s="2663"/>
      <c r="P87" s="2664"/>
      <c r="Q87" s="2665"/>
      <c r="R87" s="2666"/>
      <c r="S87" s="2667"/>
      <c r="T87" s="2668"/>
      <c r="U87" s="2669"/>
      <c r="V87" s="2670"/>
      <c r="W87" s="2671"/>
      <c r="Y87" s="1260"/>
      <c r="Z87" s="1260"/>
      <c r="AA87" s="1260"/>
      <c r="AB87" s="1260"/>
      <c r="AC87" s="1260"/>
      <c r="AD87" s="1260"/>
      <c r="AE87" s="1260"/>
      <c r="AF87" s="1260"/>
      <c r="AG87" s="1260"/>
      <c r="AH87" s="1260"/>
      <c r="AI87" s="1260"/>
      <c r="AJ87" s="1260"/>
      <c r="AK87" s="1260"/>
      <c r="AL87" s="1260"/>
      <c r="AM87" s="1260"/>
      <c r="AN87" s="1260"/>
      <c r="AO87" s="1260"/>
      <c r="AP87" s="1260"/>
      <c r="AQ87" s="1260"/>
      <c r="AR87" s="1351">
        <v>0</v>
      </c>
    </row>
    <row s="1854" customFormat="1" customHeight="1" ht="17.25">
      <c r="A88" s="322"/>
      <c r="C88" s="210"/>
      <c r="D88" s="2136">
        <v>2</v>
      </c>
      <c r="E88" s="2144" t="s">
        <v>241</v>
      </c>
      <c r="F88" s="2146" t="s">
        <v>19</v>
      </c>
      <c r="G88" s="2144"/>
      <c r="H88" s="2149"/>
      <c r="I88" s="2151"/>
      <c r="J88" s="2153"/>
      <c r="K88" s="2138"/>
      <c r="L88" s="2138"/>
      <c r="M88" s="2138"/>
      <c r="N88" s="2140"/>
      <c r="O88" s="2138"/>
      <c r="P88" s="2138"/>
      <c r="Q88" s="2138"/>
      <c r="R88" s="2143"/>
      <c r="S88" s="2138"/>
      <c r="T88" s="1444"/>
      <c r="U88" s="1444"/>
      <c r="V88" s="1446"/>
      <c r="W88" s="1297"/>
      <c r="X88" s="1268"/>
      <c r="Y88" s="1268"/>
      <c r="Z88" s="1268"/>
      <c r="AA88" s="1268"/>
      <c r="AB88" s="1268"/>
      <c r="AC88" s="1268" t="s">
        <v>242</v>
      </c>
      <c r="AD88" s="1268" t="s">
        <v>243</v>
      </c>
      <c r="AE88" s="1268" t="s">
        <v>244</v>
      </c>
      <c r="AF88" s="1268" t="s">
        <v>245</v>
      </c>
      <c r="AG88" s="1268"/>
      <c r="AH88" s="1268" t="str">
        <f>IF($E$88=0,"",$E$88)</f>
        <v>Тариф на техническую воду</v>
      </c>
      <c r="AI88" s="1268" t="str">
        <f>IF($G$88=0,"",$G$88)</f>
        <v/>
      </c>
      <c r="AJ88" s="1268" t="str">
        <f>IF($J$88=0,"",$J$88)</f>
        <v/>
      </c>
      <c r="AK88" s="1268" t="str">
        <f>IF($K$88="нет","без дифференциации",IF($N$88=0,"",$N$88))</f>
        <v/>
      </c>
      <c r="AL88" s="1268" t="str">
        <f>IF($O$88="нет","без дифференциации",IF($R$88=0,"",$R$88))</f>
        <v/>
      </c>
      <c r="AM88" s="1268" t="str">
        <f>IF($S$88="нет","без дифференциации",IF($V$88=0,"",$V$88))</f>
        <v/>
      </c>
      <c r="AN88" s="1773">
        <f>$I$88</f>
        <v>0</v>
      </c>
      <c r="AO88" s="1268" t="str">
        <f>$I$88&amp;"."&amp;$M$88</f>
        <v>.</v>
      </c>
      <c r="AP88" s="1260" t="str">
        <f>$I$88&amp;"."&amp;$M$88&amp;"."&amp;$Q$88</f>
        <v>..</v>
      </c>
      <c r="AQ88" s="1260" t="str">
        <f>$I$88&amp;"."&amp;$M$88&amp;"."&amp;$Q$88&amp;"."&amp;$U$88</f>
        <v>...</v>
      </c>
      <c r="AR88" s="1351">
        <v>0</v>
      </c>
    </row>
    <row s="1854" customFormat="1" customHeight="1" ht="17.25">
      <c r="A89" s="322"/>
      <c r="C89" s="321"/>
      <c r="D89" s="2136"/>
      <c r="E89" s="2144"/>
      <c r="F89" s="2147"/>
      <c r="G89" s="2144"/>
      <c r="H89" s="2150"/>
      <c r="I89" s="2152"/>
      <c r="J89" s="2154"/>
      <c r="K89" s="2139"/>
      <c r="L89" s="2139"/>
      <c r="M89" s="2139"/>
      <c r="N89" s="2141"/>
      <c r="O89" s="2139"/>
      <c r="P89" s="2139"/>
      <c r="Q89" s="2139"/>
      <c r="R89" s="2142"/>
      <c r="S89" s="2139"/>
      <c r="T89" s="1298"/>
      <c r="U89" s="1298"/>
      <c r="V89" s="1298"/>
      <c r="W89" s="1299"/>
      <c r="X89" s="1260"/>
      <c r="Y89" s="1260"/>
      <c r="Z89" s="1260"/>
      <c r="AA89" s="1260"/>
      <c r="AB89" s="1260"/>
      <c r="AC89" s="1260"/>
      <c r="AD89" s="1260"/>
      <c r="AE89" s="1260"/>
      <c r="AF89" s="1260"/>
      <c r="AG89" s="1260"/>
      <c r="AH89" s="1260"/>
      <c r="AI89" s="1260"/>
      <c r="AJ89" s="1260"/>
      <c r="AK89" s="1260"/>
      <c r="AL89" s="1260"/>
      <c r="AM89" s="1260"/>
      <c r="AN89" s="1260"/>
      <c r="AO89" s="1260"/>
      <c r="AP89" s="1260"/>
      <c r="AQ89" s="1260"/>
      <c r="AR89" s="1351">
        <v>0</v>
      </c>
    </row>
    <row s="1854" customFormat="1" customHeight="1" ht="17.25">
      <c r="A90" s="322"/>
      <c r="C90" s="321"/>
      <c r="D90" s="2137"/>
      <c r="E90" s="2145"/>
      <c r="F90" s="2147"/>
      <c r="G90" s="2145"/>
      <c r="H90" s="2150"/>
      <c r="I90" s="2152"/>
      <c r="J90" s="2155"/>
      <c r="K90" s="2139"/>
      <c r="L90" s="2139"/>
      <c r="M90" s="2139"/>
      <c r="N90" s="2142"/>
      <c r="O90" s="2139"/>
      <c r="P90" s="1445"/>
      <c r="Q90" s="1298"/>
      <c r="R90" s="1298"/>
      <c r="S90" s="330"/>
      <c r="T90" s="330"/>
      <c r="U90" s="330"/>
      <c r="V90" s="330"/>
      <c r="W90" s="1299"/>
      <c r="X90" s="1260"/>
      <c r="Y90" s="1260"/>
      <c r="Z90" s="1260"/>
      <c r="AA90" s="1260"/>
      <c r="AB90" s="1260"/>
      <c r="AC90" s="1260"/>
      <c r="AD90" s="1260"/>
      <c r="AE90" s="1260"/>
      <c r="AF90" s="1260"/>
      <c r="AG90" s="1260"/>
      <c r="AH90" s="1260"/>
      <c r="AI90" s="1260"/>
      <c r="AJ90" s="1260"/>
      <c r="AK90" s="1260"/>
      <c r="AL90" s="1260"/>
      <c r="AM90" s="1260"/>
      <c r="AN90" s="1260"/>
      <c r="AO90" s="1260"/>
      <c r="AP90" s="1260"/>
      <c r="AQ90" s="1260"/>
      <c r="AR90" s="1351">
        <v>0</v>
      </c>
    </row>
    <row s="1854" customFormat="1" customHeight="1" ht="17.25">
      <c r="A91" s="322"/>
      <c r="C91" s="321"/>
      <c r="D91" s="2137"/>
      <c r="E91" s="2145"/>
      <c r="F91" s="2147"/>
      <c r="G91" s="2145"/>
      <c r="H91" s="2150"/>
      <c r="I91" s="2152"/>
      <c r="J91" s="2155"/>
      <c r="K91" s="2139"/>
      <c r="L91" s="1298"/>
      <c r="M91" s="1298"/>
      <c r="N91" s="1298"/>
      <c r="O91" s="1298"/>
      <c r="P91" s="1298"/>
      <c r="Q91" s="1298"/>
      <c r="R91" s="1298"/>
      <c r="S91" s="330"/>
      <c r="T91" s="330"/>
      <c r="U91" s="330"/>
      <c r="V91" s="330"/>
      <c r="W91" s="1299"/>
      <c r="X91" s="1260"/>
      <c r="Y91" s="1260"/>
      <c r="Z91" s="1260"/>
      <c r="AA91" s="1260"/>
      <c r="AB91" s="1260"/>
      <c r="AC91" s="1260"/>
      <c r="AD91" s="1260"/>
      <c r="AE91" s="1260"/>
      <c r="AF91" s="1260"/>
      <c r="AG91" s="1260"/>
      <c r="AH91" s="1260"/>
      <c r="AI91" s="1260"/>
      <c r="AJ91" s="1260"/>
      <c r="AK91" s="1260"/>
      <c r="AL91" s="1260"/>
      <c r="AM91" s="1260"/>
      <c r="AN91" s="1260"/>
      <c r="AO91" s="1260"/>
      <c r="AP91" s="1260"/>
      <c r="AQ91" s="1260"/>
      <c r="AR91" s="1351">
        <v>0</v>
      </c>
    </row>
    <row s="1854" customFormat="1" customHeight="1" ht="17.25">
      <c r="A92" s="322"/>
      <c r="C92" s="321"/>
      <c r="D92" s="2137"/>
      <c r="E92" s="2145"/>
      <c r="F92" s="2148"/>
      <c r="G92" s="2145"/>
      <c r="H92" s="1300"/>
      <c r="I92" s="1301"/>
      <c r="J92" s="1301"/>
      <c r="K92" s="1301"/>
      <c r="L92" s="1301"/>
      <c r="M92" s="1301"/>
      <c r="N92" s="1301"/>
      <c r="O92" s="1301"/>
      <c r="P92" s="1301"/>
      <c r="Q92" s="1301"/>
      <c r="R92" s="1301"/>
      <c r="S92" s="1302"/>
      <c r="T92" s="1302"/>
      <c r="U92" s="1302"/>
      <c r="V92" s="1302"/>
      <c r="W92" s="1303"/>
      <c r="X92" s="1260"/>
      <c r="Y92" s="1260"/>
      <c r="Z92" s="1260"/>
      <c r="AA92" s="1260"/>
      <c r="AB92" s="1260"/>
      <c r="AC92" s="1260"/>
      <c r="AD92" s="1260"/>
      <c r="AE92" s="1260"/>
      <c r="AF92" s="1260"/>
      <c r="AG92" s="1260"/>
      <c r="AH92" s="1260"/>
      <c r="AI92" s="1260"/>
      <c r="AJ92" s="1260"/>
      <c r="AK92" s="1260"/>
      <c r="AL92" s="1260"/>
      <c r="AM92" s="1260"/>
      <c r="AN92" s="1260"/>
      <c r="AO92" s="1260"/>
      <c r="AP92" s="1260"/>
      <c r="AQ92" s="1260"/>
      <c r="AR92" s="1351">
        <v>0</v>
      </c>
    </row>
    <row s="1854" customFormat="1" customHeight="1" ht="17.25">
      <c r="A93" s="322"/>
      <c r="C93" s="210"/>
      <c r="D93" s="2136">
        <v>3</v>
      </c>
      <c r="E93" s="2144" t="s">
        <v>246</v>
      </c>
      <c r="F93" s="2146" t="s">
        <v>19</v>
      </c>
      <c r="G93" s="2144"/>
      <c r="H93" s="2149"/>
      <c r="I93" s="2151"/>
      <c r="J93" s="2153"/>
      <c r="K93" s="2138"/>
      <c r="L93" s="2138"/>
      <c r="M93" s="2138"/>
      <c r="N93" s="2140"/>
      <c r="O93" s="2138"/>
      <c r="P93" s="2138"/>
      <c r="Q93" s="2138"/>
      <c r="R93" s="2143"/>
      <c r="S93" s="2138"/>
      <c r="T93" s="1444"/>
      <c r="U93" s="1444"/>
      <c r="V93" s="1446"/>
      <c r="W93" s="1297"/>
      <c r="X93" s="1268"/>
      <c r="Y93" s="1268"/>
      <c r="Z93" s="1268"/>
      <c r="AA93" s="1268"/>
      <c r="AB93" s="1268"/>
      <c r="AC93" s="1268" t="s">
        <v>247</v>
      </c>
      <c r="AD93" s="1268" t="s">
        <v>248</v>
      </c>
      <c r="AE93" s="1268" t="s">
        <v>249</v>
      </c>
      <c r="AF93" s="1268" t="s">
        <v>250</v>
      </c>
      <c r="AG93" s="1268"/>
      <c r="AH93" s="1268" t="str">
        <f>IF($E$93=0,"",$E$93)</f>
        <v>Тариф на транспортировку воды</v>
      </c>
      <c r="AI93" s="1268" t="str">
        <f>IF($G$93=0,"",$G$93)</f>
        <v/>
      </c>
      <c r="AJ93" s="1268" t="str">
        <f>IF($J$93=0,"",$J$93)</f>
        <v/>
      </c>
      <c r="AK93" s="1268" t="str">
        <f>IF($K$93="нет","без дифференциации",IF($N$93=0,"",$N$93))</f>
        <v/>
      </c>
      <c r="AL93" s="1268" t="str">
        <f>IF($O$93="нет","без дифференциации",IF($R$93=0,"",$R$93))</f>
        <v/>
      </c>
      <c r="AM93" s="1268" t="str">
        <f>IF($S$93="нет","без дифференциации",IF($V$93=0,"",$V$93))</f>
        <v/>
      </c>
      <c r="AN93" s="1773">
        <f>$I$93</f>
        <v>0</v>
      </c>
      <c r="AO93" s="1268" t="str">
        <f>$I$93&amp;"."&amp;$M$93</f>
        <v>.</v>
      </c>
      <c r="AP93" s="1260" t="str">
        <f>$I$93&amp;"."&amp;$M$93&amp;"."&amp;$Q$93</f>
        <v>..</v>
      </c>
      <c r="AQ93" s="1260" t="str">
        <f>$I$93&amp;"."&amp;$M$93&amp;"."&amp;$Q$93&amp;"."&amp;$U$93</f>
        <v>...</v>
      </c>
      <c r="AR93" s="1351">
        <v>0</v>
      </c>
    </row>
    <row s="1854" customFormat="1" customHeight="1" ht="17.25">
      <c r="A94" s="322"/>
      <c r="C94" s="321"/>
      <c r="D94" s="2136"/>
      <c r="E94" s="2144"/>
      <c r="F94" s="2147"/>
      <c r="G94" s="2144"/>
      <c r="H94" s="2150"/>
      <c r="I94" s="2152"/>
      <c r="J94" s="2154"/>
      <c r="K94" s="2139"/>
      <c r="L94" s="2139"/>
      <c r="M94" s="2139"/>
      <c r="N94" s="2141"/>
      <c r="O94" s="2139"/>
      <c r="P94" s="2139"/>
      <c r="Q94" s="2139"/>
      <c r="R94" s="2142"/>
      <c r="S94" s="2139"/>
      <c r="T94" s="1298"/>
      <c r="U94" s="1298"/>
      <c r="V94" s="1298"/>
      <c r="W94" s="1299"/>
      <c r="X94" s="1260"/>
      <c r="Y94" s="1260"/>
      <c r="Z94" s="1260"/>
      <c r="AA94" s="1260"/>
      <c r="AB94" s="1260"/>
      <c r="AC94" s="1260"/>
      <c r="AD94" s="1260"/>
      <c r="AE94" s="1260"/>
      <c r="AF94" s="1260"/>
      <c r="AG94" s="1260"/>
      <c r="AH94" s="1260"/>
      <c r="AI94" s="1260"/>
      <c r="AJ94" s="1260"/>
      <c r="AK94" s="1260"/>
      <c r="AL94" s="1260"/>
      <c r="AM94" s="1260"/>
      <c r="AN94" s="1260"/>
      <c r="AO94" s="1260"/>
      <c r="AP94" s="1260"/>
      <c r="AQ94" s="1260"/>
      <c r="AR94" s="1351">
        <v>0</v>
      </c>
    </row>
    <row s="1854" customFormat="1" customHeight="1" ht="17.25">
      <c r="A95" s="322"/>
      <c r="C95" s="321"/>
      <c r="D95" s="2137"/>
      <c r="E95" s="2145"/>
      <c r="F95" s="2147"/>
      <c r="G95" s="2145"/>
      <c r="H95" s="2150"/>
      <c r="I95" s="2152"/>
      <c r="J95" s="2155"/>
      <c r="K95" s="2139"/>
      <c r="L95" s="2139"/>
      <c r="M95" s="2139"/>
      <c r="N95" s="2142"/>
      <c r="O95" s="2139"/>
      <c r="P95" s="1445"/>
      <c r="Q95" s="1298"/>
      <c r="R95" s="1298"/>
      <c r="S95" s="330"/>
      <c r="T95" s="330"/>
      <c r="U95" s="330"/>
      <c r="V95" s="330"/>
      <c r="W95" s="1299"/>
      <c r="X95" s="1260"/>
      <c r="Y95" s="1260"/>
      <c r="Z95" s="1260"/>
      <c r="AA95" s="1260"/>
      <c r="AB95" s="1260"/>
      <c r="AC95" s="1260"/>
      <c r="AD95" s="1260"/>
      <c r="AE95" s="1260"/>
      <c r="AF95" s="1260"/>
      <c r="AG95" s="1260"/>
      <c r="AH95" s="1260"/>
      <c r="AI95" s="1260"/>
      <c r="AJ95" s="1260"/>
      <c r="AK95" s="1260"/>
      <c r="AL95" s="1260"/>
      <c r="AM95" s="1260"/>
      <c r="AN95" s="1260"/>
      <c r="AO95" s="1260"/>
      <c r="AP95" s="1260"/>
      <c r="AQ95" s="1260"/>
      <c r="AR95" s="1351">
        <v>0</v>
      </c>
    </row>
    <row s="1854" customFormat="1" customHeight="1" ht="17.25">
      <c r="A96" s="322"/>
      <c r="C96" s="321"/>
      <c r="D96" s="2137"/>
      <c r="E96" s="2145"/>
      <c r="F96" s="2147"/>
      <c r="G96" s="2145"/>
      <c r="H96" s="2150"/>
      <c r="I96" s="2152"/>
      <c r="J96" s="2155"/>
      <c r="K96" s="2139"/>
      <c r="L96" s="1298"/>
      <c r="M96" s="1298"/>
      <c r="N96" s="1298"/>
      <c r="O96" s="1298"/>
      <c r="P96" s="1298"/>
      <c r="Q96" s="1298"/>
      <c r="R96" s="1298"/>
      <c r="S96" s="330"/>
      <c r="T96" s="330"/>
      <c r="U96" s="330"/>
      <c r="V96" s="330"/>
      <c r="W96" s="1299"/>
      <c r="X96" s="1260"/>
      <c r="Y96" s="1260"/>
      <c r="Z96" s="1260"/>
      <c r="AA96" s="1260"/>
      <c r="AB96" s="1260"/>
      <c r="AC96" s="1260"/>
      <c r="AD96" s="1260"/>
      <c r="AE96" s="1260"/>
      <c r="AF96" s="1260"/>
      <c r="AG96" s="1260"/>
      <c r="AH96" s="1260"/>
      <c r="AI96" s="1260"/>
      <c r="AJ96" s="1260"/>
      <c r="AK96" s="1260"/>
      <c r="AL96" s="1260"/>
      <c r="AM96" s="1260"/>
      <c r="AN96" s="1260"/>
      <c r="AO96" s="1260"/>
      <c r="AP96" s="1260"/>
      <c r="AQ96" s="1260"/>
      <c r="AR96" s="1351">
        <v>0</v>
      </c>
    </row>
    <row s="1854" customFormat="1" customHeight="1" ht="17.25">
      <c r="A97" s="322"/>
      <c r="C97" s="321"/>
      <c r="D97" s="2137"/>
      <c r="E97" s="2145"/>
      <c r="F97" s="2148"/>
      <c r="G97" s="2145"/>
      <c r="H97" s="1300"/>
      <c r="I97" s="1301"/>
      <c r="J97" s="1301"/>
      <c r="K97" s="1301"/>
      <c r="L97" s="1301"/>
      <c r="M97" s="1301"/>
      <c r="N97" s="1301"/>
      <c r="O97" s="1301"/>
      <c r="P97" s="1301"/>
      <c r="Q97" s="1301"/>
      <c r="R97" s="1301"/>
      <c r="S97" s="1302"/>
      <c r="T97" s="1302"/>
      <c r="U97" s="1302"/>
      <c r="V97" s="1302"/>
      <c r="W97" s="1303"/>
      <c r="X97" s="1260"/>
      <c r="Y97" s="1260"/>
      <c r="Z97" s="1260"/>
      <c r="AA97" s="1260"/>
      <c r="AB97" s="1260"/>
      <c r="AC97" s="1260"/>
      <c r="AD97" s="1260"/>
      <c r="AE97" s="1260"/>
      <c r="AF97" s="1260"/>
      <c r="AG97" s="1260"/>
      <c r="AH97" s="1260"/>
      <c r="AI97" s="1260"/>
      <c r="AJ97" s="1260"/>
      <c r="AK97" s="1260"/>
      <c r="AL97" s="1260"/>
      <c r="AM97" s="1260"/>
      <c r="AN97" s="1260"/>
      <c r="AO97" s="1260"/>
      <c r="AP97" s="1260"/>
      <c r="AQ97" s="1260"/>
      <c r="AR97" s="1351">
        <v>0</v>
      </c>
    </row>
    <row s="1854" customFormat="1" customHeight="1" ht="17.25">
      <c r="A98" s="322"/>
      <c r="C98" s="210"/>
      <c r="D98" s="2136">
        <v>4</v>
      </c>
      <c r="E98" s="2144" t="s">
        <v>251</v>
      </c>
      <c r="F98" s="2146" t="s">
        <v>19</v>
      </c>
      <c r="G98" s="2144"/>
      <c r="H98" s="2149"/>
      <c r="I98" s="2151"/>
      <c r="J98" s="2153"/>
      <c r="K98" s="2138"/>
      <c r="L98" s="2138"/>
      <c r="M98" s="2138"/>
      <c r="N98" s="2140"/>
      <c r="O98" s="2138"/>
      <c r="P98" s="2138"/>
      <c r="Q98" s="2138"/>
      <c r="R98" s="2143"/>
      <c r="S98" s="2138"/>
      <c r="T98" s="1444"/>
      <c r="U98" s="1444"/>
      <c r="V98" s="1446"/>
      <c r="W98" s="1297"/>
      <c r="X98" s="1268"/>
      <c r="Y98" s="1268"/>
      <c r="Z98" s="1268"/>
      <c r="AA98" s="1268"/>
      <c r="AB98" s="1268"/>
      <c r="AC98" s="1268" t="s">
        <v>252</v>
      </c>
      <c r="AD98" s="1268" t="s">
        <v>253</v>
      </c>
      <c r="AE98" s="1268" t="s">
        <v>254</v>
      </c>
      <c r="AF98" s="1268" t="s">
        <v>255</v>
      </c>
      <c r="AG98" s="1268"/>
      <c r="AH98" s="1268" t="str">
        <f>IF($E$98=0,"",$E$98)</f>
        <v>Тариф на подвоз воды</v>
      </c>
      <c r="AI98" s="1268" t="str">
        <f>IF($G$98=0,"",$G$98)</f>
        <v/>
      </c>
      <c r="AJ98" s="1268" t="str">
        <f>IF($J$98=0,"",$J$98)</f>
        <v/>
      </c>
      <c r="AK98" s="1268" t="str">
        <f>IF($K$98="нет","без дифференциации",IF($N$98=0,"",$N$98))</f>
        <v/>
      </c>
      <c r="AL98" s="1268" t="str">
        <f>IF($O$98="нет","без дифференциации",IF($R$98=0,"",$R$98))</f>
        <v/>
      </c>
      <c r="AM98" s="1268" t="str">
        <f>IF($S$98="нет","без дифференциации",IF($V$98=0,"",$V$98))</f>
        <v/>
      </c>
      <c r="AN98" s="1773">
        <f>$I$98</f>
        <v>0</v>
      </c>
      <c r="AO98" s="1268" t="str">
        <f>$I$98&amp;"."&amp;$M$98</f>
        <v>.</v>
      </c>
      <c r="AP98" s="1260" t="str">
        <f>$I$98&amp;"."&amp;$M$98&amp;"."&amp;$Q$98</f>
        <v>..</v>
      </c>
      <c r="AQ98" s="1260" t="str">
        <f>$I$98&amp;"."&amp;$M$98&amp;"."&amp;$Q$98&amp;"."&amp;$U$98</f>
        <v>...</v>
      </c>
      <c r="AR98" s="1351">
        <v>0</v>
      </c>
    </row>
    <row s="1854" customFormat="1" customHeight="1" ht="17.25">
      <c r="A99" s="322"/>
      <c r="C99" s="321"/>
      <c r="D99" s="2136"/>
      <c r="E99" s="2144"/>
      <c r="F99" s="2147"/>
      <c r="G99" s="2144"/>
      <c r="H99" s="2150"/>
      <c r="I99" s="2152"/>
      <c r="J99" s="2154"/>
      <c r="K99" s="2139"/>
      <c r="L99" s="2139"/>
      <c r="M99" s="2139"/>
      <c r="N99" s="2141"/>
      <c r="O99" s="2139"/>
      <c r="P99" s="2139"/>
      <c r="Q99" s="2139"/>
      <c r="R99" s="2142"/>
      <c r="S99" s="2139"/>
      <c r="T99" s="1298"/>
      <c r="U99" s="1298"/>
      <c r="V99" s="1298"/>
      <c r="W99" s="1299"/>
      <c r="X99" s="1260"/>
      <c r="Y99" s="1260"/>
      <c r="Z99" s="1260"/>
      <c r="AA99" s="1260"/>
      <c r="AB99" s="1260"/>
      <c r="AC99" s="1260"/>
      <c r="AD99" s="1260"/>
      <c r="AE99" s="1260"/>
      <c r="AF99" s="1260"/>
      <c r="AG99" s="1260"/>
      <c r="AH99" s="1260"/>
      <c r="AI99" s="1260"/>
      <c r="AJ99" s="1260"/>
      <c r="AK99" s="1260"/>
      <c r="AL99" s="1260"/>
      <c r="AM99" s="1260"/>
      <c r="AN99" s="1260"/>
      <c r="AO99" s="1260"/>
      <c r="AP99" s="1260"/>
      <c r="AQ99" s="1260"/>
      <c r="AR99" s="1351">
        <v>0</v>
      </c>
    </row>
    <row s="1854" customFormat="1" customHeight="1" ht="17.25">
      <c r="A100" s="322"/>
      <c r="C100" s="321"/>
      <c r="D100" s="2137"/>
      <c r="E100" s="2145"/>
      <c r="F100" s="2147"/>
      <c r="G100" s="2145"/>
      <c r="H100" s="2150"/>
      <c r="I100" s="2152"/>
      <c r="J100" s="2155"/>
      <c r="K100" s="2139"/>
      <c r="L100" s="2139"/>
      <c r="M100" s="2139"/>
      <c r="N100" s="2142"/>
      <c r="O100" s="2139"/>
      <c r="P100" s="1445"/>
      <c r="Q100" s="1298"/>
      <c r="R100" s="1298"/>
      <c r="S100" s="330"/>
      <c r="T100" s="330"/>
      <c r="U100" s="330"/>
      <c r="V100" s="330"/>
      <c r="W100" s="1299"/>
      <c r="X100" s="1260"/>
      <c r="Y100" s="1260"/>
      <c r="Z100" s="1260"/>
      <c r="AA100" s="1260"/>
      <c r="AB100" s="1260"/>
      <c r="AC100" s="1260"/>
      <c r="AD100" s="1260"/>
      <c r="AE100" s="1260"/>
      <c r="AF100" s="1260"/>
      <c r="AG100" s="1260"/>
      <c r="AH100" s="1260"/>
      <c r="AI100" s="1260"/>
      <c r="AJ100" s="1260"/>
      <c r="AK100" s="1260"/>
      <c r="AL100" s="1260"/>
      <c r="AM100" s="1260"/>
      <c r="AN100" s="1260"/>
      <c r="AO100" s="1260"/>
      <c r="AP100" s="1260"/>
      <c r="AQ100" s="1260"/>
      <c r="AR100" s="1351">
        <v>0</v>
      </c>
    </row>
    <row s="1854" customFormat="1" customHeight="1" ht="17.25">
      <c r="A101" s="322"/>
      <c r="C101" s="321"/>
      <c r="D101" s="2137"/>
      <c r="E101" s="2145"/>
      <c r="F101" s="2147"/>
      <c r="G101" s="2145"/>
      <c r="H101" s="2150"/>
      <c r="I101" s="2152"/>
      <c r="J101" s="2155"/>
      <c r="K101" s="2139"/>
      <c r="L101" s="1298"/>
      <c r="M101" s="1298"/>
      <c r="N101" s="1298"/>
      <c r="O101" s="1298"/>
      <c r="P101" s="1298"/>
      <c r="Q101" s="1298"/>
      <c r="R101" s="1298"/>
      <c r="S101" s="330"/>
      <c r="T101" s="330"/>
      <c r="U101" s="330"/>
      <c r="V101" s="330"/>
      <c r="W101" s="1299"/>
      <c r="X101" s="1260"/>
      <c r="Y101" s="1260"/>
      <c r="Z101" s="1260"/>
      <c r="AA101" s="1260"/>
      <c r="AB101" s="1260"/>
      <c r="AC101" s="1260"/>
      <c r="AD101" s="1260"/>
      <c r="AE101" s="1260"/>
      <c r="AF101" s="1260"/>
      <c r="AG101" s="1260"/>
      <c r="AH101" s="1260"/>
      <c r="AI101" s="1260"/>
      <c r="AJ101" s="1260"/>
      <c r="AK101" s="1260"/>
      <c r="AL101" s="1260"/>
      <c r="AM101" s="1260"/>
      <c r="AN101" s="1260"/>
      <c r="AO101" s="1260"/>
      <c r="AP101" s="1260"/>
      <c r="AQ101" s="1260"/>
      <c r="AR101" s="1351">
        <v>0</v>
      </c>
    </row>
    <row s="1854" customFormat="1" customHeight="1" ht="17.25">
      <c r="A102" s="322"/>
      <c r="C102" s="321"/>
      <c r="D102" s="2137"/>
      <c r="E102" s="2145"/>
      <c r="F102" s="2148"/>
      <c r="G102" s="2145"/>
      <c r="H102" s="1300"/>
      <c r="I102" s="1301"/>
      <c r="J102" s="1301"/>
      <c r="K102" s="1301"/>
      <c r="L102" s="1301"/>
      <c r="M102" s="1301"/>
      <c r="N102" s="1301"/>
      <c r="O102" s="1301"/>
      <c r="P102" s="1301"/>
      <c r="Q102" s="1301"/>
      <c r="R102" s="1301"/>
      <c r="S102" s="1302"/>
      <c r="T102" s="1302"/>
      <c r="U102" s="1302"/>
      <c r="V102" s="1302"/>
      <c r="W102" s="1303"/>
      <c r="X102" s="1260"/>
      <c r="Y102" s="1260"/>
      <c r="Z102" s="1260"/>
      <c r="AA102" s="1260"/>
      <c r="AB102" s="1260"/>
      <c r="AC102" s="1260"/>
      <c r="AD102" s="1260"/>
      <c r="AE102" s="1260"/>
      <c r="AF102" s="1260"/>
      <c r="AG102" s="1260"/>
      <c r="AH102" s="1260"/>
      <c r="AI102" s="1260"/>
      <c r="AJ102" s="1260"/>
      <c r="AK102" s="1260"/>
      <c r="AL102" s="1260"/>
      <c r="AM102" s="1260"/>
      <c r="AN102" s="1260"/>
      <c r="AO102" s="1260"/>
      <c r="AP102" s="1260"/>
      <c r="AQ102" s="1260"/>
      <c r="AR102" s="1351">
        <v>0</v>
      </c>
    </row>
    <row s="1854" customFormat="1" customHeight="1" ht="17.25">
      <c r="A103" s="322"/>
      <c r="C103" s="210"/>
      <c r="D103" s="2136">
        <v>5</v>
      </c>
      <c r="E103" s="2144" t="s">
        <v>256</v>
      </c>
      <c r="F103" s="2146" t="s">
        <v>19</v>
      </c>
      <c r="G103" s="2144"/>
      <c r="H103" s="2149"/>
      <c r="I103" s="2151"/>
      <c r="J103" s="2153"/>
      <c r="K103" s="2138"/>
      <c r="L103" s="2138"/>
      <c r="M103" s="2138"/>
      <c r="N103" s="2140"/>
      <c r="O103" s="2138"/>
      <c r="P103" s="2138"/>
      <c r="Q103" s="2138"/>
      <c r="R103" s="2143"/>
      <c r="S103" s="2138"/>
      <c r="T103" s="1944"/>
      <c r="U103" s="1944"/>
      <c r="V103" s="1946"/>
      <c r="W103" s="1297"/>
      <c r="X103" s="1268"/>
      <c r="Y103" s="1268"/>
      <c r="Z103" s="1268"/>
      <c r="AA103" s="1268"/>
      <c r="AB103" s="1268"/>
      <c r="AC103" s="1268" t="s">
        <v>257</v>
      </c>
      <c r="AD103" s="1268" t="s">
        <v>258</v>
      </c>
      <c r="AE103" s="1268" t="s">
        <v>259</v>
      </c>
      <c r="AF103" s="1268" t="s">
        <v>260</v>
      </c>
      <c r="AG103" s="1268"/>
      <c r="AH103" s="1268" t="str">
        <f>IF($E$103=0,"",$E$103)</f>
        <v>Тариф на подключение (технологическое присоединение) к централизованной системе холодного водоснабжения</v>
      </c>
      <c r="AI103" s="1268" t="str">
        <f>IF($G$103=0,"",$G$103)</f>
        <v/>
      </c>
      <c r="AJ103" s="1268" t="str">
        <f>IF($J$103=0,"",$J$103)</f>
        <v/>
      </c>
      <c r="AK103" s="1268" t="str">
        <f>IF($K$103="нет","без дифференциации",IF($N$103=0,"",$N$103))</f>
        <v/>
      </c>
      <c r="AL103" s="1268" t="str">
        <f>IF($O$103="нет","без дифференциации",IF($R$103=0,"",$R$103))</f>
        <v/>
      </c>
      <c r="AM103" s="1268" t="str">
        <f>IF($S$103="нет","без дифференциации",IF($V$103=0,"",$V$103))</f>
        <v/>
      </c>
      <c r="AN103" s="1773">
        <f>$I$103</f>
        <v>0</v>
      </c>
      <c r="AO103" s="1268" t="str">
        <f>$I$103&amp;"."&amp;$M$103</f>
        <v>.</v>
      </c>
      <c r="AP103" s="1267" t="str">
        <f>$I$103&amp;"."&amp;$M$103&amp;"."&amp;$Q$103</f>
        <v>..</v>
      </c>
      <c r="AQ103" s="1267" t="str">
        <f>$I$103&amp;"."&amp;$M$103&amp;"."&amp;$Q$103&amp;"."&amp;$U$103</f>
        <v>...</v>
      </c>
      <c r="AR103" s="1468">
        <v>0</v>
      </c>
    </row>
    <row s="1854" customFormat="1" customHeight="1" ht="17.25">
      <c r="A104" s="322"/>
      <c r="C104" s="321"/>
      <c r="D104" s="2136"/>
      <c r="E104" s="2144"/>
      <c r="F104" s="2147"/>
      <c r="G104" s="2144"/>
      <c r="H104" s="2150"/>
      <c r="I104" s="2152"/>
      <c r="J104" s="2154"/>
      <c r="K104" s="2139"/>
      <c r="L104" s="2139"/>
      <c r="M104" s="2139"/>
      <c r="N104" s="2141"/>
      <c r="O104" s="2139"/>
      <c r="P104" s="2139"/>
      <c r="Q104" s="2139"/>
      <c r="R104" s="2142"/>
      <c r="S104" s="2139"/>
      <c r="T104" s="1949"/>
      <c r="U104" s="1949"/>
      <c r="V104" s="1949"/>
      <c r="W104" s="1950"/>
      <c r="X104" s="1267"/>
      <c r="Y104" s="1267"/>
      <c r="Z104" s="1267"/>
      <c r="AA104" s="1267"/>
      <c r="AB104" s="1267"/>
      <c r="AC104" s="1267"/>
      <c r="AD104" s="1267"/>
      <c r="AE104" s="1267"/>
      <c r="AF104" s="1267"/>
      <c r="AG104" s="1267"/>
      <c r="AH104" s="1267"/>
      <c r="AI104" s="1267"/>
      <c r="AJ104" s="1267"/>
      <c r="AK104" s="1267"/>
      <c r="AL104" s="1267"/>
      <c r="AM104" s="1267"/>
      <c r="AN104" s="1267"/>
      <c r="AO104" s="1267"/>
      <c r="AP104" s="1267"/>
      <c r="AQ104" s="1267"/>
      <c r="AR104" s="1468">
        <v>0</v>
      </c>
    </row>
    <row s="1854" customFormat="1" customHeight="1" ht="17.25">
      <c r="A105" s="322"/>
      <c r="C105" s="321"/>
      <c r="D105" s="2137"/>
      <c r="E105" s="2145"/>
      <c r="F105" s="2147"/>
      <c r="G105" s="2145"/>
      <c r="H105" s="2150"/>
      <c r="I105" s="2152"/>
      <c r="J105" s="2155"/>
      <c r="K105" s="2139"/>
      <c r="L105" s="2139"/>
      <c r="M105" s="2139"/>
      <c r="N105" s="2142"/>
      <c r="O105" s="2139"/>
      <c r="P105" s="1945"/>
      <c r="Q105" s="1949"/>
      <c r="R105" s="1949"/>
      <c r="S105" s="330"/>
      <c r="T105" s="330"/>
      <c r="U105" s="330"/>
      <c r="V105" s="330"/>
      <c r="W105" s="1950"/>
      <c r="X105" s="1267"/>
      <c r="Y105" s="1267"/>
      <c r="Z105" s="1267"/>
      <c r="AA105" s="1267"/>
      <c r="AB105" s="1267"/>
      <c r="AC105" s="1267"/>
      <c r="AD105" s="1267"/>
      <c r="AE105" s="1267"/>
      <c r="AF105" s="1267"/>
      <c r="AG105" s="1267"/>
      <c r="AH105" s="1267"/>
      <c r="AI105" s="1267"/>
      <c r="AJ105" s="1267"/>
      <c r="AK105" s="1267"/>
      <c r="AL105" s="1267"/>
      <c r="AM105" s="1267"/>
      <c r="AN105" s="1267"/>
      <c r="AO105" s="1267"/>
      <c r="AP105" s="1267"/>
      <c r="AQ105" s="1267"/>
      <c r="AR105" s="1468">
        <v>0</v>
      </c>
    </row>
    <row s="1854" customFormat="1" customHeight="1" ht="17.25">
      <c r="A106" s="322"/>
      <c r="C106" s="321"/>
      <c r="D106" s="2137"/>
      <c r="E106" s="2145"/>
      <c r="F106" s="2147"/>
      <c r="G106" s="2145"/>
      <c r="H106" s="2150"/>
      <c r="I106" s="2152"/>
      <c r="J106" s="2155"/>
      <c r="K106" s="2139"/>
      <c r="L106" s="1949"/>
      <c r="M106" s="1949"/>
      <c r="N106" s="1949"/>
      <c r="O106" s="1949"/>
      <c r="P106" s="1949"/>
      <c r="Q106" s="1949"/>
      <c r="R106" s="1949"/>
      <c r="S106" s="330"/>
      <c r="T106" s="330"/>
      <c r="U106" s="330"/>
      <c r="V106" s="330"/>
      <c r="W106" s="1950"/>
      <c r="X106" s="1267"/>
      <c r="Y106" s="1267"/>
      <c r="Z106" s="1267"/>
      <c r="AA106" s="1267"/>
      <c r="AB106" s="1267"/>
      <c r="AC106" s="1267"/>
      <c r="AD106" s="1267"/>
      <c r="AE106" s="1267"/>
      <c r="AF106" s="1267"/>
      <c r="AG106" s="1267"/>
      <c r="AH106" s="1267"/>
      <c r="AI106" s="1267"/>
      <c r="AJ106" s="1267"/>
      <c r="AK106" s="1267"/>
      <c r="AL106" s="1267"/>
      <c r="AM106" s="1267"/>
      <c r="AN106" s="1267"/>
      <c r="AO106" s="1267"/>
      <c r="AP106" s="1267"/>
      <c r="AQ106" s="1267"/>
      <c r="AR106" s="1468">
        <v>0</v>
      </c>
    </row>
    <row s="1854" customFormat="1" customHeight="1" ht="17.25">
      <c r="A107" s="322"/>
      <c r="C107" s="321"/>
      <c r="D107" s="2137"/>
      <c r="E107" s="2145"/>
      <c r="F107" s="2148"/>
      <c r="G107" s="2145"/>
      <c r="H107" s="1300"/>
      <c r="I107" s="1947"/>
      <c r="J107" s="1947"/>
      <c r="K107" s="1947"/>
      <c r="L107" s="1947"/>
      <c r="M107" s="1947"/>
      <c r="N107" s="1947"/>
      <c r="O107" s="1947"/>
      <c r="P107" s="1947"/>
      <c r="Q107" s="1947"/>
      <c r="R107" s="1947"/>
      <c r="S107" s="1302"/>
      <c r="T107" s="1302"/>
      <c r="U107" s="1302"/>
      <c r="V107" s="1302"/>
      <c r="W107" s="1948"/>
      <c r="X107" s="1267"/>
      <c r="Y107" s="1267"/>
      <c r="Z107" s="1267"/>
      <c r="AA107" s="1267"/>
      <c r="AB107" s="1267"/>
      <c r="AC107" s="1267"/>
      <c r="AD107" s="1267"/>
      <c r="AE107" s="1267"/>
      <c r="AF107" s="1267"/>
      <c r="AG107" s="1267"/>
      <c r="AH107" s="1267"/>
      <c r="AI107" s="1267"/>
      <c r="AJ107" s="1267"/>
      <c r="AK107" s="1267"/>
      <c r="AL107" s="1267"/>
      <c r="AM107" s="1267"/>
      <c r="AN107" s="1267"/>
      <c r="AO107" s="1267"/>
      <c r="AP107" s="1267"/>
      <c r="AQ107" s="1267"/>
      <c r="AR107" s="1468">
        <v>0</v>
      </c>
    </row>
    <row s="1854" customFormat="1" customHeight="1" ht="11.25" hidden="1">
      <c r="A108" s="278"/>
      <c r="B108" s="278"/>
      <c r="Y108" s="1260"/>
      <c r="Z108" s="1260"/>
      <c r="AA108" s="1260"/>
      <c r="AB108" s="1260"/>
      <c r="AC108" s="1260"/>
      <c r="AD108" s="1260"/>
      <c r="AE108" s="1260"/>
      <c r="AF108" s="1260"/>
      <c r="AG108" s="1260"/>
      <c r="AH108" s="1260"/>
      <c r="AI108" s="1260"/>
      <c r="AJ108" s="1260"/>
      <c r="AK108" s="1260"/>
      <c r="AL108" s="1260"/>
      <c r="AM108" s="1260"/>
      <c r="AN108" s="1260"/>
      <c r="AO108" s="1260"/>
      <c r="AP108" s="1260"/>
      <c r="AQ108" s="1260"/>
      <c r="AR108" s="1468">
        <v>0</v>
      </c>
    </row>
    <row s="1854" customFormat="1" customHeight="1" ht="17.25" hidden="1">
      <c r="A109" s="322"/>
      <c r="C109" s="210"/>
      <c r="D109" s="2136">
        <v>1</v>
      </c>
      <c r="E109" s="2144" t="s">
        <v>261</v>
      </c>
      <c r="F109" s="2146" t="s">
        <v>19</v>
      </c>
      <c r="G109" s="2144"/>
      <c r="H109" s="2149"/>
      <c r="I109" s="2151"/>
      <c r="J109" s="2153"/>
      <c r="K109" s="2138"/>
      <c r="L109" s="2138"/>
      <c r="M109" s="2138"/>
      <c r="N109" s="2140"/>
      <c r="O109" s="2138"/>
      <c r="P109" s="2138"/>
      <c r="Q109" s="2138"/>
      <c r="R109" s="2143"/>
      <c r="S109" s="2138"/>
      <c r="T109" s="1471"/>
      <c r="U109" s="1471"/>
      <c r="V109" s="1473"/>
      <c r="W109" s="1297"/>
      <c r="Y109" s="1268"/>
      <c r="Z109" s="1268"/>
      <c r="AA109" s="1268"/>
      <c r="AB109" s="1268"/>
      <c r="AC109" s="1268" t="s">
        <v>262</v>
      </c>
      <c r="AD109" s="1268" t="s">
        <v>263</v>
      </c>
      <c r="AE109" s="1268" t="s">
        <v>264</v>
      </c>
      <c r="AF109" s="1268" t="s">
        <v>265</v>
      </c>
      <c r="AG109" s="1268"/>
      <c r="AH109" s="1268" t="str">
        <f>IF($E$109=0,"",$E$109)</f>
        <v>Тариф на горячую воду (горячее водоснабжение)</v>
      </c>
      <c r="AI109" s="1268" t="str">
        <f>IF($G$109=0,"",$G$109)</f>
        <v/>
      </c>
      <c r="AJ109" s="1268" t="str">
        <f>IF($J$109=0,"",$J$109)</f>
        <v/>
      </c>
      <c r="AK109" s="1268" t="str">
        <f>IF($K$109="нет","без дифференциации",IF($N$109=0,"",$N$109))</f>
        <v/>
      </c>
      <c r="AL109" s="1268" t="str">
        <f>IF($O$109="нет","без дифференциации",IF($R$109=0,"",$R$109))</f>
        <v/>
      </c>
      <c r="AM109" s="1268" t="str">
        <f>IF($S$109="нет","без дифференциации",IF($V$109=0,"",$V$109))</f>
        <v/>
      </c>
      <c r="AN109" s="1268">
        <f>$I$109</f>
        <v>0</v>
      </c>
      <c r="AO109" s="1268" t="str">
        <f>$I$109&amp;"."&amp;$M$109</f>
        <v>.</v>
      </c>
      <c r="AP109" s="1268" t="str">
        <f>$I$109&amp;"."&amp;$M$109&amp;"."&amp;$Q$109</f>
        <v>..</v>
      </c>
      <c r="AQ109" s="1268" t="str">
        <f>$I$109&amp;"."&amp;$M$109&amp;"."&amp;$Q$109&amp;"."&amp;$U$109</f>
        <v>...</v>
      </c>
      <c r="AR109" s="1468">
        <v>0</v>
      </c>
    </row>
    <row s="1854" customFormat="1" customHeight="1" ht="17.25" hidden="1">
      <c r="A110" s="322"/>
      <c r="C110" s="321"/>
      <c r="D110" s="2136"/>
      <c r="E110" s="2144"/>
      <c r="F110" s="2147"/>
      <c r="G110" s="2144"/>
      <c r="H110" s="2150"/>
      <c r="I110" s="2152"/>
      <c r="J110" s="2154"/>
      <c r="K110" s="2139"/>
      <c r="L110" s="2139"/>
      <c r="M110" s="2139"/>
      <c r="N110" s="2141"/>
      <c r="O110" s="2139"/>
      <c r="P110" s="2139"/>
      <c r="Q110" s="2139"/>
      <c r="R110" s="2142"/>
      <c r="S110" s="2139"/>
      <c r="T110" s="1298"/>
      <c r="U110" s="1298"/>
      <c r="V110" s="1298"/>
      <c r="W110" s="1299"/>
      <c r="Y110" s="1260"/>
      <c r="Z110" s="1260"/>
      <c r="AA110" s="1260"/>
      <c r="AB110" s="1260"/>
      <c r="AC110" s="1260"/>
      <c r="AD110" s="1260"/>
      <c r="AE110" s="1260"/>
      <c r="AF110" s="1260"/>
      <c r="AG110" s="1260"/>
      <c r="AH110" s="1260"/>
      <c r="AI110" s="1260"/>
      <c r="AJ110" s="1260"/>
      <c r="AK110" s="1260"/>
      <c r="AL110" s="1260"/>
      <c r="AM110" s="1260"/>
      <c r="AN110" s="1260"/>
      <c r="AO110" s="1260"/>
      <c r="AP110" s="1260"/>
      <c r="AQ110" s="1260"/>
      <c r="AR110" s="1468">
        <v>0</v>
      </c>
    </row>
    <row s="1854" customFormat="1" customHeight="1" ht="17.25" hidden="1">
      <c r="A111" s="322"/>
      <c r="C111" s="210"/>
      <c r="D111" s="2136"/>
      <c r="E111" s="2144"/>
      <c r="F111" s="2147"/>
      <c r="G111" s="2144"/>
      <c r="H111" s="2150"/>
      <c r="I111" s="2152"/>
      <c r="J111" s="2155"/>
      <c r="K111" s="2139"/>
      <c r="L111" s="2139"/>
      <c r="M111" s="2139"/>
      <c r="N111" s="2142"/>
      <c r="O111" s="2139"/>
      <c r="P111" s="1472"/>
      <c r="Q111" s="1298"/>
      <c r="R111" s="1298"/>
      <c r="S111" s="330"/>
      <c r="T111" s="330"/>
      <c r="U111" s="330"/>
      <c r="V111" s="330"/>
      <c r="W111" s="1299"/>
      <c r="Y111" s="1268"/>
      <c r="Z111" s="1268"/>
      <c r="AA111" s="1268"/>
      <c r="AB111" s="1268"/>
      <c r="AC111" s="1268"/>
      <c r="AD111" s="1268"/>
      <c r="AE111" s="1268"/>
      <c r="AF111" s="1268"/>
      <c r="AG111" s="1268"/>
      <c r="AH111" s="1268"/>
      <c r="AI111" s="1268"/>
      <c r="AJ111" s="1268"/>
      <c r="AK111" s="1268"/>
      <c r="AL111" s="1268"/>
      <c r="AM111" s="1268"/>
      <c r="AN111" s="1268"/>
      <c r="AO111" s="1268"/>
      <c r="AP111" s="1268"/>
      <c r="AQ111" s="1268"/>
      <c r="AR111" s="1468">
        <v>0</v>
      </c>
    </row>
    <row s="1854" customFormat="1" customHeight="1" ht="17.25" hidden="1">
      <c r="A112" s="322"/>
      <c r="C112" s="321"/>
      <c r="D112" s="2136"/>
      <c r="E112" s="2144"/>
      <c r="F112" s="2147"/>
      <c r="G112" s="2144"/>
      <c r="H112" s="2150"/>
      <c r="I112" s="2152"/>
      <c r="J112" s="2155"/>
      <c r="K112" s="2139"/>
      <c r="L112" s="1298"/>
      <c r="M112" s="1298"/>
      <c r="N112" s="1298"/>
      <c r="O112" s="1298"/>
      <c r="P112" s="1298"/>
      <c r="Q112" s="1298"/>
      <c r="R112" s="1298"/>
      <c r="S112" s="330"/>
      <c r="T112" s="330"/>
      <c r="U112" s="330"/>
      <c r="V112" s="330"/>
      <c r="W112" s="1299"/>
      <c r="Y112" s="1260"/>
      <c r="Z112" s="1260"/>
      <c r="AA112" s="1260"/>
      <c r="AB112" s="1260"/>
      <c r="AC112" s="1260"/>
      <c r="AD112" s="1260"/>
      <c r="AE112" s="1260"/>
      <c r="AF112" s="1260"/>
      <c r="AG112" s="1260"/>
      <c r="AH112" s="1260"/>
      <c r="AI112" s="1260"/>
      <c r="AJ112" s="1260"/>
      <c r="AK112" s="1260"/>
      <c r="AL112" s="1260"/>
      <c r="AM112" s="1260"/>
      <c r="AN112" s="1260"/>
      <c r="AO112" s="1260"/>
      <c r="AP112" s="1260"/>
      <c r="AQ112" s="1260"/>
      <c r="AR112" s="1468">
        <v>0</v>
      </c>
    </row>
    <row s="1854" customFormat="1" customHeight="1" ht="17.25" hidden="1">
      <c r="A113" s="322"/>
      <c r="C113" s="321"/>
      <c r="D113" s="2137"/>
      <c r="E113" s="2145"/>
      <c r="F113" s="2148"/>
      <c r="G113" s="2145"/>
      <c r="H113" s="1300"/>
      <c r="I113" s="1301"/>
      <c r="J113" s="1301"/>
      <c r="K113" s="1301"/>
      <c r="L113" s="1301"/>
      <c r="M113" s="1301"/>
      <c r="N113" s="1301"/>
      <c r="O113" s="1301"/>
      <c r="P113" s="1301"/>
      <c r="Q113" s="1301"/>
      <c r="R113" s="1301"/>
      <c r="S113" s="1302"/>
      <c r="T113" s="1302"/>
      <c r="U113" s="1302"/>
      <c r="V113" s="1302"/>
      <c r="W113" s="1303"/>
      <c r="Y113" s="1260"/>
      <c r="Z113" s="1260"/>
      <c r="AA113" s="1260"/>
      <c r="AB113" s="1260"/>
      <c r="AC113" s="1260"/>
      <c r="AD113" s="1260"/>
      <c r="AE113" s="1260"/>
      <c r="AF113" s="1260"/>
      <c r="AG113" s="1260"/>
      <c r="AH113" s="1260"/>
      <c r="AI113" s="1260"/>
      <c r="AJ113" s="1260"/>
      <c r="AK113" s="1260"/>
      <c r="AL113" s="1260"/>
      <c r="AM113" s="1260"/>
      <c r="AN113" s="1260"/>
      <c r="AO113" s="1260"/>
      <c r="AP113" s="1260"/>
      <c r="AQ113" s="1260"/>
      <c r="AR113" s="1468">
        <v>0</v>
      </c>
    </row>
    <row s="1854" customFormat="1" customHeight="1" ht="17.25" hidden="1">
      <c r="A114" s="322"/>
      <c r="C114" s="210"/>
      <c r="D114" s="2136">
        <v>2</v>
      </c>
      <c r="E114" s="2144" t="s">
        <v>266</v>
      </c>
      <c r="F114" s="2146" t="s">
        <v>19</v>
      </c>
      <c r="G114" s="2144"/>
      <c r="H114" s="2149"/>
      <c r="I114" s="2151"/>
      <c r="J114" s="2153"/>
      <c r="K114" s="2138"/>
      <c r="L114" s="2138"/>
      <c r="M114" s="2138"/>
      <c r="N114" s="2140"/>
      <c r="O114" s="2138"/>
      <c r="P114" s="2138"/>
      <c r="Q114" s="2138"/>
      <c r="R114" s="2143"/>
      <c r="S114" s="2138"/>
      <c r="T114" s="1471"/>
      <c r="U114" s="1471"/>
      <c r="V114" s="1473"/>
      <c r="W114" s="1297"/>
      <c r="X114" s="1268"/>
      <c r="Y114" s="1268"/>
      <c r="Z114" s="1268"/>
      <c r="AA114" s="1268"/>
      <c r="AB114" s="1268"/>
      <c r="AC114" s="1268" t="s">
        <v>267</v>
      </c>
      <c r="AD114" s="1268" t="s">
        <v>268</v>
      </c>
      <c r="AE114" s="1268" t="s">
        <v>269</v>
      </c>
      <c r="AF114" s="1268" t="s">
        <v>270</v>
      </c>
      <c r="AG114" s="1268"/>
      <c r="AH114" s="1268" t="str">
        <f>IF($E$114=0,"",$E$114)</f>
        <v>Тариф на транспортировку горячей воды</v>
      </c>
      <c r="AI114" s="1268" t="str">
        <f>IF($G$114=0,"",$G$114)</f>
        <v/>
      </c>
      <c r="AJ114" s="1268" t="str">
        <f>IF($J$114=0,"",$J$114)</f>
        <v/>
      </c>
      <c r="AK114" s="1268" t="str">
        <f>IF($K$114="нет","без дифференциации",IF($N$114=0,"",$N$114))</f>
        <v/>
      </c>
      <c r="AL114" s="1268" t="str">
        <f>IF($O$114="нет","без дифференциации",IF($R$114=0,"",$R$114))</f>
        <v/>
      </c>
      <c r="AM114" s="1268" t="str">
        <f>IF($S$114="нет","без дифференциации",IF($V$114=0,"",$V$114))</f>
        <v/>
      </c>
      <c r="AN114" s="1773">
        <f>$I$114</f>
        <v>0</v>
      </c>
      <c r="AO114" s="1268" t="str">
        <f>$I$114&amp;"."&amp;$M$114</f>
        <v>.</v>
      </c>
      <c r="AP114" s="1260" t="str">
        <f>$I$114&amp;"."&amp;$M$114&amp;"."&amp;$Q$114</f>
        <v>..</v>
      </c>
      <c r="AQ114" s="1260" t="str">
        <f>$I$114&amp;"."&amp;$M$114&amp;"."&amp;$Q$114&amp;"."&amp;$U$114</f>
        <v>...</v>
      </c>
      <c r="AR114" s="1468">
        <v>0</v>
      </c>
    </row>
    <row s="1854" customFormat="1" customHeight="1" ht="17.25" hidden="1">
      <c r="A115" s="322"/>
      <c r="C115" s="321"/>
      <c r="D115" s="2136"/>
      <c r="E115" s="2144"/>
      <c r="F115" s="2147"/>
      <c r="G115" s="2144"/>
      <c r="H115" s="2150"/>
      <c r="I115" s="2152"/>
      <c r="J115" s="2154"/>
      <c r="K115" s="2139"/>
      <c r="L115" s="2139"/>
      <c r="M115" s="2139"/>
      <c r="N115" s="2141"/>
      <c r="O115" s="2139"/>
      <c r="P115" s="2139"/>
      <c r="Q115" s="2139"/>
      <c r="R115" s="2142"/>
      <c r="S115" s="2139"/>
      <c r="T115" s="1298"/>
      <c r="U115" s="1298"/>
      <c r="V115" s="1298"/>
      <c r="W115" s="1299"/>
      <c r="X115" s="1260"/>
      <c r="Y115" s="1260"/>
      <c r="Z115" s="1260"/>
      <c r="AA115" s="1260"/>
      <c r="AB115" s="1260"/>
      <c r="AC115" s="1260"/>
      <c r="AD115" s="1260"/>
      <c r="AE115" s="1260"/>
      <c r="AF115" s="1260"/>
      <c r="AG115" s="1260"/>
      <c r="AH115" s="1260"/>
      <c r="AI115" s="1260"/>
      <c r="AJ115" s="1260"/>
      <c r="AK115" s="1260"/>
      <c r="AL115" s="1260"/>
      <c r="AM115" s="1260"/>
      <c r="AN115" s="1260"/>
      <c r="AO115" s="1260"/>
      <c r="AP115" s="1260"/>
      <c r="AQ115" s="1260"/>
      <c r="AR115" s="1468">
        <v>0</v>
      </c>
    </row>
    <row s="1854" customFormat="1" customHeight="1" ht="17.25" hidden="1">
      <c r="A116" s="322"/>
      <c r="C116" s="321"/>
      <c r="D116" s="2137"/>
      <c r="E116" s="2145"/>
      <c r="F116" s="2147"/>
      <c r="G116" s="2145"/>
      <c r="H116" s="2150"/>
      <c r="I116" s="2152"/>
      <c r="J116" s="2155"/>
      <c r="K116" s="2139"/>
      <c r="L116" s="2139"/>
      <c r="M116" s="2139"/>
      <c r="N116" s="2142"/>
      <c r="O116" s="2139"/>
      <c r="P116" s="1472"/>
      <c r="Q116" s="1298"/>
      <c r="R116" s="1298"/>
      <c r="S116" s="330"/>
      <c r="T116" s="330"/>
      <c r="U116" s="330"/>
      <c r="V116" s="330"/>
      <c r="W116" s="1299"/>
      <c r="X116" s="1260"/>
      <c r="Y116" s="1260"/>
      <c r="Z116" s="1260"/>
      <c r="AA116" s="1260"/>
      <c r="AB116" s="1260"/>
      <c r="AC116" s="1260"/>
      <c r="AD116" s="1260"/>
      <c r="AE116" s="1260"/>
      <c r="AF116" s="1260"/>
      <c r="AG116" s="1260"/>
      <c r="AH116" s="1260"/>
      <c r="AI116" s="1260"/>
      <c r="AJ116" s="1260"/>
      <c r="AK116" s="1260"/>
      <c r="AL116" s="1260"/>
      <c r="AM116" s="1260"/>
      <c r="AN116" s="1260"/>
      <c r="AO116" s="1260"/>
      <c r="AP116" s="1260"/>
      <c r="AQ116" s="1260"/>
      <c r="AR116" s="1468">
        <v>0</v>
      </c>
    </row>
    <row s="1854" customFormat="1" customHeight="1" ht="17.25" hidden="1">
      <c r="A117" s="322"/>
      <c r="C117" s="321"/>
      <c r="D117" s="2137"/>
      <c r="E117" s="2145"/>
      <c r="F117" s="2147"/>
      <c r="G117" s="2145"/>
      <c r="H117" s="2150"/>
      <c r="I117" s="2152"/>
      <c r="J117" s="2155"/>
      <c r="K117" s="2139"/>
      <c r="L117" s="1298"/>
      <c r="M117" s="1298"/>
      <c r="N117" s="1298"/>
      <c r="O117" s="1298"/>
      <c r="P117" s="1298"/>
      <c r="Q117" s="1298"/>
      <c r="R117" s="1298"/>
      <c r="S117" s="330"/>
      <c r="T117" s="330"/>
      <c r="U117" s="330"/>
      <c r="V117" s="330"/>
      <c r="W117" s="1299"/>
      <c r="X117" s="1260"/>
      <c r="Y117" s="1260"/>
      <c r="Z117" s="1260"/>
      <c r="AA117" s="1260"/>
      <c r="AB117" s="1260"/>
      <c r="AC117" s="1260"/>
      <c r="AD117" s="1260"/>
      <c r="AE117" s="1260"/>
      <c r="AF117" s="1260"/>
      <c r="AG117" s="1260"/>
      <c r="AH117" s="1260"/>
      <c r="AI117" s="1260"/>
      <c r="AJ117" s="1260"/>
      <c r="AK117" s="1260"/>
      <c r="AL117" s="1260"/>
      <c r="AM117" s="1260"/>
      <c r="AN117" s="1260"/>
      <c r="AO117" s="1260"/>
      <c r="AP117" s="1260"/>
      <c r="AQ117" s="1260"/>
      <c r="AR117" s="1468">
        <v>0</v>
      </c>
    </row>
    <row s="1854" customFormat="1" customHeight="1" ht="17.25" hidden="1">
      <c r="A118" s="322"/>
      <c r="C118" s="321"/>
      <c r="D118" s="2137"/>
      <c r="E118" s="2145"/>
      <c r="F118" s="2148"/>
      <c r="G118" s="2145"/>
      <c r="H118" s="1300"/>
      <c r="I118" s="1301"/>
      <c r="J118" s="1301"/>
      <c r="K118" s="1301"/>
      <c r="L118" s="1301"/>
      <c r="M118" s="1301"/>
      <c r="N118" s="1301"/>
      <c r="O118" s="1301"/>
      <c r="P118" s="1301"/>
      <c r="Q118" s="1301"/>
      <c r="R118" s="1301"/>
      <c r="S118" s="1302"/>
      <c r="T118" s="1302"/>
      <c r="U118" s="1302"/>
      <c r="V118" s="1302"/>
      <c r="W118" s="1303"/>
      <c r="X118" s="1260"/>
      <c r="Y118" s="1260"/>
      <c r="Z118" s="1260"/>
      <c r="AA118" s="1260"/>
      <c r="AB118" s="1260"/>
      <c r="AC118" s="1260"/>
      <c r="AD118" s="1260"/>
      <c r="AE118" s="1260"/>
      <c r="AF118" s="1260"/>
      <c r="AG118" s="1260"/>
      <c r="AH118" s="1260"/>
      <c r="AI118" s="1260"/>
      <c r="AJ118" s="1260"/>
      <c r="AK118" s="1260"/>
      <c r="AL118" s="1260"/>
      <c r="AM118" s="1260"/>
      <c r="AN118" s="1260"/>
      <c r="AO118" s="1260"/>
      <c r="AP118" s="1260"/>
      <c r="AQ118" s="1260"/>
      <c r="AR118" s="1468">
        <v>0</v>
      </c>
    </row>
    <row s="1854" customFormat="1" customHeight="1" ht="17.25" hidden="1">
      <c r="A119" s="322"/>
      <c r="C119" s="210"/>
      <c r="D119" s="2136">
        <v>3</v>
      </c>
      <c r="E119" s="2144" t="s">
        <v>271</v>
      </c>
      <c r="F119" s="2146" t="s">
        <v>19</v>
      </c>
      <c r="G119" s="2144"/>
      <c r="H119" s="2149"/>
      <c r="I119" s="2151"/>
      <c r="J119" s="2153"/>
      <c r="K119" s="2138"/>
      <c r="L119" s="2138"/>
      <c r="M119" s="2138"/>
      <c r="N119" s="2140"/>
      <c r="O119" s="2138"/>
      <c r="P119" s="2138"/>
      <c r="Q119" s="2138"/>
      <c r="R119" s="2143"/>
      <c r="S119" s="2138"/>
      <c r="T119" s="1944"/>
      <c r="U119" s="1944"/>
      <c r="V119" s="1946"/>
      <c r="W119" s="1297"/>
      <c r="X119" s="1268"/>
      <c r="Y119" s="1268"/>
      <c r="Z119" s="1268"/>
      <c r="AA119" s="1268"/>
      <c r="AB119" s="1268"/>
      <c r="AC119" s="1268" t="s">
        <v>272</v>
      </c>
      <c r="AD119" s="1268" t="s">
        <v>273</v>
      </c>
      <c r="AE119" s="1268" t="s">
        <v>274</v>
      </c>
      <c r="AF119" s="1268" t="s">
        <v>275</v>
      </c>
      <c r="AG119" s="1268"/>
      <c r="AH119" s="1268" t="str">
        <f>IF($E$119=0,"",$E$119)</f>
        <v>Тариф на подключение (технологическое присоединение) к централизованной системе горячего водоснабжения</v>
      </c>
      <c r="AI119" s="1268" t="str">
        <f>IF($G$119=0,"",$G$119)</f>
        <v/>
      </c>
      <c r="AJ119" s="1268" t="str">
        <f>IF($J$119=0,"",$J$119)</f>
        <v/>
      </c>
      <c r="AK119" s="1268" t="str">
        <f>IF($K$119="нет","без дифференциации",IF($N$119=0,"",$N$119))</f>
        <v/>
      </c>
      <c r="AL119" s="1268" t="str">
        <f>IF($O$119="нет","без дифференциации",IF($R$119=0,"",$R$119))</f>
        <v/>
      </c>
      <c r="AM119" s="1268" t="str">
        <f>IF($S$119="нет","без дифференциации",IF($V$119=0,"",$V$119))</f>
        <v/>
      </c>
      <c r="AN119" s="1773">
        <f>$I$119</f>
        <v>0</v>
      </c>
      <c r="AO119" s="1268" t="str">
        <f>$I$119&amp;"."&amp;$M$119</f>
        <v>.</v>
      </c>
      <c r="AP119" s="1267" t="str">
        <f>$I$119&amp;"."&amp;$M$119&amp;"."&amp;$Q$119</f>
        <v>..</v>
      </c>
      <c r="AQ119" s="1267" t="str">
        <f>$I$119&amp;"."&amp;$M$119&amp;"."&amp;$Q$119&amp;"."&amp;$U$119</f>
        <v>...</v>
      </c>
      <c r="AR119" s="1468">
        <v>0</v>
      </c>
    </row>
    <row s="1854" customFormat="1" customHeight="1" ht="17.25" hidden="1">
      <c r="A120" s="322"/>
      <c r="C120" s="321"/>
      <c r="D120" s="2136"/>
      <c r="E120" s="2144"/>
      <c r="F120" s="2147"/>
      <c r="G120" s="2144"/>
      <c r="H120" s="2150"/>
      <c r="I120" s="2152"/>
      <c r="J120" s="2154"/>
      <c r="K120" s="2139"/>
      <c r="L120" s="2139"/>
      <c r="M120" s="2139"/>
      <c r="N120" s="2141"/>
      <c r="O120" s="2139"/>
      <c r="P120" s="2139"/>
      <c r="Q120" s="2139"/>
      <c r="R120" s="2142"/>
      <c r="S120" s="2139"/>
      <c r="T120" s="1949"/>
      <c r="U120" s="1949"/>
      <c r="V120" s="1949"/>
      <c r="W120" s="1950"/>
      <c r="X120" s="1267"/>
      <c r="Y120" s="1267"/>
      <c r="Z120" s="1267"/>
      <c r="AA120" s="1267"/>
      <c r="AB120" s="1267"/>
      <c r="AC120" s="1267"/>
      <c r="AD120" s="1267"/>
      <c r="AE120" s="1267"/>
      <c r="AF120" s="1267"/>
      <c r="AG120" s="1267"/>
      <c r="AH120" s="1267"/>
      <c r="AI120" s="1267"/>
      <c r="AJ120" s="1267"/>
      <c r="AK120" s="1267"/>
      <c r="AL120" s="1267"/>
      <c r="AM120" s="1267"/>
      <c r="AN120" s="1267"/>
      <c r="AO120" s="1267"/>
      <c r="AP120" s="1267"/>
      <c r="AQ120" s="1267"/>
      <c r="AR120" s="1468">
        <v>0</v>
      </c>
    </row>
    <row s="1854" customFormat="1" customHeight="1" ht="17.25" hidden="1">
      <c r="A121" s="322"/>
      <c r="C121" s="321"/>
      <c r="D121" s="2137"/>
      <c r="E121" s="2145"/>
      <c r="F121" s="2147"/>
      <c r="G121" s="2145"/>
      <c r="H121" s="2150"/>
      <c r="I121" s="2152"/>
      <c r="J121" s="2155"/>
      <c r="K121" s="2139"/>
      <c r="L121" s="2139"/>
      <c r="M121" s="2139"/>
      <c r="N121" s="2142"/>
      <c r="O121" s="2139"/>
      <c r="P121" s="1945"/>
      <c r="Q121" s="1949"/>
      <c r="R121" s="1949"/>
      <c r="S121" s="330"/>
      <c r="T121" s="330"/>
      <c r="U121" s="330"/>
      <c r="V121" s="330"/>
      <c r="W121" s="1950"/>
      <c r="X121" s="1267"/>
      <c r="Y121" s="1267"/>
      <c r="Z121" s="1267"/>
      <c r="AA121" s="1267"/>
      <c r="AB121" s="1267"/>
      <c r="AC121" s="1267"/>
      <c r="AD121" s="1267"/>
      <c r="AE121" s="1267"/>
      <c r="AF121" s="1267"/>
      <c r="AG121" s="1267"/>
      <c r="AH121" s="1267"/>
      <c r="AI121" s="1267"/>
      <c r="AJ121" s="1267"/>
      <c r="AK121" s="1267"/>
      <c r="AL121" s="1267"/>
      <c r="AM121" s="1267"/>
      <c r="AN121" s="1267"/>
      <c r="AO121" s="1267"/>
      <c r="AP121" s="1267"/>
      <c r="AQ121" s="1267"/>
      <c r="AR121" s="1468">
        <v>0</v>
      </c>
    </row>
    <row s="1854" customFormat="1" customHeight="1" ht="17.25" hidden="1">
      <c r="A122" s="322"/>
      <c r="C122" s="321"/>
      <c r="D122" s="2137"/>
      <c r="E122" s="2145"/>
      <c r="F122" s="2147"/>
      <c r="G122" s="2145"/>
      <c r="H122" s="2150"/>
      <c r="I122" s="2152"/>
      <c r="J122" s="2155"/>
      <c r="K122" s="2139"/>
      <c r="L122" s="1949"/>
      <c r="M122" s="1949"/>
      <c r="N122" s="1949"/>
      <c r="O122" s="1949"/>
      <c r="P122" s="1949"/>
      <c r="Q122" s="1949"/>
      <c r="R122" s="1949"/>
      <c r="S122" s="330"/>
      <c r="T122" s="330"/>
      <c r="U122" s="330"/>
      <c r="V122" s="330"/>
      <c r="W122" s="1950"/>
      <c r="X122" s="1267"/>
      <c r="Y122" s="1267"/>
      <c r="Z122" s="1267"/>
      <c r="AA122" s="1267"/>
      <c r="AB122" s="1267"/>
      <c r="AC122" s="1267"/>
      <c r="AD122" s="1267"/>
      <c r="AE122" s="1267"/>
      <c r="AF122" s="1267"/>
      <c r="AG122" s="1267"/>
      <c r="AH122" s="1267"/>
      <c r="AI122" s="1267"/>
      <c r="AJ122" s="1267"/>
      <c r="AK122" s="1267"/>
      <c r="AL122" s="1267"/>
      <c r="AM122" s="1267"/>
      <c r="AN122" s="1267"/>
      <c r="AO122" s="1267"/>
      <c r="AP122" s="1267"/>
      <c r="AQ122" s="1267"/>
      <c r="AR122" s="1468">
        <v>0</v>
      </c>
    </row>
    <row s="1854" customFormat="1" customHeight="1" ht="17.25" hidden="1">
      <c r="A123" s="322"/>
      <c r="C123" s="321"/>
      <c r="D123" s="2137"/>
      <c r="E123" s="2145"/>
      <c r="F123" s="2148"/>
      <c r="G123" s="2145"/>
      <c r="H123" s="1300"/>
      <c r="I123" s="1947"/>
      <c r="J123" s="1947"/>
      <c r="K123" s="1947"/>
      <c r="L123" s="1947"/>
      <c r="M123" s="1947"/>
      <c r="N123" s="1947"/>
      <c r="O123" s="1947"/>
      <c r="P123" s="1947"/>
      <c r="Q123" s="1947"/>
      <c r="R123" s="1947"/>
      <c r="S123" s="1302"/>
      <c r="T123" s="1302"/>
      <c r="U123" s="1302"/>
      <c r="V123" s="1302"/>
      <c r="W123" s="1948"/>
      <c r="X123" s="1267"/>
      <c r="Y123" s="1267"/>
      <c r="Z123" s="1267"/>
      <c r="AA123" s="1267"/>
      <c r="AB123" s="1267"/>
      <c r="AC123" s="1267"/>
      <c r="AD123" s="1267"/>
      <c r="AE123" s="1267"/>
      <c r="AF123" s="1267"/>
      <c r="AG123" s="1267"/>
      <c r="AH123" s="1267"/>
      <c r="AI123" s="1267"/>
      <c r="AJ123" s="1267"/>
      <c r="AK123" s="1267"/>
      <c r="AL123" s="1267"/>
      <c r="AM123" s="1267"/>
      <c r="AN123" s="1267"/>
      <c r="AO123" s="1267"/>
      <c r="AP123" s="1267"/>
      <c r="AQ123" s="1267"/>
      <c r="AR123" s="1468">
        <v>0</v>
      </c>
    </row>
    <row s="1854" customFormat="1" customHeight="1" ht="11.25" hidden="1">
      <c r="A124" s="278"/>
      <c r="B124" s="278"/>
      <c r="Y124" s="1260"/>
      <c r="Z124" s="1260"/>
      <c r="AA124" s="1260"/>
      <c r="AB124" s="1260"/>
      <c r="AC124" s="1260"/>
      <c r="AD124" s="1260"/>
      <c r="AE124" s="1260"/>
      <c r="AF124" s="1260"/>
      <c r="AG124" s="1260"/>
      <c r="AH124" s="1260"/>
      <c r="AI124" s="1260"/>
      <c r="AJ124" s="1260"/>
      <c r="AK124" s="1260"/>
      <c r="AL124" s="1260"/>
      <c r="AM124" s="1260"/>
      <c r="AN124" s="1260"/>
      <c r="AO124" s="1260"/>
      <c r="AP124" s="1260"/>
      <c r="AQ124" s="1260"/>
      <c r="AR124" s="1468">
        <v>0</v>
      </c>
    </row>
    <row s="1854" customFormat="1" customHeight="1" ht="17.25" hidden="1">
      <c r="A125" s="322"/>
      <c r="C125" s="210"/>
      <c r="D125" s="2136">
        <v>1</v>
      </c>
      <c r="E125" s="2144" t="s">
        <v>276</v>
      </c>
      <c r="F125" s="2146" t="s">
        <v>19</v>
      </c>
      <c r="G125" s="2144"/>
      <c r="H125" s="2149"/>
      <c r="I125" s="2151"/>
      <c r="J125" s="2153"/>
      <c r="K125" s="2138"/>
      <c r="L125" s="2138"/>
      <c r="M125" s="2138"/>
      <c r="N125" s="2140"/>
      <c r="O125" s="2138"/>
      <c r="P125" s="2138"/>
      <c r="Q125" s="2138"/>
      <c r="R125" s="2143"/>
      <c r="S125" s="2138"/>
      <c r="T125" s="1471"/>
      <c r="U125" s="1471"/>
      <c r="V125" s="1473"/>
      <c r="W125" s="1297"/>
      <c r="Y125" s="1268"/>
      <c r="Z125" s="1268"/>
      <c r="AA125" s="1268"/>
      <c r="AB125" s="1268"/>
      <c r="AC125" s="1268" t="s">
        <v>277</v>
      </c>
      <c r="AD125" s="1268" t="s">
        <v>278</v>
      </c>
      <c r="AE125" s="1268" t="s">
        <v>279</v>
      </c>
      <c r="AF125" s="1268" t="s">
        <v>280</v>
      </c>
      <c r="AG125" s="1268"/>
      <c r="AH125" s="1268" t="str">
        <f>IF($E$125=0,"",$E$125)</f>
        <v>Тариф на водоотведение</v>
      </c>
      <c r="AI125" s="1268" t="str">
        <f>IF($G$125=0,"",$G$125)</f>
        <v/>
      </c>
      <c r="AJ125" s="1268" t="str">
        <f>IF($J$125=0,"",$J$125)</f>
        <v/>
      </c>
      <c r="AK125" s="1268" t="str">
        <f>IF($K$125="нет","без дифференциации",IF($N$125=0,"",$N$125))</f>
        <v/>
      </c>
      <c r="AL125" s="1268" t="str">
        <f>IF($O$125="нет","без дифференциации",IF($R$125=0,"",$R$125))</f>
        <v/>
      </c>
      <c r="AM125" s="1268" t="str">
        <f>IF($S$125="нет","без дифференциации",IF($V$125=0,"",$V$125))</f>
        <v/>
      </c>
      <c r="AN125" s="1268">
        <f>$I$125</f>
        <v>0</v>
      </c>
      <c r="AO125" s="1268" t="str">
        <f>$I$125&amp;"."&amp;$M$125</f>
        <v>.</v>
      </c>
      <c r="AP125" s="1268" t="str">
        <f>$I$125&amp;"."&amp;$M$125&amp;"."&amp;$Q$125</f>
        <v>..</v>
      </c>
      <c r="AQ125" s="1268" t="str">
        <f>$I$125&amp;"."&amp;$M$125&amp;"."&amp;$Q$125&amp;"."&amp;$U$125</f>
        <v>...</v>
      </c>
      <c r="AR125" s="1468">
        <v>0</v>
      </c>
    </row>
    <row s="1854" customFormat="1" customHeight="1" ht="17.25" hidden="1">
      <c r="A126" s="322"/>
      <c r="C126" s="321"/>
      <c r="D126" s="2136"/>
      <c r="E126" s="2144"/>
      <c r="F126" s="2147"/>
      <c r="G126" s="2144"/>
      <c r="H126" s="2150"/>
      <c r="I126" s="2152"/>
      <c r="J126" s="2154"/>
      <c r="K126" s="2139"/>
      <c r="L126" s="2139"/>
      <c r="M126" s="2139"/>
      <c r="N126" s="2141"/>
      <c r="O126" s="2139"/>
      <c r="P126" s="2139"/>
      <c r="Q126" s="2139"/>
      <c r="R126" s="2142"/>
      <c r="S126" s="2139"/>
      <c r="T126" s="1298"/>
      <c r="U126" s="1298"/>
      <c r="V126" s="1298"/>
      <c r="W126" s="1299"/>
      <c r="Y126" s="1260"/>
      <c r="Z126" s="1260"/>
      <c r="AA126" s="1260"/>
      <c r="AB126" s="1260"/>
      <c r="AC126" s="1260"/>
      <c r="AD126" s="1260"/>
      <c r="AE126" s="1260"/>
      <c r="AF126" s="1260"/>
      <c r="AG126" s="1260"/>
      <c r="AH126" s="1260"/>
      <c r="AI126" s="1260"/>
      <c r="AJ126" s="1260"/>
      <c r="AK126" s="1260"/>
      <c r="AL126" s="1260"/>
      <c r="AM126" s="1260"/>
      <c r="AN126" s="1260"/>
      <c r="AO126" s="1260"/>
      <c r="AP126" s="1260"/>
      <c r="AQ126" s="1260"/>
      <c r="AR126" s="1468">
        <v>0</v>
      </c>
    </row>
    <row s="1854" customFormat="1" customHeight="1" ht="17.25" hidden="1">
      <c r="A127" s="322"/>
      <c r="C127" s="210"/>
      <c r="D127" s="2136"/>
      <c r="E127" s="2144"/>
      <c r="F127" s="2147"/>
      <c r="G127" s="2144"/>
      <c r="H127" s="2150"/>
      <c r="I127" s="2152"/>
      <c r="J127" s="2155"/>
      <c r="K127" s="2139"/>
      <c r="L127" s="2139"/>
      <c r="M127" s="2139"/>
      <c r="N127" s="2142"/>
      <c r="O127" s="2139"/>
      <c r="P127" s="1472"/>
      <c r="Q127" s="1298"/>
      <c r="R127" s="1298"/>
      <c r="S127" s="330"/>
      <c r="T127" s="330"/>
      <c r="U127" s="330"/>
      <c r="V127" s="330"/>
      <c r="W127" s="1299"/>
      <c r="Y127" s="1268"/>
      <c r="Z127" s="1268"/>
      <c r="AA127" s="1268"/>
      <c r="AB127" s="1268"/>
      <c r="AC127" s="1268"/>
      <c r="AD127" s="1268"/>
      <c r="AE127" s="1268"/>
      <c r="AF127" s="1268"/>
      <c r="AG127" s="1268"/>
      <c r="AH127" s="1268"/>
      <c r="AI127" s="1268"/>
      <c r="AJ127" s="1268"/>
      <c r="AK127" s="1268"/>
      <c r="AL127" s="1268"/>
      <c r="AM127" s="1268"/>
      <c r="AN127" s="1268"/>
      <c r="AO127" s="1268"/>
      <c r="AP127" s="1268"/>
      <c r="AQ127" s="1268"/>
      <c r="AR127" s="1468">
        <v>0</v>
      </c>
    </row>
    <row s="1854" customFormat="1" customHeight="1" ht="17.25" hidden="1">
      <c r="A128" s="322"/>
      <c r="C128" s="321"/>
      <c r="D128" s="2136"/>
      <c r="E128" s="2144"/>
      <c r="F128" s="2147"/>
      <c r="G128" s="2144"/>
      <c r="H128" s="2150"/>
      <c r="I128" s="2152"/>
      <c r="J128" s="2155"/>
      <c r="K128" s="2139"/>
      <c r="L128" s="1298"/>
      <c r="M128" s="1298"/>
      <c r="N128" s="1298"/>
      <c r="O128" s="1298"/>
      <c r="P128" s="1298"/>
      <c r="Q128" s="1298"/>
      <c r="R128" s="1298"/>
      <c r="S128" s="330"/>
      <c r="T128" s="330"/>
      <c r="U128" s="330"/>
      <c r="V128" s="330"/>
      <c r="W128" s="1299"/>
      <c r="Y128" s="1260"/>
      <c r="Z128" s="1260"/>
      <c r="AA128" s="1260"/>
      <c r="AB128" s="1260"/>
      <c r="AC128" s="1260"/>
      <c r="AD128" s="1260"/>
      <c r="AE128" s="1260"/>
      <c r="AF128" s="1260"/>
      <c r="AG128" s="1260"/>
      <c r="AH128" s="1260"/>
      <c r="AI128" s="1260"/>
      <c r="AJ128" s="1260"/>
      <c r="AK128" s="1260"/>
      <c r="AL128" s="1260"/>
      <c r="AM128" s="1260"/>
      <c r="AN128" s="1260"/>
      <c r="AO128" s="1260"/>
      <c r="AP128" s="1260"/>
      <c r="AQ128" s="1260"/>
      <c r="AR128" s="1468">
        <v>0</v>
      </c>
    </row>
    <row s="1854" customFormat="1" customHeight="1" ht="17.25" hidden="1">
      <c r="A129" s="322"/>
      <c r="C129" s="321"/>
      <c r="D129" s="2137"/>
      <c r="E129" s="2145"/>
      <c r="F129" s="2148"/>
      <c r="G129" s="2145"/>
      <c r="H129" s="1300"/>
      <c r="I129" s="1301"/>
      <c r="J129" s="1301"/>
      <c r="K129" s="1301"/>
      <c r="L129" s="1301"/>
      <c r="M129" s="1301"/>
      <c r="N129" s="1301"/>
      <c r="O129" s="1301"/>
      <c r="P129" s="1301"/>
      <c r="Q129" s="1301"/>
      <c r="R129" s="1301"/>
      <c r="S129" s="1302"/>
      <c r="T129" s="1302"/>
      <c r="U129" s="1302"/>
      <c r="V129" s="1302"/>
      <c r="W129" s="1303"/>
      <c r="Y129" s="1260"/>
      <c r="Z129" s="1260"/>
      <c r="AA129" s="1260"/>
      <c r="AB129" s="1260"/>
      <c r="AC129" s="1260"/>
      <c r="AD129" s="1260"/>
      <c r="AE129" s="1260"/>
      <c r="AF129" s="1260"/>
      <c r="AG129" s="1260"/>
      <c r="AH129" s="1260"/>
      <c r="AI129" s="1260"/>
      <c r="AJ129" s="1260"/>
      <c r="AK129" s="1260"/>
      <c r="AL129" s="1260"/>
      <c r="AM129" s="1260"/>
      <c r="AN129" s="1260"/>
      <c r="AO129" s="1260"/>
      <c r="AP129" s="1260"/>
      <c r="AQ129" s="1260"/>
      <c r="AR129" s="1468">
        <v>0</v>
      </c>
    </row>
    <row s="1854" customFormat="1" customHeight="1" ht="17.25" hidden="1">
      <c r="A130" s="322"/>
      <c r="C130" s="210"/>
      <c r="D130" s="2136">
        <v>2</v>
      </c>
      <c r="E130" s="2144" t="s">
        <v>281</v>
      </c>
      <c r="F130" s="2146" t="s">
        <v>19</v>
      </c>
      <c r="G130" s="2144"/>
      <c r="H130" s="2149"/>
      <c r="I130" s="2151"/>
      <c r="J130" s="2153"/>
      <c r="K130" s="2138"/>
      <c r="L130" s="2138"/>
      <c r="M130" s="2138"/>
      <c r="N130" s="2140"/>
      <c r="O130" s="2138"/>
      <c r="P130" s="2138"/>
      <c r="Q130" s="2138"/>
      <c r="R130" s="2143"/>
      <c r="S130" s="2138"/>
      <c r="T130" s="1471"/>
      <c r="U130" s="1471"/>
      <c r="V130" s="1473"/>
      <c r="W130" s="1297"/>
      <c r="X130" s="1268"/>
      <c r="Y130" s="1268"/>
      <c r="Z130" s="1268"/>
      <c r="AA130" s="1268"/>
      <c r="AB130" s="1268"/>
      <c r="AC130" s="1268" t="s">
        <v>282</v>
      </c>
      <c r="AD130" s="1268" t="s">
        <v>283</v>
      </c>
      <c r="AE130" s="1268" t="s">
        <v>284</v>
      </c>
      <c r="AF130" s="1268" t="s">
        <v>285</v>
      </c>
      <c r="AG130" s="1268"/>
      <c r="AH130" s="1268" t="str">
        <f>IF($E$130=0,"",$E$130)</f>
        <v>Тариф на транспортировку сточных вод</v>
      </c>
      <c r="AI130" s="1268" t="str">
        <f>IF($G$130=0,"",$G$130)</f>
        <v/>
      </c>
      <c r="AJ130" s="1268" t="str">
        <f>IF($J$130=0,"",$J$130)</f>
        <v/>
      </c>
      <c r="AK130" s="1268" t="str">
        <f>IF($K$130="нет","без дифференциации",IF($N$130=0,"",$N$130))</f>
        <v/>
      </c>
      <c r="AL130" s="1268" t="str">
        <f>IF($O$130="нет","без дифференциации",IF($R$130=0,"",$R$130))</f>
        <v/>
      </c>
      <c r="AM130" s="1268" t="str">
        <f>IF($S$130="нет","без дифференциации",IF($V$130=0,"",$V$130))</f>
        <v/>
      </c>
      <c r="AN130" s="1773">
        <f>$I$130</f>
        <v>0</v>
      </c>
      <c r="AO130" s="1268" t="str">
        <f>$I$130&amp;"."&amp;$M$130</f>
        <v>.</v>
      </c>
      <c r="AP130" s="1260" t="str">
        <f>$I$130&amp;"."&amp;$M$130&amp;"."&amp;$Q$130</f>
        <v>..</v>
      </c>
      <c r="AQ130" s="1260" t="str">
        <f>$I$130&amp;"."&amp;$M$130&amp;"."&amp;$Q$130&amp;"."&amp;$U$130</f>
        <v>...</v>
      </c>
      <c r="AR130" s="1468">
        <v>0</v>
      </c>
    </row>
    <row s="1854" customFormat="1" customHeight="1" ht="17.25" hidden="1">
      <c r="A131" s="322"/>
      <c r="C131" s="321"/>
      <c r="D131" s="2136"/>
      <c r="E131" s="2144"/>
      <c r="F131" s="2147"/>
      <c r="G131" s="2144"/>
      <c r="H131" s="2150"/>
      <c r="I131" s="2152"/>
      <c r="J131" s="2154"/>
      <c r="K131" s="2139"/>
      <c r="L131" s="2139"/>
      <c r="M131" s="2139"/>
      <c r="N131" s="2141"/>
      <c r="O131" s="2139"/>
      <c r="P131" s="2139"/>
      <c r="Q131" s="2139"/>
      <c r="R131" s="2142"/>
      <c r="S131" s="2139"/>
      <c r="T131" s="1298"/>
      <c r="U131" s="1298"/>
      <c r="V131" s="1298"/>
      <c r="W131" s="1299"/>
      <c r="X131" s="1260"/>
      <c r="Y131" s="1260"/>
      <c r="Z131" s="1260"/>
      <c r="AA131" s="1260"/>
      <c r="AB131" s="1260"/>
      <c r="AC131" s="1260"/>
      <c r="AD131" s="1260"/>
      <c r="AE131" s="1260"/>
      <c r="AF131" s="1260"/>
      <c r="AG131" s="1260"/>
      <c r="AH131" s="1260"/>
      <c r="AI131" s="1260"/>
      <c r="AJ131" s="1260"/>
      <c r="AK131" s="1260"/>
      <c r="AL131" s="1260"/>
      <c r="AM131" s="1260"/>
      <c r="AN131" s="1260"/>
      <c r="AO131" s="1260"/>
      <c r="AP131" s="1260"/>
      <c r="AQ131" s="1260"/>
      <c r="AR131" s="1468">
        <v>0</v>
      </c>
    </row>
    <row s="1854" customFormat="1" customHeight="1" ht="17.25" hidden="1">
      <c r="A132" s="322"/>
      <c r="C132" s="321"/>
      <c r="D132" s="2137"/>
      <c r="E132" s="2145"/>
      <c r="F132" s="2147"/>
      <c r="G132" s="2145"/>
      <c r="H132" s="2150"/>
      <c r="I132" s="2152"/>
      <c r="J132" s="2155"/>
      <c r="K132" s="2139"/>
      <c r="L132" s="2139"/>
      <c r="M132" s="2139"/>
      <c r="N132" s="2142"/>
      <c r="O132" s="2139"/>
      <c r="P132" s="1472"/>
      <c r="Q132" s="1298"/>
      <c r="R132" s="1298"/>
      <c r="S132" s="330"/>
      <c r="T132" s="330"/>
      <c r="U132" s="330"/>
      <c r="V132" s="330"/>
      <c r="W132" s="1299"/>
      <c r="X132" s="1260"/>
      <c r="Y132" s="1260"/>
      <c r="Z132" s="1260"/>
      <c r="AA132" s="1260"/>
      <c r="AB132" s="1260"/>
      <c r="AC132" s="1260"/>
      <c r="AD132" s="1260"/>
      <c r="AE132" s="1260"/>
      <c r="AF132" s="1260"/>
      <c r="AG132" s="1260"/>
      <c r="AH132" s="1260"/>
      <c r="AI132" s="1260"/>
      <c r="AJ132" s="1260"/>
      <c r="AK132" s="1260"/>
      <c r="AL132" s="1260"/>
      <c r="AM132" s="1260"/>
      <c r="AN132" s="1260"/>
      <c r="AO132" s="1260"/>
      <c r="AP132" s="1260"/>
      <c r="AQ132" s="1260"/>
      <c r="AR132" s="1468">
        <v>0</v>
      </c>
    </row>
    <row s="1854" customFormat="1" customHeight="1" ht="17.25" hidden="1">
      <c r="A133" s="322"/>
      <c r="C133" s="321"/>
      <c r="D133" s="2137"/>
      <c r="E133" s="2145"/>
      <c r="F133" s="2147"/>
      <c r="G133" s="2145"/>
      <c r="H133" s="2150"/>
      <c r="I133" s="2152"/>
      <c r="J133" s="2155"/>
      <c r="K133" s="2139"/>
      <c r="L133" s="1298"/>
      <c r="M133" s="1298"/>
      <c r="N133" s="1298"/>
      <c r="O133" s="1298"/>
      <c r="P133" s="1298"/>
      <c r="Q133" s="1298"/>
      <c r="R133" s="1298"/>
      <c r="S133" s="330"/>
      <c r="T133" s="330"/>
      <c r="U133" s="330"/>
      <c r="V133" s="330"/>
      <c r="W133" s="1299"/>
      <c r="X133" s="1260"/>
      <c r="Y133" s="1260"/>
      <c r="Z133" s="1260"/>
      <c r="AA133" s="1260"/>
      <c r="AB133" s="1260"/>
      <c r="AC133" s="1260"/>
      <c r="AD133" s="1260"/>
      <c r="AE133" s="1260"/>
      <c r="AF133" s="1260"/>
      <c r="AG133" s="1260"/>
      <c r="AH133" s="1260"/>
      <c r="AI133" s="1260"/>
      <c r="AJ133" s="1260"/>
      <c r="AK133" s="1260"/>
      <c r="AL133" s="1260"/>
      <c r="AM133" s="1260"/>
      <c r="AN133" s="1260"/>
      <c r="AO133" s="1260"/>
      <c r="AP133" s="1260"/>
      <c r="AQ133" s="1260"/>
      <c r="AR133" s="1468">
        <v>0</v>
      </c>
    </row>
    <row s="1854" customFormat="1" customHeight="1" ht="17.25" hidden="1">
      <c r="A134" s="322"/>
      <c r="C134" s="321"/>
      <c r="D134" s="2137"/>
      <c r="E134" s="2145"/>
      <c r="F134" s="2148"/>
      <c r="G134" s="2145"/>
      <c r="H134" s="1300"/>
      <c r="I134" s="1301"/>
      <c r="J134" s="1301"/>
      <c r="K134" s="1301"/>
      <c r="L134" s="1301"/>
      <c r="M134" s="1301"/>
      <c r="N134" s="1301"/>
      <c r="O134" s="1301"/>
      <c r="P134" s="1301"/>
      <c r="Q134" s="1301"/>
      <c r="R134" s="1301"/>
      <c r="S134" s="1302"/>
      <c r="T134" s="1302"/>
      <c r="U134" s="1302"/>
      <c r="V134" s="1302"/>
      <c r="W134" s="1303"/>
      <c r="X134" s="1260"/>
      <c r="Y134" s="1260"/>
      <c r="Z134" s="1260"/>
      <c r="AA134" s="1260"/>
      <c r="AB134" s="1260"/>
      <c r="AC134" s="1260"/>
      <c r="AD134" s="1260"/>
      <c r="AE134" s="1260"/>
      <c r="AF134" s="1260"/>
      <c r="AG134" s="1260"/>
      <c r="AH134" s="1260"/>
      <c r="AI134" s="1260"/>
      <c r="AJ134" s="1260"/>
      <c r="AK134" s="1260"/>
      <c r="AL134" s="1260"/>
      <c r="AM134" s="1260"/>
      <c r="AN134" s="1260"/>
      <c r="AO134" s="1260"/>
      <c r="AP134" s="1260"/>
      <c r="AQ134" s="1260"/>
      <c r="AR134" s="1468">
        <v>0</v>
      </c>
    </row>
    <row s="1854" customFormat="1" customHeight="1" ht="17.25" hidden="1">
      <c r="A135" s="322"/>
      <c r="C135" s="210"/>
      <c r="D135" s="2136">
        <v>3</v>
      </c>
      <c r="E135" s="2144" t="s">
        <v>286</v>
      </c>
      <c r="F135" s="2146" t="s">
        <v>19</v>
      </c>
      <c r="G135" s="2144"/>
      <c r="H135" s="2149"/>
      <c r="I135" s="2151"/>
      <c r="J135" s="2153"/>
      <c r="K135" s="2138"/>
      <c r="L135" s="2138"/>
      <c r="M135" s="2138"/>
      <c r="N135" s="2140"/>
      <c r="O135" s="2138"/>
      <c r="P135" s="2138"/>
      <c r="Q135" s="2138"/>
      <c r="R135" s="2143"/>
      <c r="S135" s="2138"/>
      <c r="T135" s="1944"/>
      <c r="U135" s="1944"/>
      <c r="V135" s="1946"/>
      <c r="W135" s="1297"/>
      <c r="X135" s="1268"/>
      <c r="Y135" s="1268"/>
      <c r="Z135" s="1268"/>
      <c r="AA135" s="1268"/>
      <c r="AB135" s="1268"/>
      <c r="AC135" s="1268" t="s">
        <v>287</v>
      </c>
      <c r="AD135" s="1268" t="s">
        <v>288</v>
      </c>
      <c r="AE135" s="1268" t="s">
        <v>289</v>
      </c>
      <c r="AF135" s="1268" t="s">
        <v>290</v>
      </c>
      <c r="AG135" s="1268"/>
      <c r="AH135" s="1268" t="str">
        <f>IF($E$135=0,"",$E$135)</f>
        <v>Тариф на подключение (технологическое присоединение) к централизованной системе водоотведения</v>
      </c>
      <c r="AI135" s="1268" t="str">
        <f>IF($G$135=0,"",$G$135)</f>
        <v/>
      </c>
      <c r="AJ135" s="1268" t="str">
        <f>IF($J$135=0,"",$J$135)</f>
        <v/>
      </c>
      <c r="AK135" s="1268" t="str">
        <f>IF($K$135="нет","без дифференциации",IF($N$135=0,"",$N$135))</f>
        <v/>
      </c>
      <c r="AL135" s="1268" t="str">
        <f>IF($O$135="нет","без дифференциации",IF($R$135=0,"",$R$135))</f>
        <v/>
      </c>
      <c r="AM135" s="1268" t="str">
        <f>IF($S$135="нет","без дифференциации",IF($V$135=0,"",$V$135))</f>
        <v/>
      </c>
      <c r="AN135" s="1773">
        <f>$I$135</f>
        <v>0</v>
      </c>
      <c r="AO135" s="1268" t="str">
        <f>$I$135&amp;"."&amp;$M$135</f>
        <v>.</v>
      </c>
      <c r="AP135" s="1267" t="str">
        <f>$I$135&amp;"."&amp;$M$135&amp;"."&amp;$Q$135</f>
        <v>..</v>
      </c>
      <c r="AQ135" s="1267" t="str">
        <f>$I$135&amp;"."&amp;$M$135&amp;"."&amp;$Q$135&amp;"."&amp;$U$135</f>
        <v>...</v>
      </c>
      <c r="AR135" s="1468">
        <v>0</v>
      </c>
    </row>
    <row s="1854" customFormat="1" customHeight="1" ht="17.25" hidden="1">
      <c r="A136" s="322"/>
      <c r="C136" s="321"/>
      <c r="D136" s="2136"/>
      <c r="E136" s="2144"/>
      <c r="F136" s="2147"/>
      <c r="G136" s="2144"/>
      <c r="H136" s="2150"/>
      <c r="I136" s="2152"/>
      <c r="J136" s="2154"/>
      <c r="K136" s="2139"/>
      <c r="L136" s="2139"/>
      <c r="M136" s="2139"/>
      <c r="N136" s="2141"/>
      <c r="O136" s="2139"/>
      <c r="P136" s="2139"/>
      <c r="Q136" s="2139"/>
      <c r="R136" s="2142"/>
      <c r="S136" s="2139"/>
      <c r="T136" s="1949"/>
      <c r="U136" s="1949"/>
      <c r="V136" s="1949"/>
      <c r="W136" s="1950"/>
      <c r="X136" s="1267"/>
      <c r="Y136" s="1267"/>
      <c r="Z136" s="1267"/>
      <c r="AA136" s="1267"/>
      <c r="AB136" s="1267"/>
      <c r="AC136" s="1267"/>
      <c r="AD136" s="1267"/>
      <c r="AE136" s="1267"/>
      <c r="AF136" s="1267"/>
      <c r="AG136" s="1267"/>
      <c r="AH136" s="1267"/>
      <c r="AI136" s="1267"/>
      <c r="AJ136" s="1267"/>
      <c r="AK136" s="1267"/>
      <c r="AL136" s="1267"/>
      <c r="AM136" s="1267"/>
      <c r="AN136" s="1267"/>
      <c r="AO136" s="1267"/>
      <c r="AP136" s="1267"/>
      <c r="AQ136" s="1267"/>
      <c r="AR136" s="1468">
        <v>0</v>
      </c>
    </row>
    <row s="1854" customFormat="1" customHeight="1" ht="17.25" hidden="1">
      <c r="A137" s="322"/>
      <c r="C137" s="321"/>
      <c r="D137" s="2137"/>
      <c r="E137" s="2145"/>
      <c r="F137" s="2147"/>
      <c r="G137" s="2145"/>
      <c r="H137" s="2150"/>
      <c r="I137" s="2152"/>
      <c r="J137" s="2155"/>
      <c r="K137" s="2139"/>
      <c r="L137" s="2139"/>
      <c r="M137" s="2139"/>
      <c r="N137" s="2142"/>
      <c r="O137" s="2139"/>
      <c r="P137" s="1945"/>
      <c r="Q137" s="1949"/>
      <c r="R137" s="1949"/>
      <c r="S137" s="330"/>
      <c r="T137" s="330"/>
      <c r="U137" s="330"/>
      <c r="V137" s="330"/>
      <c r="W137" s="1950"/>
      <c r="X137" s="1267"/>
      <c r="Y137" s="1267"/>
      <c r="Z137" s="1267"/>
      <c r="AA137" s="1267"/>
      <c r="AB137" s="1267"/>
      <c r="AC137" s="1267"/>
      <c r="AD137" s="1267"/>
      <c r="AE137" s="1267"/>
      <c r="AF137" s="1267"/>
      <c r="AG137" s="1267"/>
      <c r="AH137" s="1267"/>
      <c r="AI137" s="1267"/>
      <c r="AJ137" s="1267"/>
      <c r="AK137" s="1267"/>
      <c r="AL137" s="1267"/>
      <c r="AM137" s="1267"/>
      <c r="AN137" s="1267"/>
      <c r="AO137" s="1267"/>
      <c r="AP137" s="1267"/>
      <c r="AQ137" s="1267"/>
      <c r="AR137" s="1468">
        <v>0</v>
      </c>
    </row>
    <row s="1854" customFormat="1" customHeight="1" ht="17.25" hidden="1">
      <c r="A138" s="322"/>
      <c r="C138" s="321"/>
      <c r="D138" s="2137"/>
      <c r="E138" s="2145"/>
      <c r="F138" s="2147"/>
      <c r="G138" s="2145"/>
      <c r="H138" s="2150"/>
      <c r="I138" s="2152"/>
      <c r="J138" s="2155"/>
      <c r="K138" s="2139"/>
      <c r="L138" s="1949"/>
      <c r="M138" s="1949"/>
      <c r="N138" s="1949"/>
      <c r="O138" s="1949"/>
      <c r="P138" s="1949"/>
      <c r="Q138" s="1949"/>
      <c r="R138" s="1949"/>
      <c r="S138" s="330"/>
      <c r="T138" s="330"/>
      <c r="U138" s="330"/>
      <c r="V138" s="330"/>
      <c r="W138" s="1950"/>
      <c r="X138" s="1267"/>
      <c r="Y138" s="1267"/>
      <c r="Z138" s="1267"/>
      <c r="AA138" s="1267"/>
      <c r="AB138" s="1267"/>
      <c r="AC138" s="1267"/>
      <c r="AD138" s="1267"/>
      <c r="AE138" s="1267"/>
      <c r="AF138" s="1267"/>
      <c r="AG138" s="1267"/>
      <c r="AH138" s="1267"/>
      <c r="AI138" s="1267"/>
      <c r="AJ138" s="1267"/>
      <c r="AK138" s="1267"/>
      <c r="AL138" s="1267"/>
      <c r="AM138" s="1267"/>
      <c r="AN138" s="1267"/>
      <c r="AO138" s="1267"/>
      <c r="AP138" s="1267"/>
      <c r="AQ138" s="1267"/>
      <c r="AR138" s="1468">
        <v>0</v>
      </c>
    </row>
    <row s="1854" customFormat="1" customHeight="1" ht="17.25" hidden="1">
      <c r="A139" s="322"/>
      <c r="C139" s="321"/>
      <c r="D139" s="2137"/>
      <c r="E139" s="2145"/>
      <c r="F139" s="2148"/>
      <c r="G139" s="2145"/>
      <c r="H139" s="1300"/>
      <c r="I139" s="1947"/>
      <c r="J139" s="1947"/>
      <c r="K139" s="1947"/>
      <c r="L139" s="1947"/>
      <c r="M139" s="1947"/>
      <c r="N139" s="1947"/>
      <c r="O139" s="1947"/>
      <c r="P139" s="1947"/>
      <c r="Q139" s="1947"/>
      <c r="R139" s="1947"/>
      <c r="S139" s="1302"/>
      <c r="T139" s="1302"/>
      <c r="U139" s="1302"/>
      <c r="V139" s="1302"/>
      <c r="W139" s="1948"/>
      <c r="X139" s="1267"/>
      <c r="Y139" s="1267"/>
      <c r="Z139" s="1267"/>
      <c r="AA139" s="1267"/>
      <c r="AB139" s="1267"/>
      <c r="AC139" s="1267"/>
      <c r="AD139" s="1267"/>
      <c r="AE139" s="1267"/>
      <c r="AF139" s="1267"/>
      <c r="AG139" s="1267"/>
      <c r="AH139" s="1267"/>
      <c r="AI139" s="1267"/>
      <c r="AJ139" s="1267"/>
      <c r="AK139" s="1267"/>
      <c r="AL139" s="1267"/>
      <c r="AM139" s="1267"/>
      <c r="AN139" s="1267"/>
      <c r="AO139" s="1267"/>
      <c r="AP139" s="1267"/>
      <c r="AQ139" s="1267"/>
      <c r="AR139" s="1468">
        <v>0</v>
      </c>
    </row>
    <row customHeight="1" ht="11.549999999999999">
      <c r="AR140" s="105">
        <v>11</v>
      </c>
    </row>
    <row customHeight="1" ht="11.549999999999999">
      <c r="AR141" s="105">
        <v>11</v>
      </c>
    </row>
    <row customHeight="1" ht="11.549999999999999">
      <c r="AR142" s="105">
        <v>11</v>
      </c>
    </row>
    <row customHeight="1" ht="11.549999999999999">
      <c r="E143" s="1351"/>
      <c r="AR143" s="105">
        <v>11</v>
      </c>
    </row>
    <row customHeight="1" ht="11.549999999999999">
      <c r="E144" s="1351"/>
      <c r="AR144" s="105">
        <v>11</v>
      </c>
    </row>
    <row customHeight="1" ht="11.549999999999999">
      <c r="E145" s="1351"/>
      <c r="AR145" s="105">
        <v>11</v>
      </c>
    </row>
    <row customHeight="1" ht="11.549999999999999">
      <c r="E146" s="1351"/>
      <c r="AR146" s="105">
        <v>11</v>
      </c>
    </row>
    <row customHeight="1" ht="11.549999999999999">
      <c r="E147" s="1351"/>
      <c r="AR147" s="105">
        <v>11</v>
      </c>
    </row>
    <row customHeight="1" ht="11.549999999999999">
      <c r="E148" s="1351"/>
      <c r="AR148" s="105">
        <v>11</v>
      </c>
    </row>
    <row customHeight="1" ht="11.549999999999999">
      <c r="E149" s="1351"/>
      <c r="AR149" s="105">
        <v>11</v>
      </c>
    </row>
    <row customHeight="1" ht="11.25" hidden="1">
      <c r="A150" s="154" t="s">
        <v>84</v>
      </c>
      <c r="B150" s="154">
        <v>0</v>
      </c>
      <c r="C150" s="105">
        <v>3</v>
      </c>
      <c r="D150" s="105">
        <v>6</v>
      </c>
      <c r="E150" s="105">
        <v>42</v>
      </c>
      <c r="F150" s="1284">
        <v>14</v>
      </c>
      <c r="G150" s="105">
        <v>42</v>
      </c>
      <c r="H150" s="105">
        <v>3</v>
      </c>
      <c r="I150" s="105">
        <v>5</v>
      </c>
      <c r="J150" s="105">
        <v>47</v>
      </c>
      <c r="K150" s="105">
        <v>3</v>
      </c>
      <c r="L150" s="105">
        <v>3</v>
      </c>
      <c r="M150" s="105">
        <v>5</v>
      </c>
      <c r="N150" s="105">
        <v>28</v>
      </c>
      <c r="O150" s="105">
        <v>3</v>
      </c>
      <c r="P150" s="105">
        <v>3</v>
      </c>
      <c r="Q150" s="105">
        <v>5</v>
      </c>
      <c r="R150" s="105">
        <v>34</v>
      </c>
      <c r="S150" s="283">
        <v>0</v>
      </c>
      <c r="T150" s="283">
        <v>0</v>
      </c>
      <c r="U150" s="283">
        <v>0</v>
      </c>
      <c r="V150" s="283">
        <v>0</v>
      </c>
      <c r="W150" s="105">
        <v>30</v>
      </c>
      <c r="X150" s="105">
        <v>3</v>
      </c>
      <c r="Y150" s="1260">
        <v>0</v>
      </c>
      <c r="Z150" s="1260">
        <v>0</v>
      </c>
      <c r="AA150" s="1260">
        <v>0</v>
      </c>
      <c r="AB150" s="1260">
        <v>0</v>
      </c>
      <c r="AC150" s="1260">
        <v>0</v>
      </c>
      <c r="AD150" s="1260">
        <v>0</v>
      </c>
      <c r="AE150" s="1260">
        <v>0</v>
      </c>
      <c r="AF150" s="1260">
        <v>0</v>
      </c>
      <c r="AG150" s="1260">
        <v>0</v>
      </c>
      <c r="AH150" s="1260">
        <v>0</v>
      </c>
      <c r="AI150" s="1260">
        <v>0</v>
      </c>
      <c r="AJ150" s="1260">
        <v>0</v>
      </c>
      <c r="AK150" s="1260">
        <v>0</v>
      </c>
      <c r="AL150" s="1260">
        <v>0</v>
      </c>
      <c r="AM150" s="1260">
        <v>0</v>
      </c>
      <c r="AN150" s="1260">
        <v>0</v>
      </c>
      <c r="AO150" s="1260">
        <v>0</v>
      </c>
      <c r="AP150" s="1260">
        <v>0</v>
      </c>
      <c r="AQ150" s="1260">
        <v>0</v>
      </c>
      <c r="AR150" s="105">
        <v>11</v>
      </c>
    </row>
  </sheetData>
  <sheetProtection formatColumns="0" formatRows="0" autoFilter="0" sort="0" insertRows="0" insertColumns="1" deleteRows="0" deleteColumns="0"/>
  <mergeCells count="393">
    <mergeCell ref="R23:R24"/>
    <mergeCell ref="S23:S24"/>
    <mergeCell ref="G23:G27"/>
    <mergeCell ref="H23:H26"/>
    <mergeCell ref="I23:I26"/>
    <mergeCell ref="J23:J26"/>
    <mergeCell ref="K23:K26"/>
    <mergeCell ref="L23:L25"/>
    <mergeCell ref="M23:M25"/>
    <mergeCell ref="N23:N25"/>
    <mergeCell ref="O23:O25"/>
    <mergeCell ref="M135:M137"/>
    <mergeCell ref="N135:N137"/>
    <mergeCell ref="O135:O137"/>
    <mergeCell ref="P135:P136"/>
    <mergeCell ref="Q135:Q136"/>
    <mergeCell ref="R135:R136"/>
    <mergeCell ref="S135:S136"/>
    <mergeCell ref="D135:D139"/>
    <mergeCell ref="E135:E139"/>
    <mergeCell ref="F135:F139"/>
    <mergeCell ref="G135:G139"/>
    <mergeCell ref="H135:H138"/>
    <mergeCell ref="I135:I138"/>
    <mergeCell ref="J135:J138"/>
    <mergeCell ref="K135:K138"/>
    <mergeCell ref="L135:L137"/>
    <mergeCell ref="N103:N105"/>
    <mergeCell ref="O103:O105"/>
    <mergeCell ref="P103:P104"/>
    <mergeCell ref="Q103:Q104"/>
    <mergeCell ref="R103:R104"/>
    <mergeCell ref="S103:S104"/>
    <mergeCell ref="D119:D123"/>
    <mergeCell ref="E119:E123"/>
    <mergeCell ref="F119:F123"/>
    <mergeCell ref="G119:G123"/>
    <mergeCell ref="H119:H122"/>
    <mergeCell ref="I119:I122"/>
    <mergeCell ref="J119:J122"/>
    <mergeCell ref="K119:K122"/>
    <mergeCell ref="L119:L121"/>
    <mergeCell ref="M119:M121"/>
    <mergeCell ref="N119:N121"/>
    <mergeCell ref="O119:O121"/>
    <mergeCell ref="P119:P120"/>
    <mergeCell ref="Q119:Q120"/>
    <mergeCell ref="R119:R120"/>
    <mergeCell ref="S119:S120"/>
    <mergeCell ref="D103:D107"/>
    <mergeCell ref="E103:E107"/>
    <mergeCell ref="F103:F107"/>
    <mergeCell ref="G103:G107"/>
    <mergeCell ref="H103:H106"/>
    <mergeCell ref="I103:I106"/>
    <mergeCell ref="J103:J106"/>
    <mergeCell ref="K103:K106"/>
    <mergeCell ref="L103:L105"/>
    <mergeCell ref="S130:S131"/>
    <mergeCell ref="D130:D134"/>
    <mergeCell ref="E130:E134"/>
    <mergeCell ref="F130:F134"/>
    <mergeCell ref="G130:G134"/>
    <mergeCell ref="H130:H133"/>
    <mergeCell ref="I130:I133"/>
    <mergeCell ref="J130:J133"/>
    <mergeCell ref="K130:K133"/>
    <mergeCell ref="L130:L132"/>
    <mergeCell ref="H125:H128"/>
    <mergeCell ref="I125:I128"/>
    <mergeCell ref="J125:J128"/>
    <mergeCell ref="K125:K128"/>
    <mergeCell ref="L125:L127"/>
    <mergeCell ref="M125:M127"/>
    <mergeCell ref="N125:N127"/>
    <mergeCell ref="M130:M132"/>
    <mergeCell ref="N130:N132"/>
    <mergeCell ref="O130:O132"/>
    <mergeCell ref="P125:P126"/>
    <mergeCell ref="Q125:Q126"/>
    <mergeCell ref="R125:R126"/>
    <mergeCell ref="P130:P131"/>
    <mergeCell ref="Q130:Q131"/>
    <mergeCell ref="R130:R131"/>
    <mergeCell ref="S125:S126"/>
    <mergeCell ref="D125:D129"/>
    <mergeCell ref="E125:E129"/>
    <mergeCell ref="F125:F129"/>
    <mergeCell ref="G125:G129"/>
    <mergeCell ref="M114:M116"/>
    <mergeCell ref="N114:N116"/>
    <mergeCell ref="O114:O116"/>
    <mergeCell ref="P114:P115"/>
    <mergeCell ref="Q114:Q115"/>
    <mergeCell ref="R114:R115"/>
    <mergeCell ref="S114:S115"/>
    <mergeCell ref="D114:D118"/>
    <mergeCell ref="E114:E118"/>
    <mergeCell ref="F114:F118"/>
    <mergeCell ref="G114:G118"/>
    <mergeCell ref="H114:H117"/>
    <mergeCell ref="I114:I117"/>
    <mergeCell ref="J114:J117"/>
    <mergeCell ref="K114:K117"/>
    <mergeCell ref="L114:L116"/>
    <mergeCell ref="O125:O127"/>
    <mergeCell ref="R13:R14"/>
    <mergeCell ref="S13:S14"/>
    <mergeCell ref="M48:M50"/>
    <mergeCell ref="N48:N50"/>
    <mergeCell ref="O48:O50"/>
    <mergeCell ref="N38:N40"/>
    <mergeCell ref="D109:D113"/>
    <mergeCell ref="E109:E113"/>
    <mergeCell ref="F109:F113"/>
    <mergeCell ref="G109:G113"/>
    <mergeCell ref="H109:H112"/>
    <mergeCell ref="I109:I112"/>
    <mergeCell ref="J109:J112"/>
    <mergeCell ref="K109:K112"/>
    <mergeCell ref="L109:L111"/>
    <mergeCell ref="P53:P54"/>
    <mergeCell ref="Q53:Q54"/>
    <mergeCell ref="R53:R54"/>
    <mergeCell ref="S53:S54"/>
    <mergeCell ref="P48:P49"/>
    <mergeCell ref="Q48:Q49"/>
    <mergeCell ref="R48:R49"/>
    <mergeCell ref="S48:S49"/>
    <mergeCell ref="S28:S29"/>
    <mergeCell ref="S18:S19"/>
    <mergeCell ref="M109:M111"/>
    <mergeCell ref="N109:N111"/>
    <mergeCell ref="O109:O111"/>
    <mergeCell ref="P109:P110"/>
    <mergeCell ref="Q109:Q110"/>
    <mergeCell ref="R109:R110"/>
    <mergeCell ref="S109:S110"/>
    <mergeCell ref="O53:O55"/>
    <mergeCell ref="E77:W77"/>
    <mergeCell ref="E69:W69"/>
    <mergeCell ref="E70:W70"/>
    <mergeCell ref="E71:W71"/>
    <mergeCell ref="E72:W72"/>
    <mergeCell ref="E73:W73"/>
    <mergeCell ref="E75:W75"/>
    <mergeCell ref="E76:W76"/>
    <mergeCell ref="K93:K96"/>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7"/>
    <mergeCell ref="E79:E87"/>
    <mergeCell ref="D88:D92"/>
    <mergeCell ref="E88:E92"/>
    <mergeCell ref="F88:F92"/>
    <mergeCell ref="G88:G92"/>
    <mergeCell ref="H88:H91"/>
    <mergeCell ref="I88:I91"/>
    <mergeCell ref="J88:J91"/>
    <mergeCell ref="F79:F87"/>
    <mergeCell ref="G79:G87"/>
    <mergeCell ref="K13:K16"/>
    <mergeCell ref="G18:G22"/>
    <mergeCell ref="K18:K21"/>
    <mergeCell ref="N28:N30"/>
    <mergeCell ref="L93:L95"/>
    <mergeCell ref="Q88:Q89"/>
    <mergeCell ref="R88:R89"/>
    <mergeCell ref="S88:S89"/>
    <mergeCell ref="K88:K91"/>
    <mergeCell ref="N88:N90"/>
    <mergeCell ref="O88:O90"/>
    <mergeCell ref="P88:P89"/>
    <mergeCell ref="S93:S94"/>
    <mergeCell ref="N93:N95"/>
    <mergeCell ref="O93:O95"/>
    <mergeCell ref="P93:P94"/>
    <mergeCell ref="Q93:Q94"/>
    <mergeCell ref="R93:R94"/>
    <mergeCell ref="L88:L90"/>
    <mergeCell ref="M88:M90"/>
    <mergeCell ref="M98:M100"/>
    <mergeCell ref="N98:N100"/>
    <mergeCell ref="O98:O100"/>
    <mergeCell ref="P98:P99"/>
    <mergeCell ref="Q98:Q99"/>
    <mergeCell ref="R98:R99"/>
    <mergeCell ref="S98:S99"/>
    <mergeCell ref="D93:D97"/>
    <mergeCell ref="E93:E97"/>
    <mergeCell ref="M93:M95"/>
    <mergeCell ref="D98:D102"/>
    <mergeCell ref="E98:E102"/>
    <mergeCell ref="F98:F102"/>
    <mergeCell ref="G98:G102"/>
    <mergeCell ref="H98:H101"/>
    <mergeCell ref="I98:I101"/>
    <mergeCell ref="J98:J101"/>
    <mergeCell ref="K98:K101"/>
    <mergeCell ref="L98:L100"/>
    <mergeCell ref="F93:F97"/>
    <mergeCell ref="G93:G97"/>
    <mergeCell ref="H93:H96"/>
    <mergeCell ref="I93:I96"/>
    <mergeCell ref="J93:J96"/>
    <mergeCell ref="S63:S64"/>
    <mergeCell ref="E58:E62"/>
    <mergeCell ref="F58:F62"/>
    <mergeCell ref="G58:G62"/>
    <mergeCell ref="H58:H61"/>
    <mergeCell ref="I58:I61"/>
    <mergeCell ref="J58:J61"/>
    <mergeCell ref="K58:K61"/>
    <mergeCell ref="L58:L60"/>
    <mergeCell ref="D58:D62"/>
    <mergeCell ref="M103:M105"/>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 ref="M79:M81"/>
    <mergeCell ref="N79:N81"/>
    <mergeCell ref="S79:S80"/>
    <mergeCell ref="H79:H82"/>
    <mergeCell ref="I79:I82"/>
    <mergeCell ref="J79:J82"/>
    <mergeCell ref="K79:K82"/>
    <mergeCell ref="L79:L81"/>
    <mergeCell ref="W79:W80"/>
    <mergeCell ref="O79:O81"/>
    <mergeCell ref="P79:P80"/>
    <mergeCell ref="Q79:Q80"/>
    <mergeCell ref="R79:R80"/>
    <mergeCell ref="H83:H86"/>
    <mergeCell ref="I83:I86"/>
    <mergeCell ref="J83:J86"/>
    <mergeCell ref="K83:K86"/>
    <mergeCell ref="L83:L85"/>
    <mergeCell ref="M83:M85"/>
    <mergeCell ref="N83:N85"/>
    <mergeCell ref="O83:O85"/>
    <mergeCell ref="P83:P84"/>
    <mergeCell ref="Q83:Q84"/>
    <mergeCell ref="R83:R84"/>
    <mergeCell ref="S83:S84"/>
    <mergeCell ref="W83:W84"/>
  </mergeCells>
  <dataValidations count="39">
    <dataValidation allowBlank="1" showInputMessage="1" showErrorMessage="1" prompt="Выберите виды деятельности, выполнив двойной щелчок левой кнопки мыши по ячейке." sqref="G86"/>
    <dataValidation allowBlank="1" showInputMessage="1" showErrorMessage="1" prompt="Для выбора выполните двойной щелчок левой клавиши мыши по соответствующей ячейке." sqref="F86"/>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5"/>
    <dataValidation allowBlank="1" showInputMessage="1" showErrorMessage="1" prompt="Выберите виды деятельности, выполнив двойной щелчок левой кнопки мыши по ячейке." sqref="G85"/>
    <dataValidation allowBlank="1" showInputMessage="1" showErrorMessage="1" prompt="Для выбора выполните двойной щелчок левой клавиши мыши по соответствующей ячейке." sqref="F85"/>
    <dataValidation allowBlank="1" showInputMessage="1" showErrorMessage="1" prompt="Для выбора выполните двойной щелчок левой клавиши мыши по соответствующей ячейке." sqref="S84"/>
    <dataValidation type="textLength" operator="lessThanOrEqual" allowBlank="1" showInputMessage="1" showErrorMessage="1" errorTitle="Ошибка" error="Допускается ввод не более 900 символов!" sqref="R84">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4"/>
    <dataValidation type="textLength" operator="lessThanOrEqual" allowBlank="1" showInputMessage="1" showErrorMessage="1" errorTitle="Ошибка" error="Допускается ввод не более 900 символов!" sqref="J84">
      <formula1>900</formula1>
    </dataValidation>
    <dataValidation allowBlank="1" showInputMessage="1" showErrorMessage="1" prompt="Выберите виды деятельности, выполнив двойной щелчок левой кнопки мыши по ячейке." sqref="G84"/>
    <dataValidation allowBlank="1" showInputMessage="1" showErrorMessage="1" prompt="Для выбора выполните двойной щелчок левой клавиши мыши по соответствующей ячейке." sqref="F84"/>
    <dataValidation type="textLength" operator="lessThanOrEqual" allowBlank="1" showInputMessage="1" showErrorMessage="1" errorTitle="Ошибка" error="Допускается ввод не более 900 символов!" sqref="W83">
      <formula1>900</formula1>
    </dataValidation>
    <dataValidation type="textLength" operator="lessThanOrEqual" allowBlank="1" showInputMessage="1" showErrorMessage="1" errorTitle="Ошибка" error="Допускается ввод не более 900 символов!" sqref="V83">
      <formula1>900</formula1>
    </dataValidation>
    <dataValidation allowBlank="1" showInputMessage="1" showErrorMessage="1" prompt="Для выбора выполните двойной щелчок левой клавиши мыши по соответствующей ячейке." sqref="S83"/>
    <dataValidation type="textLength" operator="lessThanOrEqual" allowBlank="1" showInputMessage="1" showErrorMessage="1" errorTitle="Ошибка" error="Допускается ввод не более 900 символов!" sqref="R83">
      <formula1>900</formula1>
    </dataValidation>
    <dataValidation allowBlank="1" showInputMessage="1" showErrorMessage="1" prompt="Для выбора выполните двойной щелчок левой клавиши мыши по соответствующей ячейке." sqref="O83"/>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3"/>
    <dataValidation allowBlank="1" showInputMessage="1" showErrorMessage="1" prompt="Для выбора выполните двойной щелчок левой клавиши мыши по соответствующей ячейке." sqref="K83"/>
    <dataValidation type="textLength" operator="lessThanOrEqual" allowBlank="1" showInputMessage="1" showErrorMessage="1" errorTitle="Ошибка" error="Допускается ввод не более 900 символов!" sqref="J83">
      <formula1>900</formula1>
    </dataValidation>
    <dataValidation allowBlank="1" showInputMessage="1" showErrorMessage="1" prompt="Выберите виды деятельности, выполнив двойной щелчок левой кнопки мыши по ячейке." sqref="G83"/>
    <dataValidation allowBlank="1" showInputMessage="1" showErrorMessage="1" prompt="Для выбора выполните двойной щелчок левой клавиши мыши по соответствующей ячейке." sqref="F83"/>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1"/>
    <dataValidation allowBlank="1" showInputMessage="1" showErrorMessage="1" prompt="Для выбора выполните двойной щелчок левой клавиши мыши по соответствующей ячейке." sqref="S80"/>
    <dataValidation type="textLength" operator="lessThanOrEqual" allowBlank="1" showInputMessage="1" showErrorMessage="1" errorTitle="Ошибка" error="Допускается ввод не более 900 символов!" sqref="R80">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0"/>
    <dataValidation type="textLength" operator="lessThanOrEqual" allowBlank="1" showInputMessage="1" showErrorMessage="1" errorTitle="Ошибка" error="Допускается ввод не более 900 символов!" sqref="J80">
      <formula1>900</formula1>
    </dataValidation>
    <dataValidation type="textLength" operator="lessThanOrEqual" allowBlank="1" showInputMessage="1" showErrorMessage="1" errorTitle="Ошибка" error="Допускается ввод не более 900 символов!" sqref="W79">
      <formula1>900</formula1>
    </dataValidation>
    <dataValidation type="textLength" operator="lessThanOrEqual" allowBlank="1" showInputMessage="1" showErrorMessage="1" errorTitle="Ошибка" error="Допускается ввод не более 900 символов!" sqref="V79">
      <formula1>900</formula1>
    </dataValidation>
    <dataValidation allowBlank="1" showInputMessage="1" showErrorMessage="1" prompt="Для выбора выполните двойной щелчок левой клавиши мыши по соответствующей ячейке." sqref="S79"/>
    <dataValidation type="textLength" operator="lessThanOrEqual" allowBlank="1" showInputMessage="1" showErrorMessage="1" errorTitle="Ошибка" error="Допускается ввод не более 900 символов!" sqref="R79">
      <formula1>900</formula1>
    </dataValidation>
    <dataValidation allowBlank="1" showInputMessage="1" showErrorMessage="1" prompt="Для выбора выполните двойной щелчок левой клавиши мыши по соответствующей ячейке." sqref="O79"/>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79"/>
    <dataValidation allowBlank="1" showInputMessage="1" showErrorMessage="1" prompt="Для выбора выполните двойной щелчок левой клавиши мыши по соответствующей ячейке." sqref="K79"/>
    <dataValidation type="textLength" operator="lessThanOrEqual" allowBlank="1" showInputMessage="1" showErrorMessage="1" errorTitle="Ошибка" error="Допускается ввод не более 900 символов!" sqref="J79">
      <formula1>900</formula1>
    </dataValidation>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 allowBlank="1" showInputMessage="1" showErrorMessage="1" prompt="Выберите виды деятельности, выполнив двойной щелчок левой кнопки мыши по ячейке." sqref="G109:G123 G125:G139 G79:G82 G87:G107 G13:G67"/>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98:N100 N88:N90 N93:N95 N53:N55 N109:N111 N114:N116 N130:N132 N125:N127 N58:N60 N63:N65 N103:N105 N119:N121 N135:N137 N23:N25">
      <formula1>DESCRIPTION_TERRITORY</formula1>
    </dataValidation>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88:J89 R88:R89 V88:W88 J98:J99 R98:R99 V98:W98 J93:J94 R93:R94 V93:W93 J53:J54 R53:R54 V53:W53 J109:J110 R109:R110 V109:W109 J114:J115 R114:R115 V114:W114 J130:J131 R130:R131 V130:W130 J125:J126 R125:R126 V125:W125 J58:J59 R58:R59 V58:W58 J63:J64 R63:R64 V63:W63 J103:J104 R103:R104 V103:W103 J119:J120 R119:R120 V119:W119 J135:J136 R135:R136 V135:W135 J23:J24 R23:R24 V23:W23">
      <formula1>900</formula1>
    </dataValidation>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88:K89 O88:O89 S88:S89 K98:K99 O98:O99 S98:S99 K93:K94 O93:O94 S53:S54 S93:S94 K53:K54 O53:O54 O135:O136 O109:O110 S109:S110 O114:O115 S114:S115 K109:K110 K114:K115 S103:S104 K130:K131 O130:O131 K125:K126 O125:O126 S130:S131 O119:O120 S125:S126 O58:O59 S58:S59 K58:K59 K63:K64 O63:O64 S63:S64 F79:F82 F87:F107 K103:K104 O103:O104 F109:F123 S119:S120 K119:K120 F125:F139 S135:S136 K135:K136 F13:F67 K23:K24 O23:O24 S23:S24"/>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CB26D81-4F89-9E79-9DB7-0.51BA5809}" mc:Ignorable="x14ac xr xr2 xr3">
  <sheetPr>
    <tabColor rgb="FFCCCCFF"/>
  </sheetPr>
  <dimension ref="A1:BM50"/>
  <sheetViews>
    <sheetView topLeftCell="A1" showGridLines="0" zoomScale="90" workbookViewId="0">
      <selection activeCell="A1" sqref="A1"/>
    </sheetView>
  </sheetViews>
  <sheetFormatPr defaultColWidth="9.140625" customHeight="1" defaultRowHeight="11.25"/>
  <cols>
    <col min="1" max="2" style="1851" width="9.140625" hidden="1"/>
    <col min="3" max="4" style="1851" width="3.00390625" customWidth="1"/>
    <col min="5" max="6" style="1851" width="15.00390625" customWidth="1"/>
    <col min="7" max="7" style="1851" width="11.57421875" customWidth="1"/>
    <col min="8" max="9" style="1851" width="3.00390625" customWidth="1"/>
    <col min="10" max="10" style="1851" width="12.00390625" customWidth="1"/>
    <col min="11" max="11" style="1851" width="0.28125" customWidth="1"/>
    <col min="12" max="13" style="1851" width="10.00390625" customWidth="1"/>
    <col min="14" max="15" style="1851" width="3.00390625" customWidth="1"/>
    <col min="16" max="16" style="1851" width="19.00390625" customWidth="1"/>
    <col min="17" max="17" style="1851" width="0.28125" customWidth="1"/>
    <col min="18" max="19" style="1851" width="10.00390625" customWidth="1"/>
    <col min="20" max="21" style="1851" width="3.00390625" customWidth="1"/>
    <col min="22" max="22" style="1851" width="25.00390625" customWidth="1"/>
    <col min="23" max="23" style="1851" width="0.28125" customWidth="1"/>
    <col min="24" max="25" style="1851" width="10.00390625" customWidth="1"/>
    <col min="26" max="27" style="1851" width="3.00390625" customWidth="1"/>
    <col min="28" max="28" style="1851" width="16.00390625" customWidth="1"/>
    <col min="29" max="29" style="1851" width="0.28125" customWidth="1"/>
    <col min="30" max="31" style="1851" width="10.00390625" customWidth="1"/>
    <col min="32" max="33" style="1851" width="3.00390625" customWidth="1"/>
    <col min="34" max="34" style="1851" width="8.00390625" customWidth="1"/>
    <col min="35" max="35" style="1851" width="21.00390625" customWidth="1"/>
    <col min="36" max="36" style="1851" width="8.00390625" customWidth="1"/>
    <col min="37" max="37" style="359" width="8.00390625" customWidth="1"/>
    <col min="38" max="64" style="1851" width="8.00390625" customWidth="1"/>
    <col min="65" max="65" style="1851" width="9.140625" hidden="1"/>
  </cols>
  <sheetData>
    <row s="1317" customFormat="1" customHeight="1" ht="11.25" hidden="1">
      <c r="AJ1" s="423"/>
      <c r="AK1" s="423"/>
      <c r="AL1" s="423"/>
      <c r="AM1" s="423"/>
      <c r="AN1" s="423"/>
      <c r="AO1" s="423"/>
      <c r="AP1" s="423"/>
      <c r="AQ1" s="423"/>
      <c r="AR1" s="423"/>
      <c r="AS1" s="423"/>
      <c r="AT1" s="423"/>
      <c r="AU1" s="423"/>
      <c r="AV1" s="423"/>
      <c r="AW1" s="423"/>
      <c r="AX1" s="423"/>
      <c r="AY1" s="423"/>
      <c r="AZ1" s="423"/>
      <c r="BA1" s="423"/>
      <c r="BB1" s="423"/>
      <c r="BC1" s="423"/>
      <c r="BD1" s="423"/>
      <c r="BE1" s="423"/>
      <c r="BF1" s="423"/>
      <c r="BG1" s="423"/>
      <c r="BH1" s="423"/>
      <c r="BI1" s="423"/>
      <c r="BJ1" s="423"/>
      <c r="BK1" s="423"/>
      <c r="BL1" s="423"/>
      <c r="BM1" s="420" t="s">
        <v>14</v>
      </c>
    </row>
    <row s="1554" customFormat="1" customHeight="1" ht="11.25" hidden="1">
      <c r="L2" s="1554" t="s">
        <v>291</v>
      </c>
      <c r="M2" s="1554" t="s">
        <v>292</v>
      </c>
      <c r="R2" s="1554" t="s">
        <v>293</v>
      </c>
      <c r="S2" s="1554" t="s">
        <v>292</v>
      </c>
      <c r="X2" s="1554" t="s">
        <v>291</v>
      </c>
      <c r="Y2" s="1554" t="s">
        <v>292</v>
      </c>
      <c r="AD2" s="1554" t="s">
        <v>291</v>
      </c>
      <c r="AE2" s="1554" t="s">
        <v>292</v>
      </c>
      <c r="AJ2" s="1576"/>
      <c r="AK2" s="1576"/>
      <c r="AL2" s="1576"/>
      <c r="AM2" s="1576"/>
      <c r="AN2" s="1576"/>
      <c r="AO2" s="1576"/>
      <c r="AP2" s="1576"/>
      <c r="AQ2" s="1576"/>
      <c r="AR2" s="1576"/>
      <c r="AS2" s="1576"/>
      <c r="AT2" s="1576"/>
      <c r="AU2" s="1576"/>
      <c r="AV2" s="1576"/>
      <c r="AW2" s="1576"/>
      <c r="AX2" s="1576"/>
      <c r="AY2" s="1576"/>
      <c r="AZ2" s="1576"/>
      <c r="BA2" s="1576"/>
      <c r="BB2" s="1576"/>
      <c r="BC2" s="1576"/>
      <c r="BD2" s="1576"/>
      <c r="BE2" s="1576"/>
      <c r="BF2" s="1576"/>
      <c r="BG2" s="1576"/>
      <c r="BH2" s="1576"/>
      <c r="BI2" s="1576"/>
      <c r="BJ2" s="1576"/>
      <c r="BK2" s="1576"/>
      <c r="BL2" s="1576"/>
      <c r="BM2" s="1554">
        <v>0</v>
      </c>
    </row>
    <row s="1555" customFormat="1" customHeight="1" ht="11.549999999999999">
      <c r="AJ3" s="1575"/>
      <c r="AK3" s="307"/>
      <c r="AL3" s="1575"/>
      <c r="AM3" s="1575"/>
      <c r="AN3" s="1575"/>
      <c r="AO3" s="1575"/>
      <c r="AP3" s="1575"/>
      <c r="AQ3" s="1575"/>
      <c r="AR3" s="1575"/>
      <c r="AS3" s="1575"/>
      <c r="AT3" s="1575"/>
      <c r="AU3" s="1575"/>
      <c r="AV3" s="1575"/>
      <c r="AW3" s="1575"/>
      <c r="AX3" s="1575"/>
      <c r="AY3" s="1575"/>
      <c r="AZ3" s="1575"/>
      <c r="BA3" s="1575"/>
      <c r="BB3" s="1575"/>
      <c r="BC3" s="1575"/>
      <c r="BD3" s="1575"/>
      <c r="BE3" s="1575"/>
      <c r="BF3" s="1575"/>
      <c r="BG3" s="1575"/>
      <c r="BH3" s="1575"/>
      <c r="BI3" s="1575"/>
      <c r="BJ3" s="1575"/>
      <c r="BK3" s="1575"/>
      <c r="BL3" s="1575"/>
      <c r="BM3" s="1555">
        <v>11</v>
      </c>
    </row>
    <row s="1820" customFormat="1" customHeight="1" ht="34.5">
      <c r="A4" s="1157"/>
      <c r="B4" s="1156"/>
      <c r="C4" s="1516"/>
      <c r="D4" s="2192" t="s">
        <v>294</v>
      </c>
      <c r="E4" s="2192"/>
      <c r="F4" s="2192"/>
      <c r="G4" s="2192"/>
      <c r="H4" s="2192"/>
      <c r="I4" s="2192"/>
      <c r="J4" s="2192"/>
      <c r="K4" s="700"/>
      <c r="T4" s="1556"/>
      <c r="AJ4" s="1577"/>
      <c r="AK4" s="1578"/>
      <c r="AL4" s="1577"/>
      <c r="AM4" s="1577"/>
      <c r="AN4" s="1577"/>
      <c r="AO4" s="1577"/>
      <c r="AP4" s="1577"/>
      <c r="AQ4" s="1577"/>
      <c r="AR4" s="1577"/>
      <c r="AS4" s="1577"/>
      <c r="AT4" s="1577"/>
      <c r="AU4" s="1577"/>
      <c r="AV4" s="1577"/>
      <c r="AW4" s="1577"/>
      <c r="AX4" s="1577"/>
      <c r="AY4" s="1577"/>
      <c r="AZ4" s="1577"/>
      <c r="BA4" s="1577"/>
      <c r="BB4" s="1577"/>
      <c r="BC4" s="1577"/>
      <c r="BD4" s="1577"/>
      <c r="BE4" s="1577"/>
      <c r="BF4" s="1577"/>
      <c r="BG4" s="1577"/>
      <c r="BH4" s="1577"/>
      <c r="BI4" s="1577"/>
      <c r="BJ4" s="1577"/>
      <c r="BK4" s="1577"/>
      <c r="BL4" s="1577"/>
      <c r="BM4" s="508">
        <v>33</v>
      </c>
    </row>
    <row s="1820" customFormat="1" customHeight="1" ht="14.699999999999998">
      <c r="A5" s="1633"/>
      <c r="B5" s="1632"/>
      <c r="C5" s="1516"/>
      <c r="D5" s="2177" t="str">
        <f>IF(org=0,"Не определено",org)</f>
        <v>ИМУП «ПОСЖИЛКОМСЕРВИС»</v>
      </c>
      <c r="E5" s="2177"/>
      <c r="F5" s="2177"/>
      <c r="G5" s="2177"/>
      <c r="H5" s="2177"/>
      <c r="I5" s="2177"/>
      <c r="J5" s="2177"/>
      <c r="K5" s="700"/>
      <c r="T5" s="1556"/>
      <c r="AJ5" s="1577"/>
      <c r="AK5" s="1578"/>
      <c r="AL5" s="1577"/>
      <c r="AM5" s="1577"/>
      <c r="AN5" s="1577"/>
      <c r="AO5" s="1577"/>
      <c r="AP5" s="1577"/>
      <c r="AQ5" s="1577"/>
      <c r="AR5" s="1577"/>
      <c r="AS5" s="1577"/>
      <c r="AT5" s="1577"/>
      <c r="AU5" s="1577"/>
      <c r="AV5" s="1577"/>
      <c r="AW5" s="1577"/>
      <c r="AX5" s="1577"/>
      <c r="AY5" s="1577"/>
      <c r="AZ5" s="1577"/>
      <c r="BA5" s="1577"/>
      <c r="BB5" s="1577"/>
      <c r="BC5" s="1577"/>
      <c r="BD5" s="1577"/>
      <c r="BE5" s="1577"/>
      <c r="BF5" s="1577"/>
      <c r="BG5" s="1577"/>
      <c r="BH5" s="1577"/>
      <c r="BI5" s="1577"/>
      <c r="BJ5" s="1577"/>
      <c r="BK5" s="1577"/>
      <c r="BL5" s="1577"/>
      <c r="BM5" s="1610">
        <v>14</v>
      </c>
    </row>
    <row s="1820" customFormat="1" customHeight="1" ht="14.699999999999998">
      <c r="A6" s="1157"/>
      <c r="B6" s="1156"/>
      <c r="C6" s="1516"/>
      <c r="D6" s="700"/>
      <c r="E6" s="700"/>
      <c r="F6" s="700"/>
      <c r="G6" s="700"/>
      <c r="H6" s="700"/>
      <c r="I6" s="700"/>
      <c r="J6" s="700"/>
      <c r="K6" s="700"/>
      <c r="T6" s="1556"/>
      <c r="AJ6" s="1577"/>
      <c r="AK6" s="1578"/>
      <c r="AL6" s="1577"/>
      <c r="AM6" s="1577"/>
      <c r="AN6" s="1577"/>
      <c r="AO6" s="1577"/>
      <c r="AP6" s="1577"/>
      <c r="AQ6" s="1577"/>
      <c r="AR6" s="1577"/>
      <c r="AS6" s="1577"/>
      <c r="AT6" s="1577"/>
      <c r="AU6" s="1577"/>
      <c r="AV6" s="1577"/>
      <c r="AW6" s="1577"/>
      <c r="AX6" s="1577"/>
      <c r="AY6" s="1577"/>
      <c r="AZ6" s="1577"/>
      <c r="BA6" s="1577"/>
      <c r="BB6" s="1577"/>
      <c r="BC6" s="1577"/>
      <c r="BD6" s="1577"/>
      <c r="BE6" s="1577"/>
      <c r="BF6" s="1577"/>
      <c r="BG6" s="1577"/>
      <c r="BH6" s="1577"/>
      <c r="BI6" s="1577"/>
      <c r="BJ6" s="1577"/>
      <c r="BK6" s="1577"/>
      <c r="BL6" s="1577"/>
      <c r="BM6" s="508">
        <v>14</v>
      </c>
    </row>
    <row s="1317" customFormat="1" customHeight="1" ht="1.05">
      <c r="AJ7" s="423"/>
      <c r="AK7" s="423"/>
      <c r="AL7" s="423"/>
      <c r="AM7" s="423"/>
      <c r="AN7" s="423"/>
      <c r="AO7" s="423"/>
      <c r="AP7" s="423"/>
      <c r="AQ7" s="423"/>
      <c r="AR7" s="423"/>
      <c r="AS7" s="423"/>
      <c r="AT7" s="423"/>
      <c r="AU7" s="423"/>
      <c r="AV7" s="423"/>
      <c r="AW7" s="423"/>
      <c r="AX7" s="423"/>
      <c r="AY7" s="423"/>
      <c r="AZ7" s="423"/>
      <c r="BA7" s="423"/>
      <c r="BB7" s="423"/>
      <c r="BC7" s="423"/>
      <c r="BD7" s="423"/>
      <c r="BE7" s="423"/>
      <c r="BF7" s="423"/>
      <c r="BG7" s="423"/>
      <c r="BH7" s="423"/>
      <c r="BI7" s="423"/>
      <c r="BJ7" s="423"/>
      <c r="BK7" s="423"/>
      <c r="BL7" s="423"/>
      <c r="BM7" s="420">
        <v>1</v>
      </c>
    </row>
    <row customHeight="1" ht="33.75">
      <c r="D8" s="2128" t="s">
        <v>90</v>
      </c>
      <c r="E8" s="2128" t="s">
        <v>108</v>
      </c>
      <c r="F8" s="2193" t="s">
        <v>125</v>
      </c>
      <c r="G8" s="2194"/>
      <c r="H8" s="2193" t="s">
        <v>90</v>
      </c>
      <c r="I8" s="2194"/>
      <c r="J8" s="2128" t="s">
        <v>126</v>
      </c>
      <c r="K8" s="1557"/>
      <c r="L8" s="2197" t="s">
        <v>295</v>
      </c>
      <c r="M8" s="2197"/>
      <c r="N8" s="2197"/>
      <c r="O8" s="2197"/>
      <c r="P8" s="2197"/>
      <c r="Q8" s="1558"/>
      <c r="R8" s="2097" t="s">
        <v>296</v>
      </c>
      <c r="S8" s="2198"/>
      <c r="T8" s="2198"/>
      <c r="U8" s="2198"/>
      <c r="V8" s="2198"/>
      <c r="W8" s="1558"/>
      <c r="X8" s="2199" t="s">
        <v>297</v>
      </c>
      <c r="Y8" s="2199"/>
      <c r="Z8" s="2199"/>
      <c r="AA8" s="2199"/>
      <c r="AB8" s="2199"/>
      <c r="AC8" s="1559"/>
      <c r="AD8" s="2128" t="s">
        <v>298</v>
      </c>
      <c r="AE8" s="2128"/>
      <c r="AF8" s="2128"/>
      <c r="AG8" s="2128"/>
      <c r="AH8" s="2102"/>
      <c r="AI8" s="2128" t="s">
        <v>299</v>
      </c>
      <c r="AJ8" s="1575"/>
      <c r="BM8" s="294">
        <v>32</v>
      </c>
    </row>
    <row customHeight="1" ht="23.25">
      <c r="D9" s="2128"/>
      <c r="E9" s="2128"/>
      <c r="F9" s="2176" t="s">
        <v>91</v>
      </c>
      <c r="G9" s="2176" t="s">
        <v>131</v>
      </c>
      <c r="H9" s="2195"/>
      <c r="I9" s="2196"/>
      <c r="J9" s="2102"/>
      <c r="K9" s="1560"/>
      <c r="L9" s="2128" t="s">
        <v>300</v>
      </c>
      <c r="M9" s="2102"/>
      <c r="N9" s="2193" t="s">
        <v>90</v>
      </c>
      <c r="O9" s="2194"/>
      <c r="P9" s="2128" t="s">
        <v>132</v>
      </c>
      <c r="Q9" s="1557"/>
      <c r="R9" s="2128" t="s">
        <v>300</v>
      </c>
      <c r="S9" s="2102"/>
      <c r="T9" s="2193" t="s">
        <v>90</v>
      </c>
      <c r="U9" s="2194"/>
      <c r="V9" s="2128" t="s">
        <v>132</v>
      </c>
      <c r="W9" s="1557"/>
      <c r="X9" s="2128" t="s">
        <v>300</v>
      </c>
      <c r="Y9" s="2102"/>
      <c r="Z9" s="2193" t="s">
        <v>90</v>
      </c>
      <c r="AA9" s="2194"/>
      <c r="AB9" s="2128" t="s">
        <v>301</v>
      </c>
      <c r="AC9" s="1557"/>
      <c r="AD9" s="2128" t="s">
        <v>300</v>
      </c>
      <c r="AE9" s="2102"/>
      <c r="AF9" s="2193" t="s">
        <v>90</v>
      </c>
      <c r="AG9" s="2194"/>
      <c r="AH9" s="2102" t="s">
        <v>301</v>
      </c>
      <c r="AI9" s="2128"/>
      <c r="AJ9" s="1575"/>
      <c r="BM9" s="294">
        <v>22</v>
      </c>
    </row>
    <row customHeight="1" ht="24">
      <c r="D10" s="2176"/>
      <c r="E10" s="2176"/>
      <c r="F10" s="2200"/>
      <c r="G10" s="2200"/>
      <c r="H10" s="2201"/>
      <c r="I10" s="2202"/>
      <c r="J10" s="2193"/>
      <c r="K10" s="1560"/>
      <c r="L10" s="1579" t="s">
        <v>302</v>
      </c>
      <c r="M10" s="1574" t="s">
        <v>303</v>
      </c>
      <c r="N10" s="2195"/>
      <c r="O10" s="2196"/>
      <c r="P10" s="2176"/>
      <c r="Q10" s="1557"/>
      <c r="R10" s="1579" t="s">
        <v>302</v>
      </c>
      <c r="S10" s="1574" t="s">
        <v>303</v>
      </c>
      <c r="T10" s="2195"/>
      <c r="U10" s="2196"/>
      <c r="V10" s="2176"/>
      <c r="W10" s="1557"/>
      <c r="X10" s="1579" t="s">
        <v>302</v>
      </c>
      <c r="Y10" s="1574" t="s">
        <v>303</v>
      </c>
      <c r="Z10" s="2195"/>
      <c r="AA10" s="2196"/>
      <c r="AB10" s="2176"/>
      <c r="AC10" s="1557"/>
      <c r="AD10" s="1579" t="s">
        <v>302</v>
      </c>
      <c r="AE10" s="1574" t="s">
        <v>303</v>
      </c>
      <c r="AF10" s="2195"/>
      <c r="AG10" s="2196"/>
      <c r="AH10" s="2193"/>
      <c r="AI10" s="2176"/>
      <c r="AJ10" s="1575"/>
      <c r="AK10" s="255" t="s">
        <v>304</v>
      </c>
      <c r="AL10" s="255" t="s">
        <v>133</v>
      </c>
      <c r="BM10" s="294">
        <v>23</v>
      </c>
    </row>
    <row customHeight="1" ht="15">
      <c r="D11" s="2184" t="s">
        <v>112</v>
      </c>
      <c r="E11" s="2180" t="s">
        <v>305</v>
      </c>
      <c r="F11" s="2180" t="s">
        <v>306</v>
      </c>
      <c r="G11" s="2186" t="s">
        <v>19</v>
      </c>
      <c r="H11" s="1600"/>
      <c r="I11" s="2182"/>
      <c r="J11" s="2153"/>
      <c r="K11" s="1515"/>
      <c r="L11" s="2138"/>
      <c r="M11" s="2138"/>
      <c r="N11" s="1585"/>
      <c r="O11" s="2138"/>
      <c r="P11" s="2153"/>
      <c r="Q11" s="1586"/>
      <c r="R11" s="2138"/>
      <c r="S11" s="2138"/>
      <c r="T11" s="1587"/>
      <c r="U11" s="2138"/>
      <c r="V11" s="2153"/>
      <c r="W11" s="1588"/>
      <c r="X11" s="2138"/>
      <c r="Y11" s="2138"/>
      <c r="Z11" s="1585"/>
      <c r="AA11" s="2138"/>
      <c r="AB11" s="2153"/>
      <c r="AC11" s="1589"/>
      <c r="AD11" s="2138"/>
      <c r="AE11" s="2138"/>
      <c r="AF11" s="1514"/>
      <c r="AG11" s="1514"/>
      <c r="AH11" s="1590"/>
      <c r="AI11" s="1297"/>
      <c r="AJ11" s="1575"/>
      <c r="BM11" s="294">
        <v>14</v>
      </c>
    </row>
    <row customHeight="1" ht="14.699999999999998">
      <c r="D12" s="2184"/>
      <c r="E12" s="2180"/>
      <c r="F12" s="2180"/>
      <c r="G12" s="2187"/>
      <c r="H12" s="1601"/>
      <c r="I12" s="2183"/>
      <c r="J12" s="2154"/>
      <c r="K12" s="1611"/>
      <c r="L12" s="2139"/>
      <c r="M12" s="2139"/>
      <c r="N12" s="1591"/>
      <c r="O12" s="2139"/>
      <c r="P12" s="2154"/>
      <c r="Q12" s="1592"/>
      <c r="R12" s="2139"/>
      <c r="S12" s="2139"/>
      <c r="T12" s="1593"/>
      <c r="U12" s="2139"/>
      <c r="V12" s="2154"/>
      <c r="W12" s="1594"/>
      <c r="X12" s="2139"/>
      <c r="Y12" s="2139"/>
      <c r="Z12" s="1591"/>
      <c r="AA12" s="2139"/>
      <c r="AB12" s="2154"/>
      <c r="AC12" s="1595"/>
      <c r="AD12" s="2139"/>
      <c r="AE12" s="2139"/>
      <c r="AF12" s="1596"/>
      <c r="AG12" s="1596"/>
      <c r="AH12" s="2178"/>
      <c r="AI12" s="2179"/>
      <c r="AJ12" s="1575"/>
      <c r="BM12" s="294">
        <v>14</v>
      </c>
    </row>
    <row customHeight="1" ht="14.699999999999998">
      <c r="D13" s="2184"/>
      <c r="E13" s="2180"/>
      <c r="F13" s="2180"/>
      <c r="G13" s="2187"/>
      <c r="H13" s="1601"/>
      <c r="I13" s="2183"/>
      <c r="J13" s="2154"/>
      <c r="K13" s="1611"/>
      <c r="L13" s="2139"/>
      <c r="M13" s="2139"/>
      <c r="N13" s="1591"/>
      <c r="O13" s="2139"/>
      <c r="P13" s="2154"/>
      <c r="Q13" s="1592"/>
      <c r="R13" s="2139"/>
      <c r="S13" s="2139"/>
      <c r="T13" s="1593"/>
      <c r="U13" s="2139"/>
      <c r="V13" s="2154"/>
      <c r="W13" s="1594"/>
      <c r="X13" s="2139"/>
      <c r="Y13" s="2139"/>
      <c r="Z13" s="1513"/>
      <c r="AA13" s="1596"/>
      <c r="AB13" s="2178"/>
      <c r="AC13" s="2178"/>
      <c r="AD13" s="2178"/>
      <c r="AE13" s="2178"/>
      <c r="AF13" s="2178"/>
      <c r="AG13" s="2178"/>
      <c r="AH13" s="2178"/>
      <c r="AI13" s="2179"/>
      <c r="AJ13" s="1575"/>
      <c r="BM13" s="294">
        <v>14</v>
      </c>
    </row>
    <row customHeight="1" ht="14.699999999999998">
      <c r="D14" s="2184"/>
      <c r="E14" s="2180"/>
      <c r="F14" s="2180"/>
      <c r="G14" s="2187"/>
      <c r="H14" s="1601"/>
      <c r="I14" s="2183"/>
      <c r="J14" s="2154"/>
      <c r="K14" s="1611"/>
      <c r="L14" s="2139"/>
      <c r="M14" s="2139"/>
      <c r="N14" s="1591"/>
      <c r="O14" s="2139"/>
      <c r="P14" s="2154"/>
      <c r="Q14" s="1592"/>
      <c r="R14" s="2139"/>
      <c r="S14" s="2139"/>
      <c r="T14" s="1597"/>
      <c r="U14" s="1598"/>
      <c r="V14" s="2178"/>
      <c r="W14" s="2178"/>
      <c r="X14" s="2178"/>
      <c r="Y14" s="2178"/>
      <c r="Z14" s="2178"/>
      <c r="AA14" s="2178"/>
      <c r="AB14" s="2178"/>
      <c r="AC14" s="2178"/>
      <c r="AD14" s="2178"/>
      <c r="AE14" s="2178"/>
      <c r="AF14" s="2178"/>
      <c r="AG14" s="2178"/>
      <c r="AH14" s="2178"/>
      <c r="AI14" s="2179"/>
      <c r="AJ14" s="1575"/>
      <c r="BM14" s="294">
        <v>14</v>
      </c>
    </row>
    <row customHeight="1" ht="11.549999999999999">
      <c r="D15" s="2184"/>
      <c r="E15" s="2180"/>
      <c r="F15" s="2180"/>
      <c r="G15" s="2187"/>
      <c r="H15" s="1602"/>
      <c r="I15" s="2183"/>
      <c r="J15" s="2154"/>
      <c r="K15" s="1611"/>
      <c r="L15" s="2139"/>
      <c r="M15" s="2139"/>
      <c r="N15" s="1596"/>
      <c r="O15" s="1596"/>
      <c r="P15" s="2178"/>
      <c r="Q15" s="2178"/>
      <c r="R15" s="2178"/>
      <c r="S15" s="2178"/>
      <c r="T15" s="2178"/>
      <c r="U15" s="2178"/>
      <c r="V15" s="2178"/>
      <c r="W15" s="2178"/>
      <c r="X15" s="2178"/>
      <c r="Y15" s="2178"/>
      <c r="Z15" s="2178"/>
      <c r="AA15" s="2178"/>
      <c r="AB15" s="2178"/>
      <c r="AC15" s="2178"/>
      <c r="AD15" s="2178"/>
      <c r="AE15" s="2178"/>
      <c r="AF15" s="2178"/>
      <c r="AG15" s="2178"/>
      <c r="AH15" s="2178"/>
      <c r="AI15" s="2179"/>
      <c r="AJ15" s="1575"/>
      <c r="BM15" s="294">
        <v>11</v>
      </c>
    </row>
    <row s="1555" customFormat="1" customHeight="1" ht="11.549999999999999">
      <c r="D16" s="2190"/>
      <c r="E16" s="2191"/>
      <c r="F16" s="2181"/>
      <c r="G16" s="2113"/>
      <c r="H16" s="1599"/>
      <c r="I16" s="1603"/>
      <c r="J16" s="2188"/>
      <c r="K16" s="2188"/>
      <c r="L16" s="2188"/>
      <c r="M16" s="2188"/>
      <c r="N16" s="2188"/>
      <c r="O16" s="2188"/>
      <c r="P16" s="2188"/>
      <c r="Q16" s="2188"/>
      <c r="R16" s="2188"/>
      <c r="S16" s="2188"/>
      <c r="T16" s="2188"/>
      <c r="U16" s="2188"/>
      <c r="V16" s="2188"/>
      <c r="W16" s="2188"/>
      <c r="X16" s="2188"/>
      <c r="Y16" s="2188"/>
      <c r="Z16" s="2188"/>
      <c r="AA16" s="2188"/>
      <c r="AB16" s="2188"/>
      <c r="AC16" s="2188"/>
      <c r="AD16" s="2188"/>
      <c r="AE16" s="2188"/>
      <c r="AF16" s="2188"/>
      <c r="AG16" s="2188"/>
      <c r="AH16" s="2188"/>
      <c r="AI16" s="2189"/>
      <c r="AJ16" s="1575"/>
      <c r="AK16" s="307"/>
      <c r="AL16" s="1575"/>
      <c r="AM16" s="1575"/>
      <c r="AN16" s="1575"/>
      <c r="AO16" s="1575"/>
      <c r="AP16" s="1575"/>
      <c r="AQ16" s="1575"/>
      <c r="AR16" s="1575"/>
      <c r="AS16" s="1575"/>
      <c r="AT16" s="1575"/>
      <c r="AU16" s="1575"/>
      <c r="AV16" s="1575"/>
      <c r="AW16" s="1575"/>
      <c r="AX16" s="1575"/>
      <c r="AY16" s="1575"/>
      <c r="AZ16" s="1575"/>
      <c r="BA16" s="1575"/>
      <c r="BB16" s="1575"/>
      <c r="BC16" s="1575"/>
      <c r="BD16" s="1575"/>
      <c r="BE16" s="1575"/>
      <c r="BF16" s="1575"/>
      <c r="BG16" s="1575"/>
      <c r="BH16" s="1575"/>
      <c r="BI16" s="1575"/>
      <c r="BJ16" s="1575"/>
      <c r="BK16" s="1575"/>
      <c r="BL16" s="1575"/>
      <c r="BM16" s="1555">
        <v>11</v>
      </c>
    </row>
    <row customHeight="1" ht="15">
      <c r="D17" s="2184" t="s">
        <v>113</v>
      </c>
      <c r="E17" s="2180" t="s">
        <v>305</v>
      </c>
      <c r="F17" s="2180" t="s">
        <v>307</v>
      </c>
      <c r="G17" s="2186" t="s">
        <v>19</v>
      </c>
      <c r="H17" s="1600"/>
      <c r="I17" s="2182"/>
      <c r="J17" s="2153"/>
      <c r="K17" s="1515"/>
      <c r="L17" s="2138"/>
      <c r="M17" s="2138"/>
      <c r="N17" s="1585"/>
      <c r="O17" s="2138"/>
      <c r="P17" s="2153"/>
      <c r="Q17" s="1586"/>
      <c r="R17" s="2138"/>
      <c r="S17" s="2138"/>
      <c r="T17" s="1587"/>
      <c r="U17" s="2138"/>
      <c r="V17" s="2153"/>
      <c r="W17" s="1588"/>
      <c r="X17" s="2138"/>
      <c r="Y17" s="2138"/>
      <c r="Z17" s="1585"/>
      <c r="AA17" s="2138"/>
      <c r="AB17" s="2153"/>
      <c r="AC17" s="1589"/>
      <c r="AD17" s="2138"/>
      <c r="AE17" s="2138"/>
      <c r="AF17" s="1514"/>
      <c r="AG17" s="1514"/>
      <c r="AH17" s="1590"/>
      <c r="AI17" s="1297"/>
      <c r="AJ17" s="1575"/>
      <c r="BM17" s="294">
        <v>14</v>
      </c>
    </row>
    <row customHeight="1" ht="14.699999999999998">
      <c r="D18" s="2184"/>
      <c r="E18" s="2180"/>
      <c r="F18" s="2180"/>
      <c r="G18" s="2187"/>
      <c r="H18" s="1601"/>
      <c r="I18" s="2183"/>
      <c r="J18" s="2154"/>
      <c r="K18" s="1584"/>
      <c r="L18" s="2139"/>
      <c r="M18" s="2139"/>
      <c r="N18" s="1591"/>
      <c r="O18" s="2139"/>
      <c r="P18" s="2154"/>
      <c r="Q18" s="1592"/>
      <c r="R18" s="2139"/>
      <c r="S18" s="2139"/>
      <c r="T18" s="1593"/>
      <c r="U18" s="2139"/>
      <c r="V18" s="2154"/>
      <c r="W18" s="1594"/>
      <c r="X18" s="2139"/>
      <c r="Y18" s="2139"/>
      <c r="Z18" s="1591"/>
      <c r="AA18" s="2139"/>
      <c r="AB18" s="2154"/>
      <c r="AC18" s="1595"/>
      <c r="AD18" s="2139"/>
      <c r="AE18" s="2139"/>
      <c r="AF18" s="1596"/>
      <c r="AG18" s="1596"/>
      <c r="AH18" s="2178"/>
      <c r="AI18" s="2179"/>
      <c r="AJ18" s="1575"/>
      <c r="BM18" s="294">
        <v>14</v>
      </c>
    </row>
    <row customHeight="1" ht="14.699999999999998">
      <c r="D19" s="2184"/>
      <c r="E19" s="2180"/>
      <c r="F19" s="2180"/>
      <c r="G19" s="2187"/>
      <c r="H19" s="1601"/>
      <c r="I19" s="2183"/>
      <c r="J19" s="2154"/>
      <c r="K19" s="1584"/>
      <c r="L19" s="2139"/>
      <c r="M19" s="2139"/>
      <c r="N19" s="1591"/>
      <c r="O19" s="2139"/>
      <c r="P19" s="2154"/>
      <c r="Q19" s="1592"/>
      <c r="R19" s="2139"/>
      <c r="S19" s="2139"/>
      <c r="T19" s="1593"/>
      <c r="U19" s="2139"/>
      <c r="V19" s="2154"/>
      <c r="W19" s="1594"/>
      <c r="X19" s="2139"/>
      <c r="Y19" s="2139"/>
      <c r="Z19" s="1513"/>
      <c r="AA19" s="1596"/>
      <c r="AB19" s="2178"/>
      <c r="AC19" s="2178"/>
      <c r="AD19" s="2178"/>
      <c r="AE19" s="2178"/>
      <c r="AF19" s="2178"/>
      <c r="AG19" s="2178"/>
      <c r="AH19" s="2178"/>
      <c r="AI19" s="2179"/>
      <c r="AJ19" s="1575"/>
      <c r="BM19" s="294">
        <v>14</v>
      </c>
    </row>
    <row customHeight="1" ht="14.699999999999998">
      <c r="D20" s="2184"/>
      <c r="E20" s="2180"/>
      <c r="F20" s="2180"/>
      <c r="G20" s="2187"/>
      <c r="H20" s="1601"/>
      <c r="I20" s="2183"/>
      <c r="J20" s="2154"/>
      <c r="K20" s="1584"/>
      <c r="L20" s="2139"/>
      <c r="M20" s="2139"/>
      <c r="N20" s="1591"/>
      <c r="O20" s="2139"/>
      <c r="P20" s="2154"/>
      <c r="Q20" s="1592"/>
      <c r="R20" s="2139"/>
      <c r="S20" s="2139"/>
      <c r="T20" s="1597"/>
      <c r="U20" s="1598"/>
      <c r="V20" s="2178"/>
      <c r="W20" s="2178"/>
      <c r="X20" s="2178"/>
      <c r="Y20" s="2178"/>
      <c r="Z20" s="2178"/>
      <c r="AA20" s="2178"/>
      <c r="AB20" s="2178"/>
      <c r="AC20" s="2178"/>
      <c r="AD20" s="2178"/>
      <c r="AE20" s="2178"/>
      <c r="AF20" s="2178"/>
      <c r="AG20" s="2178"/>
      <c r="AH20" s="2178"/>
      <c r="AI20" s="2179"/>
      <c r="AJ20" s="1575"/>
      <c r="BM20" s="294">
        <v>14</v>
      </c>
    </row>
    <row customHeight="1" ht="11.549999999999999">
      <c r="D21" s="2184"/>
      <c r="E21" s="2180"/>
      <c r="F21" s="2180"/>
      <c r="G21" s="2187"/>
      <c r="H21" s="1602"/>
      <c r="I21" s="2183"/>
      <c r="J21" s="2154"/>
      <c r="K21" s="1584"/>
      <c r="L21" s="2139"/>
      <c r="M21" s="2139"/>
      <c r="N21" s="1596"/>
      <c r="O21" s="1596"/>
      <c r="P21" s="2178"/>
      <c r="Q21" s="2178"/>
      <c r="R21" s="2178"/>
      <c r="S21" s="2178"/>
      <c r="T21" s="2178"/>
      <c r="U21" s="2178"/>
      <c r="V21" s="2178"/>
      <c r="W21" s="2178"/>
      <c r="X21" s="2178"/>
      <c r="Y21" s="2178"/>
      <c r="Z21" s="2178"/>
      <c r="AA21" s="2178"/>
      <c r="AB21" s="2178"/>
      <c r="AC21" s="2178"/>
      <c r="AD21" s="2178"/>
      <c r="AE21" s="2178"/>
      <c r="AF21" s="2178"/>
      <c r="AG21" s="2178"/>
      <c r="AH21" s="2178"/>
      <c r="AI21" s="2179"/>
      <c r="AJ21" s="1575"/>
      <c r="BM21" s="294">
        <v>11</v>
      </c>
    </row>
    <row s="1555" customFormat="1" customHeight="1" ht="11.549999999999999">
      <c r="D22" s="2190"/>
      <c r="E22" s="2191"/>
      <c r="F22" s="2181"/>
      <c r="G22" s="2113"/>
      <c r="H22" s="1599"/>
      <c r="I22" s="1603"/>
      <c r="J22" s="2188"/>
      <c r="K22" s="2188"/>
      <c r="L22" s="2188"/>
      <c r="M22" s="2188"/>
      <c r="N22" s="2188"/>
      <c r="O22" s="2188"/>
      <c r="P22" s="2188"/>
      <c r="Q22" s="2188"/>
      <c r="R22" s="2188"/>
      <c r="S22" s="2188"/>
      <c r="T22" s="2188"/>
      <c r="U22" s="2188"/>
      <c r="V22" s="2188"/>
      <c r="W22" s="2188"/>
      <c r="X22" s="2188"/>
      <c r="Y22" s="2188"/>
      <c r="Z22" s="2188"/>
      <c r="AA22" s="2188"/>
      <c r="AB22" s="2188"/>
      <c r="AC22" s="2188"/>
      <c r="AD22" s="2188"/>
      <c r="AE22" s="2188"/>
      <c r="AF22" s="2188"/>
      <c r="AG22" s="2188"/>
      <c r="AH22" s="2188"/>
      <c r="AI22" s="2189"/>
      <c r="AJ22" s="1575"/>
      <c r="AK22" s="307"/>
      <c r="AL22" s="1575"/>
      <c r="AM22" s="1575"/>
      <c r="AN22" s="1575"/>
      <c r="AO22" s="1575"/>
      <c r="AP22" s="1575"/>
      <c r="AQ22" s="1575"/>
      <c r="AR22" s="1575"/>
      <c r="AS22" s="1575"/>
      <c r="AT22" s="1575"/>
      <c r="AU22" s="1575"/>
      <c r="AV22" s="1575"/>
      <c r="AW22" s="1575"/>
      <c r="AX22" s="1575"/>
      <c r="AY22" s="1575"/>
      <c r="AZ22" s="1575"/>
      <c r="BA22" s="1575"/>
      <c r="BB22" s="1575"/>
      <c r="BC22" s="1575"/>
      <c r="BD22" s="1575"/>
      <c r="BE22" s="1575"/>
      <c r="BF22" s="1575"/>
      <c r="BG22" s="1575"/>
      <c r="BH22" s="1575"/>
      <c r="BI22" s="1575"/>
      <c r="BJ22" s="1575"/>
      <c r="BK22" s="1575"/>
      <c r="BL22" s="1575"/>
      <c r="BM22" s="1555">
        <v>11</v>
      </c>
    </row>
    <row customHeight="1" ht="15">
      <c r="D23" s="2184" t="s">
        <v>92</v>
      </c>
      <c r="E23" s="2180" t="s">
        <v>305</v>
      </c>
      <c r="F23" s="2180" t="s">
        <v>308</v>
      </c>
      <c r="G23" s="2186" t="s">
        <v>19</v>
      </c>
      <c r="H23" s="1600"/>
      <c r="I23" s="2182"/>
      <c r="J23" s="2153"/>
      <c r="K23" s="1515"/>
      <c r="L23" s="2138"/>
      <c r="M23" s="2138"/>
      <c r="N23" s="1585"/>
      <c r="O23" s="2138"/>
      <c r="P23" s="2153"/>
      <c r="Q23" s="1586"/>
      <c r="R23" s="2138"/>
      <c r="S23" s="2138"/>
      <c r="T23" s="1587"/>
      <c r="U23" s="2138"/>
      <c r="V23" s="2153"/>
      <c r="W23" s="1588"/>
      <c r="X23" s="2138"/>
      <c r="Y23" s="2138"/>
      <c r="Z23" s="1585"/>
      <c r="AA23" s="2138"/>
      <c r="AB23" s="2153"/>
      <c r="AC23" s="1589"/>
      <c r="AD23" s="2138"/>
      <c r="AE23" s="2138"/>
      <c r="AF23" s="1514"/>
      <c r="AG23" s="1514"/>
      <c r="AH23" s="1590"/>
      <c r="AI23" s="1297"/>
      <c r="AJ23" s="1575"/>
      <c r="AK23" s="307" t="s">
        <v>100</v>
      </c>
      <c r="BM23" s="294">
        <v>14</v>
      </c>
    </row>
    <row customHeight="1" ht="14.699999999999998">
      <c r="D24" s="2184"/>
      <c r="E24" s="2180"/>
      <c r="F24" s="2180"/>
      <c r="G24" s="2187"/>
      <c r="H24" s="1601"/>
      <c r="I24" s="2183"/>
      <c r="J24" s="2154"/>
      <c r="K24" s="1611"/>
      <c r="L24" s="2139"/>
      <c r="M24" s="2139"/>
      <c r="N24" s="1591"/>
      <c r="O24" s="2139"/>
      <c r="P24" s="2154"/>
      <c r="Q24" s="1592"/>
      <c r="R24" s="2139"/>
      <c r="S24" s="2139"/>
      <c r="T24" s="1593"/>
      <c r="U24" s="2139"/>
      <c r="V24" s="2154"/>
      <c r="W24" s="1594"/>
      <c r="X24" s="2139"/>
      <c r="Y24" s="2139"/>
      <c r="Z24" s="1591"/>
      <c r="AA24" s="2139"/>
      <c r="AB24" s="2154"/>
      <c r="AC24" s="1595"/>
      <c r="AD24" s="2139"/>
      <c r="AE24" s="2139"/>
      <c r="AF24" s="1596"/>
      <c r="AG24" s="1596"/>
      <c r="AH24" s="2178"/>
      <c r="AI24" s="2179"/>
      <c r="AJ24" s="1575"/>
      <c r="BM24" s="294">
        <v>14</v>
      </c>
    </row>
    <row customHeight="1" ht="14.699999999999998">
      <c r="D25" s="2184"/>
      <c r="E25" s="2180"/>
      <c r="F25" s="2180"/>
      <c r="G25" s="2187"/>
      <c r="H25" s="1601"/>
      <c r="I25" s="2183"/>
      <c r="J25" s="2154"/>
      <c r="K25" s="1611"/>
      <c r="L25" s="2139"/>
      <c r="M25" s="2139"/>
      <c r="N25" s="1591"/>
      <c r="O25" s="2139"/>
      <c r="P25" s="2154"/>
      <c r="Q25" s="1592"/>
      <c r="R25" s="2139"/>
      <c r="S25" s="2139"/>
      <c r="T25" s="1593"/>
      <c r="U25" s="2139"/>
      <c r="V25" s="2154"/>
      <c r="W25" s="1594"/>
      <c r="X25" s="2139"/>
      <c r="Y25" s="2139"/>
      <c r="Z25" s="1513"/>
      <c r="AA25" s="1596"/>
      <c r="AB25" s="2178"/>
      <c r="AC25" s="2178"/>
      <c r="AD25" s="2178"/>
      <c r="AE25" s="2178"/>
      <c r="AF25" s="2178"/>
      <c r="AG25" s="2178"/>
      <c r="AH25" s="2178"/>
      <c r="AI25" s="2179"/>
      <c r="AJ25" s="1575"/>
      <c r="BM25" s="294">
        <v>14</v>
      </c>
    </row>
    <row customHeight="1" ht="14.699999999999998">
      <c r="D26" s="2184"/>
      <c r="E26" s="2180"/>
      <c r="F26" s="2180"/>
      <c r="G26" s="2187"/>
      <c r="H26" s="1601"/>
      <c r="I26" s="2183"/>
      <c r="J26" s="2154"/>
      <c r="K26" s="1611"/>
      <c r="L26" s="2139"/>
      <c r="M26" s="2139"/>
      <c r="N26" s="1591"/>
      <c r="O26" s="2139"/>
      <c r="P26" s="2154"/>
      <c r="Q26" s="1592"/>
      <c r="R26" s="2139"/>
      <c r="S26" s="2139"/>
      <c r="T26" s="1597"/>
      <c r="U26" s="1598"/>
      <c r="V26" s="2178"/>
      <c r="W26" s="2178"/>
      <c r="X26" s="2178"/>
      <c r="Y26" s="2178"/>
      <c r="Z26" s="2178"/>
      <c r="AA26" s="2178"/>
      <c r="AB26" s="2178"/>
      <c r="AC26" s="2178"/>
      <c r="AD26" s="2178"/>
      <c r="AE26" s="2178"/>
      <c r="AF26" s="2178"/>
      <c r="AG26" s="2178"/>
      <c r="AH26" s="2178"/>
      <c r="AI26" s="2179"/>
      <c r="AJ26" s="1575"/>
      <c r="BM26" s="294">
        <v>14</v>
      </c>
    </row>
    <row customHeight="1" ht="11.549999999999999">
      <c r="D27" s="2184"/>
      <c r="E27" s="2180"/>
      <c r="F27" s="2180"/>
      <c r="G27" s="2187"/>
      <c r="H27" s="1602"/>
      <c r="I27" s="2183"/>
      <c r="J27" s="2154"/>
      <c r="K27" s="1611"/>
      <c r="L27" s="2139"/>
      <c r="M27" s="2139"/>
      <c r="N27" s="1596"/>
      <c r="O27" s="1596"/>
      <c r="P27" s="2178"/>
      <c r="Q27" s="2178"/>
      <c r="R27" s="2178"/>
      <c r="S27" s="2178"/>
      <c r="T27" s="2178"/>
      <c r="U27" s="2178"/>
      <c r="V27" s="2178"/>
      <c r="W27" s="2178"/>
      <c r="X27" s="2178"/>
      <c r="Y27" s="2178"/>
      <c r="Z27" s="2178"/>
      <c r="AA27" s="2178"/>
      <c r="AB27" s="2178"/>
      <c r="AC27" s="2178"/>
      <c r="AD27" s="2178"/>
      <c r="AE27" s="2178"/>
      <c r="AF27" s="2178"/>
      <c r="AG27" s="2178"/>
      <c r="AH27" s="2178"/>
      <c r="AI27" s="2179"/>
      <c r="AJ27" s="1575"/>
      <c r="BM27" s="294">
        <v>11</v>
      </c>
    </row>
    <row s="1555" customFormat="1" customHeight="1" ht="11.549999999999999">
      <c r="D28" s="2190"/>
      <c r="E28" s="2191"/>
      <c r="F28" s="2181"/>
      <c r="G28" s="2113"/>
      <c r="H28" s="1599"/>
      <c r="I28" s="1603"/>
      <c r="J28" s="2188"/>
      <c r="K28" s="2188"/>
      <c r="L28" s="2188"/>
      <c r="M28" s="2188"/>
      <c r="N28" s="2188"/>
      <c r="O28" s="2188"/>
      <c r="P28" s="2188"/>
      <c r="Q28" s="2188"/>
      <c r="R28" s="2188"/>
      <c r="S28" s="2188"/>
      <c r="T28" s="2188"/>
      <c r="U28" s="2188"/>
      <c r="V28" s="2188"/>
      <c r="W28" s="2188"/>
      <c r="X28" s="2188"/>
      <c r="Y28" s="2188"/>
      <c r="Z28" s="2188"/>
      <c r="AA28" s="2188"/>
      <c r="AB28" s="2188"/>
      <c r="AC28" s="2188"/>
      <c r="AD28" s="2188"/>
      <c r="AE28" s="2188"/>
      <c r="AF28" s="2188"/>
      <c r="AG28" s="2188"/>
      <c r="AH28" s="2188"/>
      <c r="AI28" s="2189"/>
      <c r="AJ28" s="1575"/>
      <c r="AK28" s="307"/>
      <c r="AL28" s="1575"/>
      <c r="AM28" s="1575"/>
      <c r="AN28" s="1575"/>
      <c r="AO28" s="1575"/>
      <c r="AP28" s="1575"/>
      <c r="AQ28" s="1575"/>
      <c r="AR28" s="1575"/>
      <c r="AS28" s="1575"/>
      <c r="AT28" s="1575"/>
      <c r="AU28" s="1575"/>
      <c r="AV28" s="1575"/>
      <c r="AW28" s="1575"/>
      <c r="AX28" s="1575"/>
      <c r="AY28" s="1575"/>
      <c r="AZ28" s="1575"/>
      <c r="BA28" s="1575"/>
      <c r="BB28" s="1575"/>
      <c r="BC28" s="1575"/>
      <c r="BD28" s="1575"/>
      <c r="BE28" s="1575"/>
      <c r="BF28" s="1575"/>
      <c r="BG28" s="1575"/>
      <c r="BH28" s="1575"/>
      <c r="BI28" s="1575"/>
      <c r="BJ28" s="1575"/>
      <c r="BK28" s="1575"/>
      <c r="BL28" s="1575"/>
      <c r="BM28" s="1555">
        <v>11</v>
      </c>
    </row>
    <row customHeight="1" ht="15">
      <c r="D29" s="2184" t="s">
        <v>93</v>
      </c>
      <c r="E29" s="2180" t="s">
        <v>305</v>
      </c>
      <c r="F29" s="2180" t="s">
        <v>309</v>
      </c>
      <c r="G29" s="2186" t="s">
        <v>19</v>
      </c>
      <c r="H29" s="1600"/>
      <c r="I29" s="2182"/>
      <c r="J29" s="2153"/>
      <c r="K29" s="1515"/>
      <c r="L29" s="2138"/>
      <c r="M29" s="2138"/>
      <c r="N29" s="1585"/>
      <c r="O29" s="2138"/>
      <c r="P29" s="2153"/>
      <c r="Q29" s="1586"/>
      <c r="R29" s="2138"/>
      <c r="S29" s="2138"/>
      <c r="T29" s="1587"/>
      <c r="U29" s="2138"/>
      <c r="V29" s="2153"/>
      <c r="W29" s="1588"/>
      <c r="X29" s="2138"/>
      <c r="Y29" s="2138"/>
      <c r="Z29" s="1585"/>
      <c r="AA29" s="2138"/>
      <c r="AB29" s="2153"/>
      <c r="AC29" s="1589"/>
      <c r="AD29" s="2138"/>
      <c r="AE29" s="2138"/>
      <c r="AF29" s="1514"/>
      <c r="AG29" s="1514"/>
      <c r="AH29" s="1590"/>
      <c r="AI29" s="1297"/>
      <c r="AJ29" s="1575"/>
      <c r="BM29" s="294">
        <v>14</v>
      </c>
    </row>
    <row customHeight="1" ht="14.699999999999998">
      <c r="D30" s="2184"/>
      <c r="E30" s="2180"/>
      <c r="F30" s="2180"/>
      <c r="G30" s="2187"/>
      <c r="H30" s="1601"/>
      <c r="I30" s="2183"/>
      <c r="J30" s="2154"/>
      <c r="K30" s="1584"/>
      <c r="L30" s="2139"/>
      <c r="M30" s="2139"/>
      <c r="N30" s="1591"/>
      <c r="O30" s="2139"/>
      <c r="P30" s="2154"/>
      <c r="Q30" s="1592"/>
      <c r="R30" s="2139"/>
      <c r="S30" s="2139"/>
      <c r="T30" s="1593"/>
      <c r="U30" s="2139"/>
      <c r="V30" s="2154"/>
      <c r="W30" s="1594"/>
      <c r="X30" s="2139"/>
      <c r="Y30" s="2139"/>
      <c r="Z30" s="1591"/>
      <c r="AA30" s="2139"/>
      <c r="AB30" s="2154"/>
      <c r="AC30" s="1595"/>
      <c r="AD30" s="2139"/>
      <c r="AE30" s="2139"/>
      <c r="AF30" s="1596"/>
      <c r="AG30" s="1596"/>
      <c r="AH30" s="2178"/>
      <c r="AI30" s="2179"/>
      <c r="AJ30" s="1575"/>
      <c r="BM30" s="294">
        <v>14</v>
      </c>
    </row>
    <row customHeight="1" ht="14.699999999999998">
      <c r="D31" s="2184"/>
      <c r="E31" s="2180"/>
      <c r="F31" s="2180"/>
      <c r="G31" s="2187"/>
      <c r="H31" s="1601"/>
      <c r="I31" s="2183"/>
      <c r="J31" s="2154"/>
      <c r="K31" s="1584"/>
      <c r="L31" s="2139"/>
      <c r="M31" s="2139"/>
      <c r="N31" s="1591"/>
      <c r="O31" s="2139"/>
      <c r="P31" s="2154"/>
      <c r="Q31" s="1592"/>
      <c r="R31" s="2139"/>
      <c r="S31" s="2139"/>
      <c r="T31" s="1593"/>
      <c r="U31" s="2139"/>
      <c r="V31" s="2154"/>
      <c r="W31" s="1594"/>
      <c r="X31" s="2139"/>
      <c r="Y31" s="2139"/>
      <c r="Z31" s="1513"/>
      <c r="AA31" s="1596"/>
      <c r="AB31" s="2178"/>
      <c r="AC31" s="2178"/>
      <c r="AD31" s="2178"/>
      <c r="AE31" s="2178"/>
      <c r="AF31" s="2178"/>
      <c r="AG31" s="2178"/>
      <c r="AH31" s="2178"/>
      <c r="AI31" s="2179"/>
      <c r="AJ31" s="1575"/>
      <c r="BM31" s="294">
        <v>14</v>
      </c>
    </row>
    <row customHeight="1" ht="14.699999999999998">
      <c r="D32" s="2184"/>
      <c r="E32" s="2180"/>
      <c r="F32" s="2180"/>
      <c r="G32" s="2187"/>
      <c r="H32" s="1601"/>
      <c r="I32" s="2183"/>
      <c r="J32" s="2154"/>
      <c r="K32" s="1584"/>
      <c r="L32" s="2139"/>
      <c r="M32" s="2139"/>
      <c r="N32" s="1591"/>
      <c r="O32" s="2139"/>
      <c r="P32" s="2154"/>
      <c r="Q32" s="1592"/>
      <c r="R32" s="2139"/>
      <c r="S32" s="2139"/>
      <c r="T32" s="1597"/>
      <c r="U32" s="1598"/>
      <c r="V32" s="2178"/>
      <c r="W32" s="2178"/>
      <c r="X32" s="2178"/>
      <c r="Y32" s="2178"/>
      <c r="Z32" s="2178"/>
      <c r="AA32" s="2178"/>
      <c r="AB32" s="2178"/>
      <c r="AC32" s="2178"/>
      <c r="AD32" s="2178"/>
      <c r="AE32" s="2178"/>
      <c r="AF32" s="2178"/>
      <c r="AG32" s="2178"/>
      <c r="AH32" s="2178"/>
      <c r="AI32" s="2179"/>
      <c r="AJ32" s="1575"/>
      <c r="BM32" s="294">
        <v>14</v>
      </c>
    </row>
    <row customHeight="1" ht="11.549999999999999">
      <c r="D33" s="2184"/>
      <c r="E33" s="2180"/>
      <c r="F33" s="2180"/>
      <c r="G33" s="2187"/>
      <c r="H33" s="1602"/>
      <c r="I33" s="2183"/>
      <c r="J33" s="2154"/>
      <c r="K33" s="1584"/>
      <c r="L33" s="2139"/>
      <c r="M33" s="2139"/>
      <c r="N33" s="1596"/>
      <c r="O33" s="1596"/>
      <c r="P33" s="2178"/>
      <c r="Q33" s="2178"/>
      <c r="R33" s="2178"/>
      <c r="S33" s="2178"/>
      <c r="T33" s="2178"/>
      <c r="U33" s="2178"/>
      <c r="V33" s="2178"/>
      <c r="W33" s="2178"/>
      <c r="X33" s="2178"/>
      <c r="Y33" s="2178"/>
      <c r="Z33" s="2178"/>
      <c r="AA33" s="2178"/>
      <c r="AB33" s="2178"/>
      <c r="AC33" s="2178"/>
      <c r="AD33" s="2178"/>
      <c r="AE33" s="2178"/>
      <c r="AF33" s="2178"/>
      <c r="AG33" s="2178"/>
      <c r="AH33" s="2178"/>
      <c r="AI33" s="2179"/>
      <c r="AJ33" s="1575"/>
      <c r="BM33" s="294">
        <v>11</v>
      </c>
    </row>
    <row s="1555" customFormat="1" customHeight="1" ht="11.549999999999999">
      <c r="D34" s="2190"/>
      <c r="E34" s="2191"/>
      <c r="F34" s="2181"/>
      <c r="G34" s="2113"/>
      <c r="H34" s="1599"/>
      <c r="I34" s="1603"/>
      <c r="J34" s="2188"/>
      <c r="K34" s="2188"/>
      <c r="L34" s="2188"/>
      <c r="M34" s="2188"/>
      <c r="N34" s="2188"/>
      <c r="O34" s="2188"/>
      <c r="P34" s="2188"/>
      <c r="Q34" s="2188"/>
      <c r="R34" s="2188"/>
      <c r="S34" s="2188"/>
      <c r="T34" s="2188"/>
      <c r="U34" s="2188"/>
      <c r="V34" s="2188"/>
      <c r="W34" s="2188"/>
      <c r="X34" s="2188"/>
      <c r="Y34" s="2188"/>
      <c r="Z34" s="2188"/>
      <c r="AA34" s="2188"/>
      <c r="AB34" s="2188"/>
      <c r="AC34" s="2188"/>
      <c r="AD34" s="2188"/>
      <c r="AE34" s="2188"/>
      <c r="AF34" s="2188"/>
      <c r="AG34" s="2188"/>
      <c r="AH34" s="2188"/>
      <c r="AI34" s="2189"/>
      <c r="AJ34" s="1575"/>
      <c r="AK34" s="307"/>
      <c r="AL34" s="1575"/>
      <c r="AM34" s="1575"/>
      <c r="AN34" s="1575"/>
      <c r="AO34" s="1575"/>
      <c r="AP34" s="1575"/>
      <c r="AQ34" s="1575"/>
      <c r="AR34" s="1575"/>
      <c r="AS34" s="1575"/>
      <c r="AT34" s="1575"/>
      <c r="AU34" s="1575"/>
      <c r="AV34" s="1575"/>
      <c r="AW34" s="1575"/>
      <c r="AX34" s="1575"/>
      <c r="AY34" s="1575"/>
      <c r="AZ34" s="1575"/>
      <c r="BA34" s="1575"/>
      <c r="BB34" s="1575"/>
      <c r="BC34" s="1575"/>
      <c r="BD34" s="1575"/>
      <c r="BE34" s="1575"/>
      <c r="BF34" s="1575"/>
      <c r="BG34" s="1575"/>
      <c r="BH34" s="1575"/>
      <c r="BI34" s="1575"/>
      <c r="BJ34" s="1575"/>
      <c r="BK34" s="1575"/>
      <c r="BL34" s="1575"/>
      <c r="BM34" s="1555">
        <v>11</v>
      </c>
    </row>
    <row customHeight="1" ht="15">
      <c r="D35" s="2184" t="s">
        <v>114</v>
      </c>
      <c r="E35" s="2180" t="s">
        <v>305</v>
      </c>
      <c r="F35" s="2180" t="s">
        <v>310</v>
      </c>
      <c r="G35" s="2186" t="s">
        <v>19</v>
      </c>
      <c r="H35" s="1600"/>
      <c r="I35" s="2182"/>
      <c r="J35" s="2153"/>
      <c r="K35" s="1515"/>
      <c r="L35" s="2138"/>
      <c r="M35" s="2138"/>
      <c r="N35" s="1585"/>
      <c r="O35" s="2138"/>
      <c r="P35" s="2153"/>
      <c r="Q35" s="1586"/>
      <c r="R35" s="2138"/>
      <c r="S35" s="2138"/>
      <c r="T35" s="1587"/>
      <c r="U35" s="2138"/>
      <c r="V35" s="2153"/>
      <c r="W35" s="1588"/>
      <c r="X35" s="2138"/>
      <c r="Y35" s="2138"/>
      <c r="Z35" s="1585"/>
      <c r="AA35" s="2138"/>
      <c r="AB35" s="2153"/>
      <c r="AC35" s="1589"/>
      <c r="AD35" s="2138"/>
      <c r="AE35" s="2138"/>
      <c r="AF35" s="1514"/>
      <c r="AG35" s="1514"/>
      <c r="AH35" s="1590"/>
      <c r="AI35" s="1297"/>
      <c r="AJ35" s="1575"/>
      <c r="BM35" s="294">
        <v>14</v>
      </c>
    </row>
    <row customHeight="1" ht="14.699999999999998">
      <c r="D36" s="2184"/>
      <c r="E36" s="2180"/>
      <c r="F36" s="2180"/>
      <c r="G36" s="2187"/>
      <c r="H36" s="1601"/>
      <c r="I36" s="2183"/>
      <c r="J36" s="2154"/>
      <c r="K36" s="1584"/>
      <c r="L36" s="2139"/>
      <c r="M36" s="2139"/>
      <c r="N36" s="1591"/>
      <c r="O36" s="2139"/>
      <c r="P36" s="2154"/>
      <c r="Q36" s="1592"/>
      <c r="R36" s="2139"/>
      <c r="S36" s="2139"/>
      <c r="T36" s="1593"/>
      <c r="U36" s="2139"/>
      <c r="V36" s="2154"/>
      <c r="W36" s="1594"/>
      <c r="X36" s="2139"/>
      <c r="Y36" s="2139"/>
      <c r="Z36" s="1591"/>
      <c r="AA36" s="2139"/>
      <c r="AB36" s="2154"/>
      <c r="AC36" s="1595"/>
      <c r="AD36" s="2139"/>
      <c r="AE36" s="2139"/>
      <c r="AF36" s="1596"/>
      <c r="AG36" s="1596"/>
      <c r="AH36" s="2178"/>
      <c r="AI36" s="2179"/>
      <c r="AJ36" s="1575"/>
      <c r="BM36" s="294">
        <v>14</v>
      </c>
    </row>
    <row customHeight="1" ht="14.699999999999998">
      <c r="D37" s="2184"/>
      <c r="E37" s="2180"/>
      <c r="F37" s="2180"/>
      <c r="G37" s="2187"/>
      <c r="H37" s="1601"/>
      <c r="I37" s="2183"/>
      <c r="J37" s="2154"/>
      <c r="K37" s="1584"/>
      <c r="L37" s="2139"/>
      <c r="M37" s="2139"/>
      <c r="N37" s="1591"/>
      <c r="O37" s="2139"/>
      <c r="P37" s="2154"/>
      <c r="Q37" s="1592"/>
      <c r="R37" s="2139"/>
      <c r="S37" s="2139"/>
      <c r="T37" s="1593"/>
      <c r="U37" s="2139"/>
      <c r="V37" s="2154"/>
      <c r="W37" s="1594"/>
      <c r="X37" s="2139"/>
      <c r="Y37" s="2139"/>
      <c r="Z37" s="1513"/>
      <c r="AA37" s="1596"/>
      <c r="AB37" s="2178"/>
      <c r="AC37" s="2178"/>
      <c r="AD37" s="2178"/>
      <c r="AE37" s="2178"/>
      <c r="AF37" s="2178"/>
      <c r="AG37" s="2178"/>
      <c r="AH37" s="2178"/>
      <c r="AI37" s="2179"/>
      <c r="AJ37" s="1575"/>
      <c r="BM37" s="294">
        <v>14</v>
      </c>
    </row>
    <row customHeight="1" ht="14.699999999999998">
      <c r="D38" s="2184"/>
      <c r="E38" s="2180"/>
      <c r="F38" s="2180"/>
      <c r="G38" s="2187"/>
      <c r="H38" s="1601"/>
      <c r="I38" s="2183"/>
      <c r="J38" s="2154"/>
      <c r="K38" s="1584"/>
      <c r="L38" s="2139"/>
      <c r="M38" s="2139"/>
      <c r="N38" s="1591"/>
      <c r="O38" s="2139"/>
      <c r="P38" s="2154"/>
      <c r="Q38" s="1592"/>
      <c r="R38" s="2139"/>
      <c r="S38" s="2139"/>
      <c r="T38" s="1597"/>
      <c r="U38" s="1598"/>
      <c r="V38" s="2178"/>
      <c r="W38" s="2178"/>
      <c r="X38" s="2178"/>
      <c r="Y38" s="2178"/>
      <c r="Z38" s="2178"/>
      <c r="AA38" s="2178"/>
      <c r="AB38" s="2178"/>
      <c r="AC38" s="2178"/>
      <c r="AD38" s="2178"/>
      <c r="AE38" s="2178"/>
      <c r="AF38" s="2178"/>
      <c r="AG38" s="2178"/>
      <c r="AH38" s="2178"/>
      <c r="AI38" s="2179"/>
      <c r="AJ38" s="1575"/>
      <c r="BM38" s="294">
        <v>14</v>
      </c>
    </row>
    <row customHeight="1" ht="11.549999999999999">
      <c r="D39" s="2184"/>
      <c r="E39" s="2180"/>
      <c r="F39" s="2180"/>
      <c r="G39" s="2187"/>
      <c r="H39" s="1602"/>
      <c r="I39" s="2183"/>
      <c r="J39" s="2154"/>
      <c r="K39" s="1584"/>
      <c r="L39" s="2139"/>
      <c r="M39" s="2139"/>
      <c r="N39" s="1596"/>
      <c r="O39" s="1596"/>
      <c r="P39" s="2178"/>
      <c r="Q39" s="2178"/>
      <c r="R39" s="2178"/>
      <c r="S39" s="2178"/>
      <c r="T39" s="2178"/>
      <c r="U39" s="2178"/>
      <c r="V39" s="2178"/>
      <c r="W39" s="2178"/>
      <c r="X39" s="2178"/>
      <c r="Y39" s="2178"/>
      <c r="Z39" s="2178"/>
      <c r="AA39" s="2178"/>
      <c r="AB39" s="2178"/>
      <c r="AC39" s="2178"/>
      <c r="AD39" s="2178"/>
      <c r="AE39" s="2178"/>
      <c r="AF39" s="2178"/>
      <c r="AG39" s="2178"/>
      <c r="AH39" s="2178"/>
      <c r="AI39" s="2179"/>
      <c r="AJ39" s="1575"/>
      <c r="BM39" s="294">
        <v>11</v>
      </c>
    </row>
    <row s="1555" customFormat="1" customHeight="1" ht="11.549999999999999">
      <c r="D40" s="2184"/>
      <c r="E40" s="2180"/>
      <c r="F40" s="2185"/>
      <c r="G40" s="2113"/>
      <c r="H40" s="1599"/>
      <c r="I40" s="1603"/>
      <c r="J40" s="2188"/>
      <c r="K40" s="2188"/>
      <c r="L40" s="2188"/>
      <c r="M40" s="2188"/>
      <c r="N40" s="2188"/>
      <c r="O40" s="2188"/>
      <c r="P40" s="2188"/>
      <c r="Q40" s="2188"/>
      <c r="R40" s="2188"/>
      <c r="S40" s="2188"/>
      <c r="T40" s="2188"/>
      <c r="U40" s="2188"/>
      <c r="V40" s="2188"/>
      <c r="W40" s="2188"/>
      <c r="X40" s="2188"/>
      <c r="Y40" s="2188"/>
      <c r="Z40" s="2188"/>
      <c r="AA40" s="2188"/>
      <c r="AB40" s="2188"/>
      <c r="AC40" s="2188"/>
      <c r="AD40" s="2188"/>
      <c r="AE40" s="2188"/>
      <c r="AF40" s="2188"/>
      <c r="AG40" s="2188"/>
      <c r="AH40" s="2188"/>
      <c r="AI40" s="2189"/>
      <c r="AJ40" s="1575"/>
      <c r="AK40" s="307"/>
      <c r="AL40" s="1575"/>
      <c r="AM40" s="1575"/>
      <c r="AN40" s="1575"/>
      <c r="AO40" s="1575"/>
      <c r="AP40" s="1575"/>
      <c r="AQ40" s="1575"/>
      <c r="AR40" s="1575"/>
      <c r="AS40" s="1575"/>
      <c r="AT40" s="1575"/>
      <c r="AU40" s="1575"/>
      <c r="AV40" s="1575"/>
      <c r="AW40" s="1575"/>
      <c r="AX40" s="1575"/>
      <c r="AY40" s="1575"/>
      <c r="AZ40" s="1575"/>
      <c r="BA40" s="1575"/>
      <c r="BB40" s="1575"/>
      <c r="BC40" s="1575"/>
      <c r="BD40" s="1575"/>
      <c r="BE40" s="1575"/>
      <c r="BF40" s="1575"/>
      <c r="BG40" s="1575"/>
      <c r="BH40" s="1575"/>
      <c r="BI40" s="1575"/>
      <c r="BJ40" s="1575"/>
      <c r="BK40" s="1575"/>
      <c r="BL40" s="1575"/>
      <c r="BM40" s="1555">
        <v>11</v>
      </c>
    </row>
    <row customHeight="1" ht="11.549999999999999">
      <c r="AK41" s="424"/>
      <c r="BM41" s="294">
        <v>11</v>
      </c>
    </row>
    <row customHeight="1" ht="11.549999999999999">
      <c r="AK42" s="424"/>
      <c r="BM42" s="294">
        <v>11</v>
      </c>
    </row>
    <row customHeight="1" ht="11.549999999999999">
      <c r="AK43" s="424"/>
      <c r="BM43" s="294">
        <v>11</v>
      </c>
    </row>
    <row customHeight="1" ht="11.549999999999999">
      <c r="AK44" s="424"/>
      <c r="BM44" s="294">
        <v>11</v>
      </c>
    </row>
    <row customHeight="1" ht="11.549999999999999">
      <c r="AK45" s="424"/>
      <c r="BM45" s="294">
        <v>11</v>
      </c>
    </row>
    <row customHeight="1" ht="11.549999999999999">
      <c r="AK46" s="424"/>
      <c r="BM46" s="294">
        <v>11</v>
      </c>
    </row>
    <row customHeight="1" ht="11.549999999999999">
      <c r="AK47" s="424"/>
      <c r="BM47" s="294">
        <v>11</v>
      </c>
    </row>
    <row customHeight="1" ht="11.549999999999999">
      <c r="AK48" s="424"/>
      <c r="BM48" s="294">
        <v>11</v>
      </c>
    </row>
    <row customHeight="1" ht="11.549999999999999">
      <c r="AK49" s="424"/>
      <c r="BM49" s="294">
        <v>11</v>
      </c>
    </row>
    <row customHeight="1" ht="11.25" hidden="1">
      <c r="A50" s="294" t="s">
        <v>84</v>
      </c>
      <c r="B50" s="294">
        <v>0</v>
      </c>
      <c r="C50" s="294">
        <v>3</v>
      </c>
      <c r="D50" s="294">
        <v>3</v>
      </c>
      <c r="E50" s="294">
        <v>15</v>
      </c>
      <c r="F50" s="294">
        <v>15</v>
      </c>
      <c r="G50" s="294">
        <v>11</v>
      </c>
      <c r="H50" s="294">
        <v>3</v>
      </c>
      <c r="I50" s="294">
        <v>3</v>
      </c>
      <c r="J50" s="294">
        <v>12</v>
      </c>
      <c r="K50" s="294">
        <v>0</v>
      </c>
      <c r="L50" s="294">
        <v>10</v>
      </c>
      <c r="M50" s="294">
        <v>10</v>
      </c>
      <c r="N50" s="294">
        <v>3</v>
      </c>
      <c r="O50" s="294">
        <v>3</v>
      </c>
      <c r="P50" s="294">
        <v>19</v>
      </c>
      <c r="Q50" s="294">
        <v>0</v>
      </c>
      <c r="R50" s="294">
        <v>10</v>
      </c>
      <c r="S50" s="294">
        <v>10</v>
      </c>
      <c r="T50" s="294">
        <v>3</v>
      </c>
      <c r="U50" s="294">
        <v>3</v>
      </c>
      <c r="V50" s="294">
        <v>25</v>
      </c>
      <c r="W50" s="294">
        <v>0</v>
      </c>
      <c r="X50" s="294">
        <v>10</v>
      </c>
      <c r="Y50" s="294">
        <v>10</v>
      </c>
      <c r="Z50" s="294">
        <v>3</v>
      </c>
      <c r="AA50" s="294">
        <v>3</v>
      </c>
      <c r="AB50" s="294">
        <v>16</v>
      </c>
      <c r="AC50" s="294">
        <v>0</v>
      </c>
      <c r="AD50" s="294">
        <v>10</v>
      </c>
      <c r="AE50" s="294">
        <v>10</v>
      </c>
      <c r="AF50" s="294">
        <v>3</v>
      </c>
      <c r="AG50" s="294">
        <v>3</v>
      </c>
      <c r="AH50" s="294">
        <v>8</v>
      </c>
      <c r="AI50" s="294">
        <v>21</v>
      </c>
      <c r="AJ50" s="424">
        <v>8</v>
      </c>
      <c r="AK50" s="307">
        <v>8</v>
      </c>
      <c r="AL50" s="424">
        <v>8</v>
      </c>
      <c r="AM50" s="424">
        <v>8</v>
      </c>
      <c r="AN50" s="424">
        <v>8</v>
      </c>
      <c r="AO50" s="424">
        <v>8</v>
      </c>
      <c r="AP50" s="424">
        <v>8</v>
      </c>
      <c r="AQ50" s="424">
        <v>8</v>
      </c>
      <c r="AR50" s="424">
        <v>8</v>
      </c>
      <c r="AS50" s="424">
        <v>8</v>
      </c>
      <c r="AT50" s="424">
        <v>8</v>
      </c>
      <c r="AU50" s="424">
        <v>8</v>
      </c>
      <c r="AV50" s="424">
        <v>8</v>
      </c>
      <c r="AW50" s="424">
        <v>8</v>
      </c>
      <c r="AX50" s="424">
        <v>8</v>
      </c>
      <c r="AY50" s="424">
        <v>8</v>
      </c>
      <c r="AZ50" s="424">
        <v>8</v>
      </c>
      <c r="BA50" s="424">
        <v>8</v>
      </c>
      <c r="BB50" s="424">
        <v>8</v>
      </c>
      <c r="BC50" s="424">
        <v>8</v>
      </c>
      <c r="BD50" s="424">
        <v>8</v>
      </c>
      <c r="BE50" s="424">
        <v>8</v>
      </c>
      <c r="BF50" s="424">
        <v>8</v>
      </c>
      <c r="BG50" s="424">
        <v>8</v>
      </c>
      <c r="BH50" s="424">
        <v>8</v>
      </c>
      <c r="BI50" s="424">
        <v>8</v>
      </c>
      <c r="BJ50" s="424">
        <v>8</v>
      </c>
      <c r="BK50" s="424">
        <v>8</v>
      </c>
      <c r="BL50" s="424">
        <v>8</v>
      </c>
      <c r="BM50" s="294">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9EB063-E131-3327-6253-0.23A33DEB}" mc:Ignorable="x14ac xr xr2 xr3">
  <sheetPr>
    <tabColor theme="3" tint="0.6"/>
  </sheetPr>
  <dimension ref="A1:J60"/>
  <sheetViews>
    <sheetView topLeftCell="A1" showGridLines="0" zoomScale="90" workbookViewId="0">
      <selection activeCell="A1" sqref="A1"/>
    </sheetView>
  </sheetViews>
  <sheetFormatPr defaultColWidth="9.140625" customHeight="1" defaultRowHeight="11.25"/>
  <cols>
    <col min="1" max="1" style="1687" width="15.00390625" hidden="1" customWidth="1"/>
    <col min="2" max="2" style="502" width="15.00390625" hidden="1" customWidth="1"/>
    <col min="3" max="3" style="456" width="3.00390625" customWidth="1"/>
    <col min="4" max="4" style="457" width="6.00390625" customWidth="1"/>
    <col min="5" max="5" style="456" width="52.00390625" customWidth="1"/>
    <col min="6" max="6" style="456" width="48.00390625" customWidth="1"/>
    <col min="7" max="7" style="456" width="121.00390625" customWidth="1"/>
    <col min="8" max="8" style="456" width="8.00390625" customWidth="1"/>
    <col min="9" max="9" style="456" width="64.00390625" customWidth="1"/>
    <col min="10" max="10" style="456" width="9.140625" hidden="1"/>
  </cols>
  <sheetData>
    <row customHeight="1" ht="11.25" hidden="1">
      <c r="A1" s="1687" t="s">
        <v>311</v>
      </c>
      <c r="J1" s="456" t="s">
        <v>14</v>
      </c>
    </row>
    <row customHeight="1" ht="11.25" hidden="1">
      <c r="J2" s="456">
        <v>0</v>
      </c>
    </row>
    <row s="478" customFormat="1" customHeight="1" ht="11.549999999999999">
      <c r="A3" s="1687"/>
      <c r="B3" s="502"/>
      <c r="D3" s="479"/>
      <c r="J3" s="478">
        <v>11</v>
      </c>
    </row>
    <row customHeight="1" ht="27.299999999999997">
      <c r="D4" s="2158" t="str">
        <f>ORG_INFO_NAME_FORM</f>
        <v>Форма 1. Информация об организации, осуществляющей холодное водоснабжение (общая информация)</v>
      </c>
      <c r="E4" s="2159"/>
      <c r="F4" s="2160"/>
      <c r="I4" s="716"/>
      <c r="J4" s="456">
        <v>26</v>
      </c>
    </row>
    <row customHeight="1" ht="18">
      <c r="D5" s="2177" t="str">
        <f>IF(org=0,"Не определено",org)</f>
        <v>ИМУП «ПОСЖИЛКОМСЕРВИС»</v>
      </c>
      <c r="E5" s="2177"/>
      <c r="F5" s="2177"/>
      <c r="I5" s="716"/>
      <c r="J5" s="456">
        <v>17</v>
      </c>
    </row>
    <row s="478" customFormat="1" customHeight="1" ht="11.549999999999999">
      <c r="A6" s="1687"/>
      <c r="B6" s="502"/>
      <c r="D6" s="715"/>
      <c r="E6" s="715"/>
      <c r="F6" s="753"/>
      <c r="G6" s="715"/>
      <c r="J6" s="478">
        <v>11</v>
      </c>
    </row>
    <row customHeight="1" ht="11.25" hidden="1">
      <c r="A7" s="458"/>
      <c r="B7" s="503"/>
      <c r="C7" s="458"/>
      <c r="D7" s="464"/>
      <c r="E7" s="2208"/>
      <c r="F7" s="2208"/>
      <c r="J7" s="456">
        <v>0</v>
      </c>
    </row>
    <row customHeight="1" ht="11.549999999999999">
      <c r="A8" s="458"/>
      <c r="B8" s="503"/>
      <c r="C8" s="458"/>
      <c r="D8" s="2205" t="s">
        <v>312</v>
      </c>
      <c r="E8" s="2206"/>
      <c r="F8" s="2206"/>
      <c r="G8" s="2209" t="s">
        <v>313</v>
      </c>
      <c r="J8" s="456">
        <v>11</v>
      </c>
    </row>
    <row customHeight="1" ht="11.549999999999999">
      <c r="A9" s="458"/>
      <c r="B9" s="503"/>
      <c r="C9" s="458"/>
      <c r="D9" s="473" t="s">
        <v>90</v>
      </c>
      <c r="E9" s="447" t="s">
        <v>314</v>
      </c>
      <c r="F9" s="447" t="s">
        <v>315</v>
      </c>
      <c r="G9" s="2210"/>
      <c r="J9" s="456">
        <v>11</v>
      </c>
    </row>
    <row customHeight="1" ht="12" hidden="1">
      <c r="A10" s="458"/>
      <c r="B10" s="503"/>
      <c r="C10" s="458"/>
      <c r="D10" s="465"/>
      <c r="E10" s="465"/>
      <c r="F10" s="465"/>
      <c r="G10" s="465"/>
      <c r="J10" s="456">
        <v>0</v>
      </c>
    </row>
    <row customHeight="1" ht="22.5" hidden="1">
      <c r="A11" s="458"/>
      <c r="B11" s="503"/>
      <c r="C11" s="458"/>
      <c r="D11" s="1010" t="s">
        <v>112</v>
      </c>
      <c r="E11" s="1013" t="s">
        <v>316</v>
      </c>
      <c r="F11" s="1012" t="str">
        <f>IF(region_name="","",region_name)</f>
        <v>Ненецкий автономный округ</v>
      </c>
      <c r="G11" s="1013" t="s">
        <v>317</v>
      </c>
      <c r="H11" s="476"/>
      <c r="J11" s="456">
        <v>0</v>
      </c>
    </row>
    <row customHeight="1" ht="22.5" hidden="1">
      <c r="A12" s="458"/>
      <c r="B12" s="503"/>
      <c r="C12" s="458"/>
      <c r="D12" s="446" t="s">
        <v>112</v>
      </c>
      <c r="E12" s="445"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44" t="s">
        <v>318</v>
      </c>
      <c r="G12" s="475"/>
      <c r="H12" s="476"/>
      <c r="J12" s="456">
        <v>0</v>
      </c>
    </row>
    <row customHeight="1" ht="23.25">
      <c r="A13" s="458"/>
      <c r="B13" s="503"/>
      <c r="C13" s="458"/>
      <c r="D13" s="446" t="s">
        <v>112</v>
      </c>
      <c r="E13" s="443" t="str">
        <f>"Наименование юридического лица"&amp;IF(TEMPLATE_SPHERE="TKO"," (индивидуального предпринимателя)","")</f>
        <v>Наименование юридического лица</v>
      </c>
      <c r="F13" s="442"/>
      <c r="G13" s="445"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76"/>
      <c r="J13" s="456">
        <v>22</v>
      </c>
    </row>
    <row customHeight="1" ht="22.5" hidden="1">
      <c r="A14" s="458"/>
      <c r="B14" s="503"/>
      <c r="C14" s="458"/>
      <c r="D14" s="1010" t="s">
        <v>319</v>
      </c>
      <c r="E14" s="1011" t="s">
        <v>320</v>
      </c>
      <c r="F14" s="1012" t="str">
        <f>IF(inn="","",inn)</f>
        <v>2983013920</v>
      </c>
      <c r="G14" s="1013" t="s">
        <v>321</v>
      </c>
      <c r="H14" s="476"/>
      <c r="J14" s="456">
        <v>0</v>
      </c>
    </row>
    <row customHeight="1" ht="22.5" hidden="1">
      <c r="A15" s="458"/>
      <c r="B15" s="503"/>
      <c r="C15" s="458"/>
      <c r="D15" s="1010" t="s">
        <v>322</v>
      </c>
      <c r="E15" s="1011" t="s">
        <v>323</v>
      </c>
      <c r="F15" s="1012" t="str">
        <f>IF(kpp="","",kpp)</f>
        <v>298301001</v>
      </c>
      <c r="G15" s="1013" t="s">
        <v>324</v>
      </c>
      <c r="H15" s="476"/>
      <c r="J15" s="456">
        <v>0</v>
      </c>
    </row>
    <row customHeight="1" ht="39">
      <c r="A16" s="458"/>
      <c r="B16" s="503"/>
      <c r="C16" s="458"/>
      <c r="D16" s="446" t="s">
        <v>113</v>
      </c>
      <c r="E16" s="443"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2"/>
      <c r="G16" s="445"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6"/>
      <c r="J16" s="456">
        <v>37</v>
      </c>
    </row>
    <row customHeight="1" ht="23.25">
      <c r="A17" s="458"/>
      <c r="B17" s="503"/>
      <c r="C17" s="458"/>
      <c r="D17" s="446" t="s">
        <v>92</v>
      </c>
      <c r="E17" s="443" t="str">
        <f>"Дата присвоения ОГРН"&amp;IF(TEMPLATE_SPHERE="TKO",""," (ОГРНИП)")</f>
        <v>Дата присвоения ОГРН (ОГРНИП)</v>
      </c>
      <c r="F17" s="1733" t="s">
        <v>28</v>
      </c>
      <c r="G17" s="445" t="str">
        <f>"Дата присвоения ОГРН"&amp;IF(TEMPLATE_SPHERE="TKO",""," (ОГРНИП)")&amp;" указывается в виде «ДД.ММ.ГГГГ»."</f>
        <v>Дата присвоения ОГРН (ОГРНИП) указывается в виде «ДД.ММ.ГГГГ».</v>
      </c>
      <c r="H17" s="476"/>
      <c r="J17" s="456">
        <v>22</v>
      </c>
    </row>
    <row customHeight="1" ht="71.25">
      <c r="A18" s="458"/>
      <c r="B18" s="503"/>
      <c r="C18" s="458"/>
      <c r="D18" s="446" t="s">
        <v>93</v>
      </c>
      <c r="E18" s="443"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2"/>
      <c r="G18" s="475"/>
      <c r="H18" s="476"/>
      <c r="J18" s="456">
        <v>68</v>
      </c>
    </row>
    <row customHeight="1" ht="22.5" hidden="1">
      <c r="A19" s="2203" t="s">
        <v>325</v>
      </c>
      <c r="B19" s="503"/>
      <c r="C19" s="2214"/>
      <c r="D19" s="446" t="str">
        <f>A19</f>
        <v>5.1</v>
      </c>
      <c r="E19" s="443" t="s">
        <v>326</v>
      </c>
      <c r="F19" s="444" t="s">
        <v>318</v>
      </c>
      <c r="G19" s="445" t="s">
        <v>327</v>
      </c>
      <c r="H19" s="476"/>
      <c r="I19" s="853"/>
      <c r="J19" s="456">
        <v>0</v>
      </c>
    </row>
    <row customHeight="1" ht="24" hidden="1">
      <c r="A20" s="2203"/>
      <c r="B20" s="503"/>
      <c r="C20" s="2214"/>
      <c r="D20" s="441" t="str">
        <f>D19&amp;".1"</f>
        <v>5.1.1</v>
      </c>
      <c r="E20" s="440" t="s">
        <v>328</v>
      </c>
      <c r="F20" s="882" t="s">
        <v>28</v>
      </c>
      <c r="G20" s="475"/>
      <c r="H20" s="476"/>
      <c r="I20" s="853"/>
      <c r="J20" s="456">
        <v>0</v>
      </c>
    </row>
    <row customHeight="1" ht="22.5" hidden="1">
      <c r="A21" s="2203"/>
      <c r="B21" s="503"/>
      <c r="C21" s="2214"/>
      <c r="D21" s="441" t="str">
        <f>D19&amp;".2"</f>
        <v>5.1.2</v>
      </c>
      <c r="E21" s="440" t="s">
        <v>329</v>
      </c>
      <c r="F21" s="1734" t="s">
        <v>28</v>
      </c>
      <c r="G21" s="445" t="s">
        <v>330</v>
      </c>
      <c r="H21" s="476"/>
      <c r="I21" s="853"/>
      <c r="J21" s="456">
        <v>0</v>
      </c>
    </row>
    <row customHeight="1" ht="22.5" hidden="1">
      <c r="A22" s="2203"/>
      <c r="B22" s="503"/>
      <c r="C22" s="2214"/>
      <c r="D22" s="441" t="str">
        <f>D19&amp;".3"</f>
        <v>5.1.3</v>
      </c>
      <c r="E22" s="440" t="s">
        <v>331</v>
      </c>
      <c r="F22" s="882" t="s">
        <v>28</v>
      </c>
      <c r="G22" s="475"/>
      <c r="H22" s="476"/>
      <c r="I22" s="853"/>
      <c r="J22" s="456">
        <v>0</v>
      </c>
    </row>
    <row customHeight="1" ht="22.5" hidden="1">
      <c r="A23" s="2203"/>
      <c r="B23" s="503"/>
      <c r="C23" s="2214"/>
      <c r="D23" s="441" t="str">
        <f>D19&amp;".4"</f>
        <v>5.1.4</v>
      </c>
      <c r="E23" s="440" t="s">
        <v>332</v>
      </c>
      <c r="F23" s="882" t="s">
        <v>28</v>
      </c>
      <c r="G23" s="445" t="s">
        <v>333</v>
      </c>
      <c r="H23" s="476"/>
      <c r="I23" s="853"/>
      <c r="J23" s="456">
        <v>0</v>
      </c>
    </row>
    <row customHeight="1" ht="22.5" hidden="1">
      <c r="A24" s="1979"/>
      <c r="B24" s="503"/>
      <c r="C24" s="493"/>
      <c r="D24" s="468"/>
      <c r="E24" s="1169" t="s">
        <v>334</v>
      </c>
      <c r="F24" s="469"/>
      <c r="G24" s="470"/>
      <c r="H24" s="476"/>
      <c r="I24" s="853"/>
      <c r="J24" s="456">
        <v>0</v>
      </c>
    </row>
    <row s="502" customFormat="1" customHeight="1" ht="24.75" hidden="1">
      <c r="A25" s="458"/>
      <c r="B25" s="503"/>
      <c r="C25" s="503"/>
      <c r="D25" s="1007" t="s">
        <v>92</v>
      </c>
      <c r="E25" s="1009" t="s">
        <v>335</v>
      </c>
      <c r="F25" s="1014" t="s">
        <v>318</v>
      </c>
      <c r="G25" s="1009"/>
      <c r="J25" s="502">
        <v>0</v>
      </c>
    </row>
    <row s="502" customFormat="1" customHeight="1" ht="11.25" hidden="1">
      <c r="A26" s="458"/>
      <c r="B26" s="503"/>
      <c r="C26" s="503"/>
      <c r="D26" s="1007" t="s">
        <v>336</v>
      </c>
      <c r="E26" s="1008" t="s">
        <v>337</v>
      </c>
      <c r="F26" s="1014" t="s">
        <v>318</v>
      </c>
      <c r="G26" s="1009"/>
      <c r="J26" s="502">
        <v>0</v>
      </c>
    </row>
    <row s="502" customFormat="1" customHeight="1" ht="11.25" hidden="1">
      <c r="A27" s="458"/>
      <c r="B27" s="503"/>
      <c r="C27" s="503"/>
      <c r="D27" s="1007" t="s">
        <v>338</v>
      </c>
      <c r="E27" s="1015" t="s">
        <v>339</v>
      </c>
      <c r="F27" s="1016"/>
      <c r="G27" s="1009"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7" s="502">
        <v>0</v>
      </c>
    </row>
    <row s="502" customFormat="1" customHeight="1" ht="11.25" hidden="1">
      <c r="A28" s="458"/>
      <c r="B28" s="503"/>
      <c r="C28" s="503"/>
      <c r="D28" s="1007" t="s">
        <v>340</v>
      </c>
      <c r="E28" s="1015" t="s">
        <v>341</v>
      </c>
      <c r="F28" s="1016"/>
      <c r="G28" s="1009"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8" s="502">
        <v>0</v>
      </c>
    </row>
    <row s="502" customFormat="1" customHeight="1" ht="11.25" hidden="1">
      <c r="A29" s="458"/>
      <c r="B29" s="503"/>
      <c r="C29" s="503"/>
      <c r="D29" s="1007" t="s">
        <v>342</v>
      </c>
      <c r="E29" s="1015" t="s">
        <v>343</v>
      </c>
      <c r="F29" s="1016"/>
      <c r="G29" s="1009"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c r="J29" s="502">
        <v>0</v>
      </c>
    </row>
    <row s="502" customFormat="1" customHeight="1" ht="11.25" hidden="1">
      <c r="A30" s="458"/>
      <c r="B30" s="503"/>
      <c r="C30" s="503"/>
      <c r="D30" s="1007" t="s">
        <v>344</v>
      </c>
      <c r="E30" s="1008" t="s">
        <v>345</v>
      </c>
      <c r="F30" s="1016"/>
      <c r="G30" s="1009"/>
      <c r="J30" s="502">
        <v>0</v>
      </c>
    </row>
    <row s="502" customFormat="1" customHeight="1" ht="11.25" hidden="1">
      <c r="A31" s="458"/>
      <c r="B31" s="503"/>
      <c r="C31" s="503"/>
      <c r="D31" s="1007" t="s">
        <v>346</v>
      </c>
      <c r="E31" s="1008" t="s">
        <v>347</v>
      </c>
      <c r="F31" s="1016"/>
      <c r="G31" s="1009"/>
      <c r="J31" s="502">
        <v>0</v>
      </c>
    </row>
    <row s="502" customFormat="1" customHeight="1" ht="11.25" hidden="1">
      <c r="A32" s="458"/>
      <c r="B32" s="503"/>
      <c r="C32" s="503"/>
      <c r="D32" s="1007" t="s">
        <v>348</v>
      </c>
      <c r="E32" s="1008" t="s">
        <v>349</v>
      </c>
      <c r="F32" s="1017"/>
      <c r="G32" s="1009"/>
      <c r="J32" s="502">
        <v>0</v>
      </c>
    </row>
    <row customHeight="1" ht="24">
      <c r="A33" s="458" t="str">
        <f>IF(TEMPLATE_SPHERE="HEAT","6","5")</f>
        <v>5</v>
      </c>
      <c r="B33" s="503"/>
      <c r="C33" s="458"/>
      <c r="D33" s="441" t="str">
        <f>A33</f>
        <v>5</v>
      </c>
      <c r="E33" s="439"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444" t="s">
        <v>318</v>
      </c>
      <c r="G33" s="475"/>
      <c r="H33" s="476"/>
      <c r="J33" s="456">
        <v>23</v>
      </c>
    </row>
    <row customHeight="1" ht="23.25">
      <c r="A34" s="458"/>
      <c r="B34" s="503"/>
      <c r="C34" s="458"/>
      <c r="D34" s="441" t="str">
        <f>D33&amp;".1"</f>
        <v>5.1</v>
      </c>
      <c r="E34" s="443" t="str">
        <f>"фамилия"&amp;IF(TEMPLATE_SPHERE&lt;&gt;"HEAT"," руководителя","")</f>
        <v>фамилия руководителя</v>
      </c>
      <c r="F34" s="442"/>
      <c r="G34" s="445"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476"/>
      <c r="J34" s="456">
        <v>22</v>
      </c>
    </row>
    <row customHeight="1" ht="23.25">
      <c r="A35" s="458"/>
      <c r="B35" s="503"/>
      <c r="C35" s="458"/>
      <c r="D35" s="441" t="str">
        <f>D33&amp;".2"</f>
        <v>5.2</v>
      </c>
      <c r="E35" s="443" t="str">
        <f>"имя"&amp;IF(TEMPLATE_SPHERE&lt;&gt;"HEAT"," руководителя","")</f>
        <v>имя руководителя</v>
      </c>
      <c r="F35" s="442"/>
      <c r="G35" s="445"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476"/>
      <c r="J35" s="456">
        <v>22</v>
      </c>
    </row>
    <row customHeight="1" ht="24">
      <c r="A36" s="458"/>
      <c r="B36" s="503"/>
      <c r="C36" s="458"/>
      <c r="D36" s="441" t="str">
        <f>D33&amp;".3"</f>
        <v>5.3</v>
      </c>
      <c r="E36" s="443" t="str">
        <f>"отчество"&amp;IF(TEMPLATE_SPHERE&lt;&gt;"HEAT"," руководителя","")</f>
        <v>отчество руководителя</v>
      </c>
      <c r="F36" s="699"/>
      <c r="G36" s="445"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476"/>
      <c r="J36" s="456">
        <v>23</v>
      </c>
    </row>
    <row customHeight="1" ht="35.699999999999996">
      <c r="A37" s="458"/>
      <c r="B37" s="503"/>
      <c r="C37" s="458"/>
      <c r="D37" s="441">
        <f>D33+1</f>
        <v>6</v>
      </c>
      <c r="E37" s="439"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442"/>
      <c r="G37" s="445" t="s">
        <v>350</v>
      </c>
      <c r="H37" s="476"/>
      <c r="J37" s="456">
        <v>34</v>
      </c>
    </row>
    <row customHeight="1" ht="35.699999999999996">
      <c r="A38" s="458"/>
      <c r="B38" s="503"/>
      <c r="C38" s="458"/>
      <c r="D38" s="441">
        <f>D37+1</f>
        <v>7</v>
      </c>
      <c r="E38" s="439"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442"/>
      <c r="G38" s="445" t="s">
        <v>350</v>
      </c>
      <c r="H38" s="476"/>
      <c r="J38" s="456">
        <v>34</v>
      </c>
    </row>
    <row customHeight="1" ht="23.25">
      <c r="A39" s="458"/>
      <c r="B39" s="503"/>
      <c r="C39" s="458"/>
      <c r="D39" s="441">
        <f>D38+1</f>
        <v>8</v>
      </c>
      <c r="E39" s="438"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444" t="s">
        <v>318</v>
      </c>
      <c r="G39" s="2211"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76"/>
      <c r="J39" s="456">
        <v>22</v>
      </c>
    </row>
    <row customHeight="1" ht="22.5" hidden="1">
      <c r="A40" s="458"/>
      <c r="B40" s="503"/>
      <c r="C40" s="458"/>
      <c r="D40" s="441" t="str">
        <f>D39&amp;".0"</f>
        <v>8.0</v>
      </c>
      <c r="E40" s="1606"/>
      <c r="F40" s="882"/>
      <c r="G40" s="2212"/>
      <c r="H40" s="476"/>
      <c r="J40" s="456">
        <v>0</v>
      </c>
    </row>
    <row customHeight="1" ht="23.25">
      <c r="A41" s="458"/>
      <c r="B41" s="458"/>
      <c r="C41" s="1689"/>
      <c r="D41" s="441" t="str">
        <f>D39&amp;".1"</f>
        <v>8.1</v>
      </c>
      <c r="E41" s="861"/>
      <c r="F41" s="862"/>
      <c r="G41" s="2212"/>
      <c r="H41" s="476"/>
      <c r="J41" s="456">
        <v>22</v>
      </c>
    </row>
    <row customHeight="1" ht="15.75">
      <c r="A42" s="458"/>
      <c r="B42" s="503"/>
      <c r="C42" s="458"/>
      <c r="D42" s="468"/>
      <c r="E42" s="416" t="s">
        <v>351</v>
      </c>
      <c r="F42" s="470"/>
      <c r="G42" s="2213"/>
      <c r="H42" s="477"/>
      <c r="J42" s="456">
        <v>15</v>
      </c>
    </row>
    <row customHeight="1" ht="27.299999999999997">
      <c r="A43" s="458"/>
      <c r="B43" s="503"/>
      <c r="C43" s="458"/>
      <c r="D43" s="441">
        <f>D39+1</f>
        <v>9</v>
      </c>
      <c r="E43" s="439"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863"/>
      <c r="G43" s="445"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76"/>
      <c r="J43" s="456">
        <v>26</v>
      </c>
    </row>
    <row customHeight="1" ht="23.25">
      <c r="A44" s="458"/>
      <c r="B44" s="503"/>
      <c r="C44" s="458"/>
      <c r="D44" s="441">
        <f>D43+1</f>
        <v>10</v>
      </c>
      <c r="E44" s="439"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379"/>
      <c r="G44" s="475" t="s">
        <v>352</v>
      </c>
      <c r="H44" s="476"/>
      <c r="J44" s="456">
        <v>22</v>
      </c>
    </row>
    <row customHeight="1" ht="23.25">
      <c r="A45" s="458"/>
      <c r="B45" s="503"/>
      <c r="C45" s="458"/>
      <c r="D45" s="441">
        <f>D44+1</f>
        <v>11</v>
      </c>
      <c r="E45" s="439" t="s">
        <v>353</v>
      </c>
      <c r="F45" s="444" t="s">
        <v>318</v>
      </c>
      <c r="G45" s="438" t="str">
        <f>IF(TEMPLATE_SPHERE="TKO","Указывается режим работы организации.","")</f>
        <v/>
      </c>
      <c r="H45" s="476"/>
      <c r="J45" s="456">
        <v>22</v>
      </c>
    </row>
    <row customHeight="1" ht="24">
      <c r="A46" s="458"/>
      <c r="B46" s="503"/>
      <c r="C46" s="458"/>
      <c r="D46" s="441" t="str">
        <f>D45&amp;".1"</f>
        <v>11.1</v>
      </c>
      <c r="E46" s="443" t="str">
        <f>"режим работы регулируемой организации"&amp;IF(TEMPLATE_SPHERE="HEAT",", ЕТО, ТО","")</f>
        <v>режим работы регулируемой организации</v>
      </c>
      <c r="F46" s="1685"/>
      <c r="G46" s="438" t="s">
        <v>354</v>
      </c>
      <c r="H46" s="476"/>
      <c r="J46" s="456">
        <v>23</v>
      </c>
    </row>
    <row customHeight="1" ht="24">
      <c r="A47" s="2203"/>
      <c r="B47" s="503"/>
      <c r="C47" s="493"/>
      <c r="D47" s="441" t="str">
        <f>D45&amp;".2"</f>
        <v>11.2</v>
      </c>
      <c r="E47" s="443" t="s">
        <v>355</v>
      </c>
      <c r="F47" s="491"/>
      <c r="G47" s="438" t="s">
        <v>356</v>
      </c>
      <c r="H47" s="476"/>
      <c r="J47" s="456">
        <v>23</v>
      </c>
    </row>
    <row customHeight="1" ht="24">
      <c r="A48" s="2203"/>
      <c r="B48" s="503"/>
      <c r="C48" s="493"/>
      <c r="D48" s="441" t="str">
        <f>D45&amp;".3"</f>
        <v>11.3</v>
      </c>
      <c r="E48" s="443" t="s">
        <v>357</v>
      </c>
      <c r="F48" s="491"/>
      <c r="G48" s="438" t="s">
        <v>358</v>
      </c>
      <c r="H48" s="476"/>
      <c r="J48" s="456">
        <v>23</v>
      </c>
    </row>
    <row customHeight="1" ht="24">
      <c r="A49" s="2203"/>
      <c r="B49" s="503"/>
      <c r="C49" s="493"/>
      <c r="D49" s="441" t="str">
        <f>IF(TEMPLATE_SPHERE="TKO",D45&amp;".0",D45&amp;".4")</f>
        <v>11.4</v>
      </c>
      <c r="E49" s="437" t="s">
        <v>359</v>
      </c>
      <c r="F49" s="1686"/>
      <c r="G49" s="1763" t="s">
        <v>360</v>
      </c>
      <c r="H49" s="476"/>
      <c r="J49" s="456">
        <v>23</v>
      </c>
    </row>
    <row customHeight="1" ht="24">
      <c r="A50" s="458"/>
      <c r="B50" s="503"/>
      <c r="C50" s="458"/>
      <c r="D50" s="468"/>
      <c r="E50" s="416" t="s">
        <v>361</v>
      </c>
      <c r="F50" s="469"/>
      <c r="G50" s="1763" t="s">
        <v>362</v>
      </c>
      <c r="H50" s="477"/>
      <c r="J50" s="456">
        <v>23</v>
      </c>
    </row>
    <row customHeight="1" ht="24">
      <c r="A51" s="859"/>
      <c r="B51" s="503"/>
      <c r="C51" s="493"/>
      <c r="D51" s="441">
        <f>D45+1</f>
        <v>12</v>
      </c>
      <c r="E51" s="529" t="s">
        <v>363</v>
      </c>
      <c r="F51" s="491"/>
      <c r="G51" s="1690"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476"/>
      <c r="J51" s="456">
        <v>23</v>
      </c>
    </row>
    <row customHeight="1" ht="11.549999999999999">
      <c r="A52" s="458"/>
      <c r="B52" s="503"/>
      <c r="C52" s="458"/>
      <c r="J52" s="456">
        <v>11</v>
      </c>
    </row>
    <row s="461" customFormat="1" customHeight="1" ht="31.5">
      <c r="A53" s="1688"/>
      <c r="B53" s="504"/>
      <c r="C53" s="2204"/>
      <c r="D53" s="2207"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207"/>
      <c r="F53" s="2207"/>
      <c r="G53" s="2207"/>
      <c r="H53" s="455"/>
      <c r="I53" s="455"/>
      <c r="J53" s="461">
        <v>30</v>
      </c>
    </row>
    <row s="461" customFormat="1" customHeight="1" ht="42">
      <c r="A54" s="458"/>
      <c r="B54" s="503"/>
      <c r="C54" s="2204"/>
      <c r="D54" s="2207"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4" s="2207"/>
      <c r="F54" s="2207"/>
      <c r="G54" s="2207"/>
      <c r="J54" s="461">
        <v>40</v>
      </c>
    </row>
    <row customHeight="1" ht="11.549999999999999">
      <c r="D55" s="459"/>
      <c r="E55" s="460"/>
      <c r="F55" s="460"/>
      <c r="G55" s="460"/>
      <c r="J55" s="456">
        <v>11</v>
      </c>
    </row>
    <row customHeight="1" ht="28.5">
      <c r="D56" s="462"/>
      <c r="E56" s="459"/>
      <c r="F56" s="471"/>
      <c r="G56" s="471"/>
      <c r="J56" s="456">
        <v>27</v>
      </c>
    </row>
    <row customHeight="1" ht="11.549999999999999">
      <c r="D57" s="459"/>
      <c r="E57" s="459"/>
      <c r="F57" s="460"/>
      <c r="G57" s="460"/>
      <c r="J57" s="456">
        <v>11</v>
      </c>
    </row>
    <row customHeight="1" ht="40.949999999999996">
      <c r="D58" s="463"/>
      <c r="E58" s="472"/>
      <c r="F58" s="472"/>
      <c r="G58" s="472"/>
      <c r="J58" s="456">
        <v>39</v>
      </c>
    </row>
    <row customHeight="1" ht="28.5">
      <c r="D59" s="463"/>
      <c r="E59" s="472"/>
      <c r="F59" s="472"/>
      <c r="G59" s="472"/>
      <c r="J59" s="456">
        <v>27</v>
      </c>
    </row>
    <row customHeight="1" ht="11.25" hidden="1">
      <c r="A60" s="1687" t="s">
        <v>84</v>
      </c>
      <c r="B60" s="502">
        <v>0</v>
      </c>
      <c r="C60" s="456">
        <v>3</v>
      </c>
      <c r="D60" s="457">
        <v>6</v>
      </c>
      <c r="E60" s="456">
        <v>52</v>
      </c>
      <c r="F60" s="456">
        <v>48</v>
      </c>
      <c r="G60" s="456">
        <v>121</v>
      </c>
      <c r="H60" s="456">
        <v>8</v>
      </c>
      <c r="I60" s="456">
        <v>64</v>
      </c>
      <c r="J60" s="456">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93A93AF-5EC4-B266-491D-0.779FA669}" mc:Ignorable="x14ac xr xr2 xr3">
  <sheetPr>
    <tabColor theme="3" tint="0.6"/>
  </sheetPr>
  <dimension ref="A1:AT18"/>
  <sheetViews>
    <sheetView topLeftCell="A1" showGridLines="0" zoomScale="90" workbookViewId="0">
      <selection activeCell="A1" sqref="A1"/>
    </sheetView>
  </sheetViews>
  <sheetFormatPr defaultColWidth="10.57421875" customHeight="1" defaultRowHeight="14.25"/>
  <cols>
    <col min="1" max="1" style="1633" width="9.140625" hidden="1" customWidth="1"/>
    <col min="2" max="2" style="1636" width="9.140625" hidden="1" customWidth="1"/>
    <col min="3" max="3" style="1843" width="3.00390625" customWidth="1"/>
    <col min="4" max="4" style="1636" width="5.00390625" customWidth="1"/>
    <col min="5" max="5" style="1636" width="48.00390625" customWidth="1"/>
    <col min="6" max="6" style="1636" width="38.00390625" customWidth="1"/>
    <col min="7" max="7" style="1636" width="1.7109375" hidden="1" customWidth="1"/>
    <col min="8" max="11" style="1636" width="19.8515625" hidden="1" customWidth="1"/>
    <col min="12" max="12" style="1636" width="9.7109375" hidden="1" customWidth="1"/>
    <col min="13" max="18" style="1636" width="19.8515625" hidden="1" customWidth="1"/>
    <col min="19" max="19" style="1636" width="1.7109375" hidden="1" customWidth="1"/>
    <col min="20" max="22" style="1636" width="19.8515625" hidden="1" customWidth="1"/>
    <col min="23" max="23" style="1636" width="1.7109375" hidden="1" customWidth="1"/>
    <col min="24" max="26" style="1636" width="19.8515625" customWidth="1"/>
    <col min="27" max="27" style="1636" width="1.7109375" hidden="1" customWidth="1"/>
    <col min="28" max="29" style="1636" width="19.8515625" hidden="1" customWidth="1"/>
    <col min="30" max="30" style="1636" width="1.7109375" hidden="1" customWidth="1"/>
    <col min="31" max="32" style="1636" width="103.7109375" hidden="1" customWidth="1"/>
    <col min="33" max="33" style="1636" width="103.7109375" customWidth="1"/>
    <col min="34" max="34" style="1636" width="103.7109375" hidden="1" customWidth="1"/>
    <col min="35" max="35" style="1820" width="3.00390625" customWidth="1"/>
    <col min="36" max="38" style="1643" width="10.00390625" customWidth="1"/>
    <col min="39" max="39" style="1643" width="13.7109375" hidden="1" customWidth="1"/>
    <col min="40" max="40" style="1643" width="15.00390625" customWidth="1"/>
    <col min="41" max="41" style="1643" width="16.00390625" customWidth="1"/>
    <col min="42" max="45" style="1643" width="10.00390625" customWidth="1"/>
    <col min="46" max="46" style="1636" width="10.57421875" hidden="1"/>
  </cols>
  <sheetData>
    <row customHeight="1" ht="22.5" hidden="1">
      <c r="E1" s="413"/>
      <c r="F1" s="413"/>
      <c r="G1" s="413"/>
      <c r="H1" s="2218" t="s">
        <v>364</v>
      </c>
      <c r="I1" s="2218"/>
      <c r="J1" s="2218"/>
      <c r="K1" s="2218"/>
      <c r="L1" s="2218"/>
      <c r="M1" s="2218"/>
      <c r="N1" s="2218"/>
      <c r="O1" s="2218"/>
      <c r="P1" s="2218"/>
      <c r="Q1" s="2218"/>
      <c r="R1" s="2218"/>
      <c r="T1" s="2218" t="s">
        <v>365</v>
      </c>
      <c r="U1" s="2218"/>
      <c r="V1" s="2218"/>
      <c r="X1" s="2218" t="s">
        <v>366</v>
      </c>
      <c r="Y1" s="2218"/>
      <c r="Z1" s="2218"/>
      <c r="AB1" s="2218" t="s">
        <v>367</v>
      </c>
      <c r="AC1" s="2218"/>
      <c r="AT1" s="448" t="s">
        <v>14</v>
      </c>
    </row>
    <row customHeight="1" ht="14.25" hidden="1">
      <c r="AT2" s="448">
        <v>0</v>
      </c>
    </row>
    <row s="1614" customFormat="1" customHeight="1" ht="5.25">
      <c r="C3" s="702"/>
      <c r="D3" s="703"/>
      <c r="E3" s="703"/>
      <c r="F3" s="703"/>
      <c r="G3" s="703"/>
      <c r="H3" s="703" t="s">
        <v>368</v>
      </c>
      <c r="I3" s="703"/>
      <c r="J3" s="703"/>
      <c r="K3" s="703"/>
      <c r="L3" s="703"/>
      <c r="M3" s="703"/>
      <c r="N3" s="703"/>
      <c r="O3" s="703"/>
      <c r="P3" s="703"/>
      <c r="Q3" s="703"/>
      <c r="R3" s="703"/>
      <c r="S3" s="703"/>
      <c r="T3" s="703"/>
      <c r="U3" s="703"/>
      <c r="V3" s="703"/>
      <c r="W3" s="703"/>
      <c r="X3" s="703"/>
      <c r="Y3" s="703"/>
      <c r="Z3" s="703"/>
      <c r="AA3" s="703"/>
      <c r="AB3" s="703"/>
      <c r="AC3" s="703"/>
      <c r="AD3" s="703"/>
      <c r="AE3" s="703"/>
      <c r="AF3" s="703"/>
      <c r="AG3" s="703"/>
      <c r="AH3" s="703"/>
      <c r="AJ3" s="512"/>
      <c r="AK3" s="512"/>
      <c r="AL3" s="512"/>
      <c r="AM3" s="512"/>
      <c r="AN3" s="512"/>
      <c r="AO3" s="512"/>
      <c r="AP3" s="512"/>
      <c r="AQ3" s="512"/>
      <c r="AR3" s="512"/>
      <c r="AS3" s="512"/>
      <c r="AT3" s="701">
        <v>5</v>
      </c>
    </row>
    <row customHeight="1" ht="39.75">
      <c r="C4" s="451"/>
      <c r="D4" s="2158" t="str">
        <f>ORG_VD_NAME_FORM</f>
        <v>Форма 1. Информация об организации, осуществляющей холодное водоснабжение (общая информация)</v>
      </c>
      <c r="E4" s="2159"/>
      <c r="F4" s="2159"/>
      <c r="G4" s="2159"/>
      <c r="H4" s="2159"/>
      <c r="I4" s="2159"/>
      <c r="J4" s="2159"/>
      <c r="K4" s="2159"/>
      <c r="L4" s="2159"/>
      <c r="M4" s="2159"/>
      <c r="N4" s="2159"/>
      <c r="O4" s="2159"/>
      <c r="P4" s="2159"/>
      <c r="Q4" s="2159"/>
      <c r="R4" s="2160"/>
      <c r="S4" s="854"/>
      <c r="T4" s="700"/>
      <c r="U4" s="700"/>
      <c r="V4" s="700"/>
      <c r="W4" s="700"/>
      <c r="X4" s="700"/>
      <c r="Y4" s="700"/>
      <c r="Z4" s="700"/>
      <c r="AA4" s="700"/>
      <c r="AB4" s="700"/>
      <c r="AC4" s="700"/>
      <c r="AD4" s="700"/>
      <c r="AE4" s="492"/>
      <c r="AF4" s="492"/>
      <c r="AG4" s="492"/>
      <c r="AH4" s="492"/>
      <c r="AI4" s="489"/>
      <c r="AT4" s="448">
        <v>38</v>
      </c>
    </row>
    <row s="1636" customFormat="1" customHeight="1" ht="18">
      <c r="A5" s="760"/>
      <c r="C5" s="823"/>
      <c r="D5" s="2215" t="str">
        <f>IF(org=0,"Не определено",org)</f>
        <v>ИМУП «ПОСЖИЛКОМСЕРВИС»</v>
      </c>
      <c r="E5" s="2216"/>
      <c r="F5" s="2216"/>
      <c r="G5" s="2216"/>
      <c r="H5" s="2216"/>
      <c r="I5" s="2216"/>
      <c r="J5" s="2216"/>
      <c r="K5" s="2216"/>
      <c r="L5" s="2216"/>
      <c r="M5" s="2216"/>
      <c r="N5" s="2216"/>
      <c r="O5" s="2216"/>
      <c r="P5" s="2216"/>
      <c r="Q5" s="2216"/>
      <c r="R5" s="2217"/>
      <c r="S5" s="854"/>
      <c r="T5" s="700"/>
      <c r="U5" s="700"/>
      <c r="V5" s="700"/>
      <c r="W5" s="700"/>
      <c r="X5" s="700"/>
      <c r="Y5" s="700"/>
      <c r="Z5" s="700"/>
      <c r="AA5" s="700"/>
      <c r="AB5" s="700"/>
      <c r="AC5" s="700"/>
      <c r="AD5" s="700"/>
      <c r="AE5" s="492"/>
      <c r="AF5" s="492"/>
      <c r="AG5" s="492"/>
      <c r="AH5" s="492"/>
      <c r="AI5" s="489"/>
      <c r="AJ5" s="512"/>
      <c r="AK5" s="512"/>
      <c r="AL5" s="512"/>
      <c r="AM5" s="512"/>
      <c r="AN5" s="512"/>
      <c r="AO5" s="512"/>
      <c r="AP5" s="512"/>
      <c r="AQ5" s="512"/>
      <c r="AR5" s="512"/>
      <c r="AS5" s="512"/>
      <c r="AT5" s="759">
        <v>17</v>
      </c>
    </row>
    <row s="1613" customFormat="1" customHeight="1" ht="11.549999999999999">
      <c r="A6" s="480"/>
      <c r="C6" s="487"/>
      <c r="D6" s="486"/>
      <c r="E6" s="486"/>
      <c r="F6" s="486"/>
      <c r="G6" s="486"/>
      <c r="H6" s="486"/>
      <c r="I6" s="486"/>
      <c r="J6" s="486"/>
      <c r="K6" s="486"/>
      <c r="L6" s="486"/>
      <c r="M6" s="486"/>
      <c r="N6" s="486"/>
      <c r="O6" s="486"/>
      <c r="P6" s="486"/>
      <c r="Q6" s="486"/>
      <c r="R6" s="753"/>
      <c r="S6" s="753"/>
      <c r="T6" s="486"/>
      <c r="U6" s="486"/>
      <c r="V6" s="713"/>
      <c r="W6" s="713"/>
      <c r="X6" s="486"/>
      <c r="Y6" s="486"/>
      <c r="Z6" s="713"/>
      <c r="AA6" s="713"/>
      <c r="AB6" s="486"/>
      <c r="AC6" s="713"/>
      <c r="AD6" s="713"/>
      <c r="AE6" s="486"/>
      <c r="AF6" s="486"/>
      <c r="AG6" s="486"/>
      <c r="AH6" s="486"/>
      <c r="AJ6" s="490"/>
      <c r="AK6" s="490"/>
      <c r="AL6" s="490"/>
      <c r="AM6" s="490"/>
      <c r="AN6" s="490"/>
      <c r="AO6" s="490"/>
      <c r="AP6" s="490"/>
      <c r="AQ6" s="490"/>
      <c r="AR6" s="490"/>
      <c r="AS6" s="490"/>
      <c r="AT6" s="481">
        <v>11</v>
      </c>
    </row>
    <row customHeight="1" ht="14.699999999999998">
      <c r="C7" s="451"/>
      <c r="D7" s="2219" t="s">
        <v>312</v>
      </c>
      <c r="E7" s="2220"/>
      <c r="F7" s="2220"/>
      <c r="G7" s="2220"/>
      <c r="H7" s="2220"/>
      <c r="I7" s="2220"/>
      <c r="J7" s="2220"/>
      <c r="K7" s="2220"/>
      <c r="L7" s="2220"/>
      <c r="M7" s="2220"/>
      <c r="N7" s="2220"/>
      <c r="O7" s="2220"/>
      <c r="P7" s="2220"/>
      <c r="Q7" s="2220"/>
      <c r="R7" s="2220"/>
      <c r="S7" s="2220"/>
      <c r="T7" s="2220"/>
      <c r="U7" s="2220"/>
      <c r="V7" s="2220"/>
      <c r="W7" s="2220"/>
      <c r="X7" s="2220"/>
      <c r="Y7" s="2220"/>
      <c r="Z7" s="2220"/>
      <c r="AA7" s="2220"/>
      <c r="AB7" s="2220"/>
      <c r="AC7" s="2220"/>
      <c r="AD7" s="2221"/>
      <c r="AE7" s="2224" t="s">
        <v>313</v>
      </c>
      <c r="AF7" s="2224" t="s">
        <v>313</v>
      </c>
      <c r="AG7" s="2224" t="s">
        <v>313</v>
      </c>
      <c r="AH7" s="2224" t="s">
        <v>313</v>
      </c>
      <c r="AT7" s="448">
        <v>14</v>
      </c>
    </row>
    <row customHeight="1" ht="27.299999999999997">
      <c r="C8" s="451"/>
      <c r="D8" s="2128" t="s">
        <v>90</v>
      </c>
      <c r="E8" s="2224" t="str">
        <f>"Наименование "&amp;IF(TEMPLATE_SPHERE&lt;&gt;"HEAT","централизованной ","")&amp;"системы "&amp;TEMPLATE_SPHERE_RUS</f>
        <v>Наименование централизованной системы холодного водоснабжения</v>
      </c>
      <c r="F8" s="2224" t="str">
        <f>IF(TEMPLATE_SPHERE&lt;&gt;"HEAT","Регулируемый вид деятельности","Вид регулируемой деятельности")</f>
        <v>Регулируемый вид деятельности</v>
      </c>
      <c r="G8" s="829"/>
      <c r="H8" s="2225" t="s">
        <v>369</v>
      </c>
      <c r="I8" s="2227" t="s">
        <v>370</v>
      </c>
      <c r="J8" s="2224" t="s">
        <v>371</v>
      </c>
      <c r="K8" s="2224"/>
      <c r="L8" s="2224"/>
      <c r="M8" s="2219"/>
      <c r="N8" s="2224" t="s">
        <v>372</v>
      </c>
      <c r="O8" s="2224"/>
      <c r="P8" s="2224" t="s">
        <v>373</v>
      </c>
      <c r="Q8" s="2224"/>
      <c r="R8" s="2231" t="s">
        <v>374</v>
      </c>
      <c r="S8" s="825"/>
      <c r="T8" s="2229" t="s">
        <v>375</v>
      </c>
      <c r="U8" s="2229" t="s">
        <v>376</v>
      </c>
      <c r="V8" s="2229" t="s">
        <v>377</v>
      </c>
      <c r="W8" s="827"/>
      <c r="X8" s="2229" t="s">
        <v>378</v>
      </c>
      <c r="Y8" s="2229" t="s">
        <v>379</v>
      </c>
      <c r="Z8" s="2229" t="s">
        <v>380</v>
      </c>
      <c r="AA8" s="827"/>
      <c r="AB8" s="2229" t="s">
        <v>381</v>
      </c>
      <c r="AC8" s="2229" t="s">
        <v>374</v>
      </c>
      <c r="AD8" s="827"/>
      <c r="AE8" s="2224"/>
      <c r="AF8" s="2224"/>
      <c r="AG8" s="2224"/>
      <c r="AH8" s="2224"/>
      <c r="AT8" s="448">
        <v>26</v>
      </c>
    </row>
    <row customHeight="1" ht="46.199999999999996">
      <c r="C9" s="451"/>
      <c r="D9" s="2128"/>
      <c r="E9" s="2224"/>
      <c r="F9" s="2224"/>
      <c r="G9" s="830"/>
      <c r="H9" s="2226"/>
      <c r="I9" s="2228"/>
      <c r="J9" s="426" t="s">
        <v>382</v>
      </c>
      <c r="K9" s="426" t="s">
        <v>383</v>
      </c>
      <c r="L9" s="426" t="s">
        <v>384</v>
      </c>
      <c r="M9" s="432" t="s">
        <v>385</v>
      </c>
      <c r="N9" s="426" t="s">
        <v>386</v>
      </c>
      <c r="O9" s="426" t="s">
        <v>385</v>
      </c>
      <c r="P9" s="426" t="s">
        <v>387</v>
      </c>
      <c r="Q9" s="426" t="s">
        <v>385</v>
      </c>
      <c r="R9" s="2232"/>
      <c r="S9" s="826"/>
      <c r="T9" s="2230"/>
      <c r="U9" s="2230"/>
      <c r="V9" s="2230"/>
      <c r="W9" s="828"/>
      <c r="X9" s="2230"/>
      <c r="Y9" s="2230"/>
      <c r="Z9" s="2230"/>
      <c r="AA9" s="828"/>
      <c r="AB9" s="2230"/>
      <c r="AC9" s="2230"/>
      <c r="AD9" s="828"/>
      <c r="AE9" s="2224"/>
      <c r="AF9" s="2224"/>
      <c r="AG9" s="2224"/>
      <c r="AH9" s="2224"/>
      <c r="AT9" s="448">
        <v>44</v>
      </c>
    </row>
    <row customHeight="1" ht="12" hidden="1">
      <c r="C10" s="488"/>
      <c r="D10" s="449"/>
      <c r="E10" s="449"/>
      <c r="F10" s="449"/>
      <c r="G10" s="449"/>
      <c r="H10" s="449"/>
      <c r="I10" s="449"/>
      <c r="J10" s="449"/>
      <c r="K10" s="449"/>
      <c r="L10" s="449"/>
      <c r="M10" s="449"/>
      <c r="N10" s="449"/>
      <c r="O10" s="449"/>
      <c r="P10" s="449"/>
      <c r="Q10" s="449"/>
      <c r="R10" s="449"/>
      <c r="S10" s="449"/>
      <c r="T10" s="449"/>
      <c r="U10" s="449"/>
      <c r="V10" s="449"/>
      <c r="W10" s="449"/>
      <c r="X10" s="449"/>
      <c r="Y10" s="449"/>
      <c r="Z10" s="449"/>
      <c r="AA10" s="449"/>
      <c r="AB10" s="449"/>
      <c r="AC10" s="449"/>
      <c r="AD10" s="449"/>
      <c r="AE10" s="449"/>
      <c r="AF10" s="449"/>
      <c r="AG10" s="449"/>
      <c r="AH10" s="449"/>
      <c r="AI10" s="448"/>
      <c r="AP10" s="501"/>
      <c r="AQ10" s="501"/>
      <c r="AT10" s="448">
        <v>0</v>
      </c>
    </row>
    <row s="1642" customFormat="1" customHeight="1" ht="11.25" hidden="1">
      <c r="C11" s="499"/>
      <c r="D11" s="500" t="s">
        <v>388</v>
      </c>
      <c r="E11" s="500"/>
      <c r="F11" s="500"/>
      <c r="G11" s="500"/>
      <c r="H11" s="498"/>
      <c r="I11" s="498"/>
      <c r="J11" s="498"/>
      <c r="K11" s="498"/>
      <c r="L11" s="498"/>
      <c r="M11" s="498"/>
      <c r="N11" s="498"/>
      <c r="O11" s="498"/>
      <c r="P11" s="498"/>
      <c r="Q11" s="498"/>
      <c r="R11" s="498"/>
      <c r="S11" s="498"/>
      <c r="T11" s="498"/>
      <c r="U11" s="498"/>
      <c r="V11" s="498"/>
      <c r="W11" s="498"/>
      <c r="X11" s="498"/>
      <c r="Y11" s="498"/>
      <c r="Z11" s="498"/>
      <c r="AA11" s="498"/>
      <c r="AB11" s="498"/>
      <c r="AC11" s="498"/>
      <c r="AD11" s="498"/>
      <c r="AE11" s="436"/>
      <c r="AF11" s="436"/>
      <c r="AG11" s="436"/>
      <c r="AH11" s="436"/>
      <c r="AJ11" s="490"/>
      <c r="AK11" s="490"/>
      <c r="AL11" s="490"/>
      <c r="AM11" s="490"/>
      <c r="AN11" s="490"/>
      <c r="AO11" s="490"/>
      <c r="AP11" s="490"/>
      <c r="AQ11" s="490"/>
      <c r="AR11" s="490"/>
      <c r="AS11" s="490"/>
      <c r="AT11" s="497">
        <v>0</v>
      </c>
    </row>
    <row customHeight="1" ht="14.699999999999998">
      <c r="A12" s="448"/>
      <c r="C12" s="451"/>
      <c r="D12" s="435" t="s">
        <v>112</v>
      </c>
      <c r="E12" s="1778" t="s">
        <v>28</v>
      </c>
      <c r="F12" s="856"/>
      <c r="G12" s="857"/>
      <c r="H12" s="1779"/>
      <c r="I12" s="1779"/>
      <c r="J12" s="434"/>
      <c r="K12" s="1864"/>
      <c r="L12" s="433"/>
      <c r="M12" s="1864"/>
      <c r="N12" s="434"/>
      <c r="O12" s="1864"/>
      <c r="P12" s="434"/>
      <c r="Q12" s="1864"/>
      <c r="R12" s="434"/>
      <c r="S12" s="855"/>
      <c r="T12" s="1779"/>
      <c r="U12" s="434"/>
      <c r="V12" s="434"/>
      <c r="W12" s="828"/>
      <c r="X12" s="1779"/>
      <c r="Y12" s="434"/>
      <c r="Z12" s="434"/>
      <c r="AA12" s="828"/>
      <c r="AB12" s="1779"/>
      <c r="AC12" s="434"/>
      <c r="AD12" s="828"/>
      <c r="AE12" s="2222" t="s">
        <v>389</v>
      </c>
      <c r="AF12" s="2222" t="s">
        <v>390</v>
      </c>
      <c r="AG12" s="2222" t="s">
        <v>391</v>
      </c>
      <c r="AH12" s="2222" t="s">
        <v>392</v>
      </c>
      <c r="AI12" s="448"/>
      <c r="AM12" s="512"/>
      <c r="AP12" s="501" t="s">
        <v>393</v>
      </c>
      <c r="AQ12" s="501" t="s">
        <v>393</v>
      </c>
      <c r="AT12" s="448">
        <v>14</v>
      </c>
    </row>
    <row customHeight="1" ht="18">
      <c r="A13" s="448"/>
      <c r="C13" s="451"/>
      <c r="D13" s="406"/>
      <c r="E13" s="870" t="str">
        <f>IF(TITLE_DIFFERENTIATION_TYPE="нет","","Добавить систему")</f>
        <v/>
      </c>
      <c r="F13" s="870" t="str">
        <f>IF(TITLE_DIFFERENTIATION_TYPE="нет","Добавить вид деятельности","")</f>
        <v>Добавить вид деятельности</v>
      </c>
      <c r="G13" s="314"/>
      <c r="H13" s="407"/>
      <c r="I13" s="407"/>
      <c r="J13" s="407"/>
      <c r="K13" s="407"/>
      <c r="L13" s="407"/>
      <c r="M13" s="407"/>
      <c r="N13" s="407"/>
      <c r="O13" s="407"/>
      <c r="P13" s="407"/>
      <c r="Q13" s="407"/>
      <c r="R13" s="407"/>
      <c r="S13" s="407"/>
      <c r="T13" s="407"/>
      <c r="U13" s="407"/>
      <c r="V13" s="407"/>
      <c r="W13" s="407"/>
      <c r="X13" s="407"/>
      <c r="Y13" s="407"/>
      <c r="Z13" s="407"/>
      <c r="AA13" s="407"/>
      <c r="AB13" s="407"/>
      <c r="AC13" s="407"/>
      <c r="AD13" s="858"/>
      <c r="AE13" s="2223"/>
      <c r="AF13" s="2223"/>
      <c r="AG13" s="2223"/>
      <c r="AH13" s="2223"/>
      <c r="AI13" s="448"/>
      <c r="AT13" s="448">
        <v>17</v>
      </c>
    </row>
    <row customHeight="1" ht="14.699999999999998">
      <c r="AI14" s="448"/>
      <c r="AT14" s="448">
        <v>14</v>
      </c>
    </row>
    <row customHeight="1" ht="14.699999999999998">
      <c r="E15" s="759"/>
      <c r="L15" s="759"/>
      <c r="AT15" s="448">
        <v>14</v>
      </c>
    </row>
    <row customHeight="1" ht="14.699999999999998">
      <c r="L16" s="759"/>
      <c r="AT16" s="448">
        <v>14</v>
      </c>
    </row>
    <row customHeight="1" ht="14.699999999999998">
      <c r="L17" s="759"/>
      <c r="AT17" s="448">
        <v>14</v>
      </c>
    </row>
    <row customHeight="1" ht="22.5" hidden="1">
      <c r="A18" s="450" t="s">
        <v>84</v>
      </c>
      <c r="B18" s="448">
        <v>0</v>
      </c>
      <c r="C18" s="452">
        <v>3</v>
      </c>
      <c r="D18" s="448">
        <v>5</v>
      </c>
      <c r="E18" s="448">
        <v>48</v>
      </c>
      <c r="F18" s="448">
        <v>38</v>
      </c>
      <c r="G18" s="759">
        <v>0</v>
      </c>
      <c r="H18" s="448">
        <v>0</v>
      </c>
      <c r="I18" s="448">
        <v>0</v>
      </c>
      <c r="J18" s="448">
        <v>0</v>
      </c>
      <c r="K18" s="448">
        <v>0</v>
      </c>
      <c r="L18" s="448">
        <v>0</v>
      </c>
      <c r="M18" s="448">
        <v>0</v>
      </c>
      <c r="N18" s="448">
        <v>0</v>
      </c>
      <c r="O18" s="448">
        <v>0</v>
      </c>
      <c r="P18" s="448">
        <v>0</v>
      </c>
      <c r="Q18" s="448">
        <v>0</v>
      </c>
      <c r="R18" s="448">
        <v>0</v>
      </c>
      <c r="S18" s="759">
        <v>0</v>
      </c>
      <c r="T18" s="506">
        <v>0</v>
      </c>
      <c r="U18" s="506">
        <v>0</v>
      </c>
      <c r="V18" s="506">
        <v>0</v>
      </c>
      <c r="W18" s="759">
        <v>0</v>
      </c>
      <c r="X18" s="506">
        <v>0</v>
      </c>
      <c r="Y18" s="506">
        <v>0</v>
      </c>
      <c r="Z18" s="506">
        <v>0</v>
      </c>
      <c r="AA18" s="759">
        <v>0</v>
      </c>
      <c r="AB18" s="506">
        <v>0</v>
      </c>
      <c r="AC18" s="506">
        <v>0</v>
      </c>
      <c r="AD18" s="759">
        <v>0</v>
      </c>
      <c r="AE18" s="448">
        <v>0</v>
      </c>
      <c r="AF18" s="506">
        <v>0</v>
      </c>
      <c r="AG18" s="506">
        <v>0</v>
      </c>
      <c r="AH18" s="506">
        <v>0</v>
      </c>
      <c r="AI18" s="453">
        <v>3</v>
      </c>
      <c r="AJ18" s="490">
        <v>10</v>
      </c>
      <c r="AK18" s="490">
        <v>10</v>
      </c>
      <c r="AL18" s="490">
        <v>10</v>
      </c>
      <c r="AM18" s="490">
        <v>0</v>
      </c>
      <c r="AN18" s="490">
        <v>15</v>
      </c>
      <c r="AO18" s="490">
        <v>16</v>
      </c>
      <c r="AP18" s="490">
        <v>10</v>
      </c>
      <c r="AQ18" s="490">
        <v>10</v>
      </c>
      <c r="AR18" s="490">
        <v>10</v>
      </c>
      <c r="AS18" s="490">
        <v>10</v>
      </c>
      <c r="AT18" s="448">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35B8C7E-675E-8593-740E-0.271DC09B}" mc:Ignorable="x14ac xr xr2 xr3">
  <sheetPr>
    <tabColor theme="3" tint="0.6"/>
  </sheetPr>
  <dimension ref="A1:V18"/>
  <sheetViews>
    <sheetView topLeftCell="A1" showGridLines="0" zoomScale="90" workbookViewId="0">
      <selection activeCell="A1" sqref="A1"/>
    </sheetView>
  </sheetViews>
  <sheetFormatPr defaultColWidth="10.57421875" customHeight="1" defaultRowHeight="14.25"/>
  <cols>
    <col min="1" max="1" style="1633" width="9.140625" hidden="1" customWidth="1"/>
    <col min="2" max="2" style="1636" width="9.140625" hidden="1" customWidth="1"/>
    <col min="3" max="3" style="1843" width="3.00390625" customWidth="1"/>
    <col min="4" max="4" style="1636" width="5.00390625" customWidth="1"/>
    <col min="5" max="5" style="1636" width="38.00390625" customWidth="1"/>
    <col min="6" max="7" style="1636" width="3.00390625" customWidth="1"/>
    <col min="8" max="8" style="1636" width="38.00390625" customWidth="1"/>
    <col min="9" max="9" style="1636" width="35.00390625" customWidth="1"/>
    <col min="10" max="10" style="1636" width="103.00390625" customWidth="1"/>
    <col min="11" max="11" style="1820" width="3.00390625" customWidth="1"/>
    <col min="12" max="14" style="1643" width="10.00390625" customWidth="1"/>
    <col min="15" max="15" style="1643" width="13.00390625" customWidth="1"/>
    <col min="16" max="16" style="1643" width="15.00390625" customWidth="1"/>
    <col min="17" max="17" style="1643" width="16.00390625" customWidth="1"/>
    <col min="18" max="21" style="1643" width="10.00390625" customWidth="1"/>
    <col min="22" max="22" style="1636" width="10.57421875" hidden="1"/>
  </cols>
  <sheetData>
    <row customHeight="1" ht="22.5" hidden="1">
      <c r="E1" s="413"/>
      <c r="F1" s="413"/>
      <c r="G1" s="413"/>
      <c r="H1" s="2218" t="s">
        <v>364</v>
      </c>
      <c r="I1" s="2218"/>
      <c r="V1" s="1608" t="s">
        <v>14</v>
      </c>
    </row>
    <row s="1636" customFormat="1" customHeight="1" ht="14.25" hidden="1">
      <c r="C2" s="1620"/>
      <c r="D2" s="2234" t="s">
        <v>112</v>
      </c>
      <c r="E2" s="2236"/>
      <c r="F2" s="1626"/>
      <c r="G2" s="1621" t="s">
        <v>112</v>
      </c>
      <c r="H2" s="1624"/>
      <c r="I2" s="1622"/>
      <c r="L2" s="1623"/>
      <c r="M2" s="1623"/>
      <c r="N2" s="1623"/>
      <c r="O2" s="1623" t="s">
        <v>394</v>
      </c>
      <c r="P2" s="1623"/>
      <c r="Q2" s="1623"/>
      <c r="R2" s="1625" t="s">
        <v>393</v>
      </c>
      <c r="S2" s="1625" t="s">
        <v>393</v>
      </c>
      <c r="T2" s="1623"/>
      <c r="U2" s="1623"/>
      <c r="V2" s="1619">
        <v>0</v>
      </c>
    </row>
    <row s="1636" customFormat="1" customHeight="1" ht="14.25" hidden="1">
      <c r="C3" s="1620"/>
      <c r="D3" s="2235"/>
      <c r="E3" s="2237"/>
      <c r="F3" s="406"/>
      <c r="G3" s="870"/>
      <c r="H3" s="870" t="s">
        <v>395</v>
      </c>
      <c r="I3" s="314"/>
      <c r="L3" s="1623"/>
      <c r="M3" s="1623"/>
      <c r="N3" s="1623"/>
      <c r="O3" s="1623"/>
      <c r="P3" s="1623"/>
      <c r="Q3" s="1623"/>
      <c r="R3" s="1625"/>
      <c r="S3" s="1625"/>
      <c r="T3" s="1623"/>
      <c r="U3" s="1623"/>
      <c r="V3" s="1619">
        <v>0</v>
      </c>
    </row>
    <row customHeight="1" ht="14.25" hidden="1">
      <c r="V4" s="1608">
        <v>0</v>
      </c>
    </row>
    <row s="1614" customFormat="1" customHeight="1" ht="5.25">
      <c r="C5" s="702"/>
      <c r="D5" s="703"/>
      <c r="E5" s="703"/>
      <c r="F5" s="703"/>
      <c r="G5" s="703"/>
      <c r="H5" s="703" t="s">
        <v>368</v>
      </c>
      <c r="I5" s="703"/>
      <c r="J5" s="703"/>
      <c r="L5" s="1615"/>
      <c r="M5" s="1615"/>
      <c r="N5" s="1615"/>
      <c r="O5" s="1615"/>
      <c r="P5" s="1615"/>
      <c r="Q5" s="1615"/>
      <c r="R5" s="1615"/>
      <c r="S5" s="1615"/>
      <c r="T5" s="1615"/>
      <c r="U5" s="1615"/>
      <c r="V5" s="1614">
        <v>5</v>
      </c>
    </row>
    <row customHeight="1" ht="29.25">
      <c r="C6" s="1517"/>
      <c r="D6" s="2238" t="s">
        <v>396</v>
      </c>
      <c r="E6" s="2238"/>
      <c r="F6" s="2238"/>
      <c r="G6" s="2238"/>
      <c r="H6" s="2238"/>
      <c r="I6" s="2238"/>
      <c r="J6" s="492"/>
      <c r="K6" s="1616"/>
      <c r="V6" s="1608">
        <v>28</v>
      </c>
    </row>
    <row customHeight="1" ht="18">
      <c r="C7" s="1517"/>
      <c r="D7" s="2177" t="str">
        <f>IF(org=0,"Не определено",org)</f>
        <v>ИМУП «ПОСЖИЛКОМСЕРВИС»</v>
      </c>
      <c r="E7" s="2177"/>
      <c r="F7" s="2177"/>
      <c r="G7" s="2177"/>
      <c r="H7" s="2177"/>
      <c r="I7" s="2177"/>
      <c r="J7" s="492"/>
      <c r="K7" s="1616"/>
      <c r="V7" s="1608">
        <v>17</v>
      </c>
    </row>
    <row s="1613" customFormat="1" customHeight="1" ht="5.25">
      <c r="A8" s="1612"/>
      <c r="C8" s="487"/>
      <c r="D8" s="486"/>
      <c r="E8" s="486"/>
      <c r="F8" s="486"/>
      <c r="G8" s="486"/>
      <c r="H8" s="486"/>
      <c r="I8" s="486"/>
      <c r="J8" s="486"/>
      <c r="L8" s="1615"/>
      <c r="M8" s="1615"/>
      <c r="N8" s="1615"/>
      <c r="O8" s="1615"/>
      <c r="P8" s="1615"/>
      <c r="Q8" s="1615"/>
      <c r="R8" s="1615"/>
      <c r="S8" s="1615"/>
      <c r="T8" s="1615"/>
      <c r="U8" s="1615"/>
      <c r="V8" s="1613">
        <v>5</v>
      </c>
    </row>
    <row s="1613" customFormat="1" customHeight="1" ht="5.25">
      <c r="A9" s="1612"/>
      <c r="C9" s="487"/>
      <c r="D9" s="486"/>
      <c r="E9" s="486"/>
      <c r="F9" s="486"/>
      <c r="G9" s="486"/>
      <c r="H9" s="486"/>
      <c r="I9" s="486"/>
      <c r="J9" s="486"/>
      <c r="L9" s="1623"/>
      <c r="M9" s="1623"/>
      <c r="N9" s="1623"/>
      <c r="O9" s="1623"/>
      <c r="P9" s="1623"/>
      <c r="Q9" s="1623"/>
      <c r="R9" s="1623"/>
      <c r="S9" s="1623"/>
      <c r="T9" s="1623"/>
      <c r="U9" s="1623"/>
      <c r="V9" s="1613">
        <v>5</v>
      </c>
    </row>
    <row customHeight="1" ht="14.699999999999998">
      <c r="C10" s="1517"/>
      <c r="D10" s="2219" t="s">
        <v>312</v>
      </c>
      <c r="E10" s="2220"/>
      <c r="F10" s="2220"/>
      <c r="G10" s="2220"/>
      <c r="H10" s="2220"/>
      <c r="I10" s="2220"/>
      <c r="J10" s="2224" t="s">
        <v>313</v>
      </c>
      <c r="V10" s="1608">
        <v>14</v>
      </c>
    </row>
    <row customHeight="1" ht="27.299999999999997">
      <c r="C11" s="1517"/>
      <c r="D11" s="2128" t="s">
        <v>90</v>
      </c>
      <c r="E11" s="2224" t="s">
        <v>108</v>
      </c>
      <c r="F11" s="2193" t="s">
        <v>90</v>
      </c>
      <c r="G11" s="2194"/>
      <c r="H11" s="2176" t="s">
        <v>397</v>
      </c>
      <c r="I11" s="2176" t="s">
        <v>398</v>
      </c>
      <c r="J11" s="2224"/>
      <c r="V11" s="1608">
        <v>26</v>
      </c>
    </row>
    <row customHeight="1" ht="14.699999999999998">
      <c r="C12" s="1517"/>
      <c r="D12" s="2128"/>
      <c r="E12" s="2224"/>
      <c r="F12" s="2201"/>
      <c r="G12" s="2202"/>
      <c r="H12" s="2233"/>
      <c r="I12" s="2233"/>
      <c r="J12" s="2224"/>
      <c r="V12" s="1608">
        <v>14</v>
      </c>
    </row>
    <row s="1642" customFormat="1" customHeight="1" ht="11.25" hidden="1">
      <c r="C13" s="499"/>
      <c r="D13" s="500" t="s">
        <v>388</v>
      </c>
      <c r="E13" s="500"/>
      <c r="F13" s="500"/>
      <c r="G13" s="500"/>
      <c r="H13" s="498"/>
      <c r="I13" s="498"/>
      <c r="J13" s="436"/>
      <c r="L13" s="1615"/>
      <c r="M13" s="1615"/>
      <c r="N13" s="1615"/>
      <c r="O13" s="1615"/>
      <c r="P13" s="1615"/>
      <c r="Q13" s="1615"/>
      <c r="R13" s="1615"/>
      <c r="S13" s="1615"/>
      <c r="T13" s="1615"/>
      <c r="U13" s="1615"/>
      <c r="V13" s="497">
        <v>0</v>
      </c>
    </row>
    <row customHeight="1" ht="14.699999999999998">
      <c r="A14" s="1608"/>
      <c r="C14" s="1517"/>
      <c r="D14" s="2234" t="s">
        <v>112</v>
      </c>
      <c r="E14" s="2236"/>
      <c r="F14" s="1618"/>
      <c r="G14" s="1617" t="s">
        <v>112</v>
      </c>
      <c r="H14" s="1624"/>
      <c r="I14" s="1622"/>
      <c r="J14" s="2170" t="s">
        <v>399</v>
      </c>
      <c r="K14" s="1608"/>
      <c r="R14" s="501" t="s">
        <v>393</v>
      </c>
      <c r="S14" s="501" t="s">
        <v>393</v>
      </c>
      <c r="V14" s="1608">
        <v>14</v>
      </c>
    </row>
    <row customHeight="1" ht="14.699999999999998">
      <c r="A15" s="1608"/>
      <c r="C15" s="1517"/>
      <c r="D15" s="2235"/>
      <c r="E15" s="2237"/>
      <c r="F15" s="406"/>
      <c r="G15" s="870"/>
      <c r="H15" s="870" t="s">
        <v>395</v>
      </c>
      <c r="I15" s="314"/>
      <c r="J15" s="2171"/>
      <c r="K15" s="1608"/>
      <c r="R15" s="501"/>
      <c r="S15" s="501"/>
      <c r="V15" s="1608">
        <v>14</v>
      </c>
    </row>
    <row customHeight="1" ht="14.699999999999998">
      <c r="A16" s="1608"/>
      <c r="C16" s="1517"/>
      <c r="D16" s="406"/>
      <c r="E16" s="870" t="s">
        <v>124</v>
      </c>
      <c r="F16" s="314"/>
      <c r="G16" s="314"/>
      <c r="H16" s="407"/>
      <c r="I16" s="407"/>
      <c r="J16" s="2172"/>
      <c r="K16" s="1608"/>
      <c r="V16" s="1608">
        <v>14</v>
      </c>
    </row>
    <row customHeight="1" ht="14.699999999999998">
      <c r="K17" s="1608"/>
      <c r="V17" s="1608">
        <v>14</v>
      </c>
    </row>
    <row customHeight="1" ht="22.5" hidden="1">
      <c r="A18" s="1609" t="s">
        <v>84</v>
      </c>
      <c r="B18" s="1608">
        <v>0</v>
      </c>
      <c r="C18" s="452">
        <v>3</v>
      </c>
      <c r="D18" s="1608">
        <v>5</v>
      </c>
      <c r="E18" s="1608">
        <v>38</v>
      </c>
      <c r="F18" s="1608">
        <v>3</v>
      </c>
      <c r="G18" s="1608">
        <v>3</v>
      </c>
      <c r="H18" s="1608">
        <v>38</v>
      </c>
      <c r="I18" s="1608">
        <v>35</v>
      </c>
      <c r="J18" s="1608">
        <v>103</v>
      </c>
      <c r="K18" s="1610">
        <v>3</v>
      </c>
      <c r="L18" s="1615">
        <v>10</v>
      </c>
      <c r="M18" s="1615">
        <v>10</v>
      </c>
      <c r="N18" s="1615">
        <v>10</v>
      </c>
      <c r="O18" s="1615">
        <v>13</v>
      </c>
      <c r="P18" s="1615">
        <v>15</v>
      </c>
      <c r="Q18" s="1615">
        <v>16</v>
      </c>
      <c r="R18" s="1615">
        <v>10</v>
      </c>
      <c r="S18" s="1615">
        <v>10</v>
      </c>
      <c r="T18" s="1615">
        <v>10</v>
      </c>
      <c r="U18" s="1615">
        <v>10</v>
      </c>
      <c r="V18" s="1608">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AD38082-DF52-D589-A703-0.4F6329DD}" mc:Ignorable="x14ac xr xr2 xr3">
  <sheetPr>
    <tabColor theme="3" tint="0.6"/>
  </sheetPr>
  <dimension ref="A1:W19"/>
  <sheetViews>
    <sheetView topLeftCell="A1" showGridLines="0" zoomScale="90" workbookViewId="0">
      <selection activeCell="A1" sqref="A1"/>
    </sheetView>
  </sheetViews>
  <sheetFormatPr defaultColWidth="10.57421875" customHeight="1" defaultRowHeight="14.25"/>
  <cols>
    <col min="1" max="1" style="1633" width="9.140625" hidden="1" customWidth="1"/>
    <col min="2" max="3" style="1636" width="9.140625" hidden="1" customWidth="1"/>
    <col min="4" max="4" style="1843" width="3.00390625" customWidth="1"/>
    <col min="5" max="5" style="1636" width="6.00390625" customWidth="1"/>
    <col min="6" max="6" style="1636" width="1.7109375" hidden="1" customWidth="1"/>
    <col min="7" max="8" style="1636" width="30.00390625" customWidth="1"/>
    <col min="9" max="9" style="1636" width="8.00390625" customWidth="1"/>
    <col min="10" max="10" style="1636" width="12.140625" customWidth="1"/>
    <col min="11" max="11" style="1636" width="46.00390625" customWidth="1"/>
    <col min="12" max="12" style="1636" width="100.00390625" customWidth="1"/>
    <col min="13" max="13" style="1820" width="7.00390625" customWidth="1"/>
    <col min="14" max="22" style="1636" width="10.00390625" customWidth="1"/>
    <col min="23" max="23" style="1636" width="10.57421875" hidden="1"/>
  </cols>
  <sheetData>
    <row s="1643" customFormat="1" customHeight="1" ht="5.25" hidden="1">
      <c r="C1" s="512"/>
      <c r="D1" s="495"/>
      <c r="F1" s="512"/>
      <c r="G1" s="490" t="s">
        <v>85</v>
      </c>
      <c r="H1" s="490" t="s">
        <v>86</v>
      </c>
      <c r="I1" s="490" t="s">
        <v>87</v>
      </c>
      <c r="P1" s="490" t="s">
        <v>85</v>
      </c>
      <c r="Q1" s="490" t="s">
        <v>86</v>
      </c>
      <c r="R1" s="490" t="s">
        <v>87</v>
      </c>
      <c r="W1" s="490" t="s">
        <v>14</v>
      </c>
    </row>
    <row s="1643" customFormat="1" customHeight="1" ht="5.25" hidden="1">
      <c r="C2" s="512"/>
      <c r="D2" s="495"/>
      <c r="F2" s="512"/>
      <c r="W2" s="490">
        <v>0</v>
      </c>
    </row>
    <row s="1613" customFormat="1" customHeight="1" ht="5.25">
      <c r="A3" s="480"/>
      <c r="D3" s="487"/>
      <c r="E3" s="482"/>
      <c r="F3" s="482"/>
      <c r="G3" s="482"/>
      <c r="H3" s="482"/>
      <c r="I3" s="483"/>
      <c r="J3" s="484"/>
      <c r="K3" s="484"/>
      <c r="L3" s="484"/>
      <c r="W3" s="481">
        <v>5</v>
      </c>
    </row>
    <row customHeight="1" ht="23.25">
      <c r="D4" s="451"/>
      <c r="E4" s="2239" t="s">
        <v>400</v>
      </c>
      <c r="F4" s="2239"/>
      <c r="G4" s="2240"/>
      <c r="H4" s="2240"/>
      <c r="I4" s="2241"/>
      <c r="J4" s="492"/>
      <c r="K4" s="454"/>
      <c r="L4" s="454"/>
      <c r="W4" s="448">
        <v>22</v>
      </c>
    </row>
    <row s="1636" customFormat="1" customHeight="1" ht="18">
      <c r="A5" s="760"/>
      <c r="D5" s="823"/>
      <c r="E5" s="2215" t="str">
        <f>IF(org=0,"Не определено",org)</f>
        <v>ИМУП «ПОСЖИЛКОМСЕРВИС»</v>
      </c>
      <c r="F5" s="2215"/>
      <c r="G5" s="2216"/>
      <c r="H5" s="2216"/>
      <c r="I5" s="2217"/>
      <c r="J5" s="492"/>
      <c r="K5" s="454"/>
      <c r="L5" s="454"/>
      <c r="M5" s="508"/>
      <c r="W5" s="759">
        <v>17</v>
      </c>
    </row>
    <row s="1613" customFormat="1" customHeight="1" ht="11.549999999999999">
      <c r="A6" s="480"/>
      <c r="D6" s="487"/>
      <c r="E6" s="482"/>
      <c r="F6" s="482"/>
      <c r="G6" s="485"/>
      <c r="H6" s="485"/>
      <c r="I6" s="486"/>
      <c r="J6" s="486"/>
      <c r="K6" s="753"/>
      <c r="L6" s="486"/>
      <c r="W6" s="481">
        <v>11</v>
      </c>
    </row>
    <row customHeight="1" ht="14.699999999999998">
      <c r="D7" s="451"/>
      <c r="E7" s="2209" t="s">
        <v>312</v>
      </c>
      <c r="F7" s="2209"/>
      <c r="G7" s="2210"/>
      <c r="H7" s="2210"/>
      <c r="I7" s="2210"/>
      <c r="J7" s="2210"/>
      <c r="K7" s="2210"/>
      <c r="L7" s="2224" t="s">
        <v>313</v>
      </c>
      <c r="W7" s="448">
        <v>14</v>
      </c>
    </row>
    <row customHeight="1" ht="48.29999999999999">
      <c r="D8" s="451"/>
      <c r="E8" s="474" t="s">
        <v>90</v>
      </c>
      <c r="F8" s="824"/>
      <c r="G8" s="466" t="s">
        <v>88</v>
      </c>
      <c r="H8" s="466" t="s">
        <v>89</v>
      </c>
      <c r="I8" s="415" t="s">
        <v>87</v>
      </c>
      <c r="J8" s="415" t="s">
        <v>401</v>
      </c>
      <c r="K8" s="415" t="s">
        <v>402</v>
      </c>
      <c r="L8" s="2224"/>
      <c r="W8" s="448">
        <v>46</v>
      </c>
    </row>
    <row customHeight="1" ht="12" hidden="1">
      <c r="D9" s="488"/>
      <c r="E9" s="494"/>
      <c r="F9" s="831"/>
      <c r="G9" s="494"/>
      <c r="H9" s="494"/>
      <c r="I9" s="494"/>
      <c r="J9" s="494"/>
      <c r="K9" s="494"/>
      <c r="L9" s="494"/>
      <c r="M9" s="448"/>
      <c r="W9" s="448">
        <v>0</v>
      </c>
    </row>
    <row customHeight="1" ht="14.25" hidden="1">
      <c r="A10" s="506"/>
      <c r="B10" s="506"/>
      <c r="D10" s="507"/>
      <c r="E10" s="513">
        <v>0</v>
      </c>
      <c r="F10" s="822"/>
      <c r="G10" s="509"/>
      <c r="H10" s="509"/>
      <c r="I10" s="509"/>
      <c r="J10" s="509"/>
      <c r="K10" s="509"/>
      <c r="L10" s="2222" t="s">
        <v>403</v>
      </c>
      <c r="M10" s="508"/>
      <c r="N10" s="506"/>
      <c r="O10" s="506"/>
      <c r="P10" s="506"/>
      <c r="Q10" s="506"/>
      <c r="R10" s="506"/>
      <c r="S10" s="506"/>
      <c r="T10" s="506"/>
      <c r="U10" s="506"/>
      <c r="V10" s="506"/>
      <c r="W10" s="448">
        <v>0</v>
      </c>
    </row>
    <row customHeight="1" ht="15" hidden="1">
      <c r="A11" s="2100"/>
      <c r="B11" s="505"/>
      <c r="C11" s="505"/>
      <c r="D11" s="866"/>
      <c r="E11" s="514"/>
      <c r="F11" s="514"/>
      <c r="G11" s="514"/>
      <c r="H11" s="514"/>
      <c r="I11" s="515"/>
      <c r="J11" s="516"/>
      <c r="K11" s="714"/>
      <c r="L11" s="2242"/>
      <c r="M11" s="512"/>
      <c r="N11" s="512"/>
      <c r="O11" s="512"/>
      <c r="P11" s="517"/>
      <c r="Q11" s="517"/>
      <c r="R11" s="518"/>
      <c r="S11" s="512"/>
      <c r="T11" s="512"/>
      <c r="U11" s="512"/>
      <c r="V11" s="512"/>
      <c r="W11" s="448">
        <v>0</v>
      </c>
    </row>
    <row s="1613" customFormat="1" customHeight="1" ht="15">
      <c r="A12" s="2100"/>
      <c r="B12" s="505"/>
      <c r="C12" s="505"/>
      <c r="D12" s="867"/>
      <c r="E12" s="824">
        <v>1</v>
      </c>
      <c r="F12" s="865">
        <v>23</v>
      </c>
      <c r="G12" s="864"/>
      <c r="H12" s="794"/>
      <c r="I12" s="792"/>
      <c r="J12" s="521" t="s">
        <v>63</v>
      </c>
      <c r="K12" s="1165" t="s">
        <v>28</v>
      </c>
      <c r="L12" s="2242"/>
      <c r="M12" s="512"/>
      <c r="N12" s="512"/>
      <c r="O12" s="512"/>
      <c r="P12" s="517" t="s">
        <v>404</v>
      </c>
      <c r="Q12" s="517" t="s">
        <v>405</v>
      </c>
      <c r="R12" s="518" t="s">
        <v>406</v>
      </c>
      <c r="S12" s="512" t="s">
        <v>407</v>
      </c>
      <c r="T12" s="512"/>
      <c r="U12" s="512"/>
      <c r="V12" s="512"/>
      <c r="W12" s="481">
        <v>14</v>
      </c>
    </row>
    <row customHeight="1" ht="15.75">
      <c r="A13" s="2100"/>
      <c r="B13" s="506"/>
      <c r="D13" s="507"/>
      <c r="E13" s="406"/>
      <c r="F13" s="530"/>
      <c r="G13" s="417" t="s">
        <v>105</v>
      </c>
      <c r="H13" s="405"/>
      <c r="I13" s="405"/>
      <c r="J13" s="405"/>
      <c r="K13" s="404"/>
      <c r="L13" s="2223"/>
      <c r="M13" s="510"/>
      <c r="N13" s="506"/>
      <c r="O13" s="506"/>
      <c r="P13" s="506"/>
      <c r="Q13" s="506"/>
      <c r="R13" s="506"/>
      <c r="S13" s="506"/>
      <c r="T13" s="506"/>
      <c r="U13" s="506"/>
      <c r="V13" s="506"/>
      <c r="W13" s="448">
        <v>15</v>
      </c>
    </row>
    <row customHeight="1" ht="11.549999999999999">
      <c r="A14" s="480"/>
      <c r="B14" s="481"/>
      <c r="C14" s="481"/>
      <c r="D14" s="496"/>
      <c r="E14" s="481"/>
      <c r="F14" s="481"/>
      <c r="G14" s="481"/>
      <c r="H14" s="481"/>
      <c r="I14" s="481"/>
      <c r="J14" s="481"/>
      <c r="K14" s="481"/>
      <c r="L14" s="481"/>
      <c r="M14" s="481"/>
      <c r="N14" s="481"/>
      <c r="O14" s="481"/>
      <c r="P14" s="481"/>
      <c r="Q14" s="481"/>
      <c r="R14" s="481"/>
      <c r="S14" s="481"/>
      <c r="T14" s="481"/>
      <c r="U14" s="481"/>
      <c r="V14" s="481"/>
      <c r="W14" s="448">
        <v>11</v>
      </c>
    </row>
    <row customHeight="1" ht="14.699999999999998">
      <c r="D15" s="467"/>
      <c r="E15" s="337"/>
      <c r="F15" s="337"/>
      <c r="G15" s="665"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467"/>
      <c r="I15" s="467"/>
      <c r="J15" s="467"/>
      <c r="K15" s="467"/>
      <c r="L15" s="467"/>
      <c r="W15" s="448">
        <v>14</v>
      </c>
    </row>
    <row customHeight="1" ht="14.699999999999998">
      <c r="W16" s="448">
        <v>14</v>
      </c>
    </row>
    <row customHeight="1" ht="14.699999999999998">
      <c r="W17" s="448">
        <v>14</v>
      </c>
    </row>
    <row customHeight="1" ht="14.699999999999998">
      <c r="G18" s="506"/>
      <c r="W18" s="448">
        <v>14</v>
      </c>
    </row>
    <row customHeight="1" ht="22.5" hidden="1">
      <c r="A19" s="450" t="s">
        <v>84</v>
      </c>
      <c r="B19" s="448">
        <v>0</v>
      </c>
      <c r="C19" s="759">
        <v>0</v>
      </c>
      <c r="D19" s="452">
        <v>3</v>
      </c>
      <c r="E19" s="448">
        <v>6</v>
      </c>
      <c r="F19" s="759">
        <v>0</v>
      </c>
      <c r="G19" s="448">
        <v>30</v>
      </c>
      <c r="H19" s="448">
        <v>30</v>
      </c>
      <c r="I19" s="448">
        <v>8</v>
      </c>
      <c r="J19" s="448">
        <v>12</v>
      </c>
      <c r="K19" s="448">
        <v>46</v>
      </c>
      <c r="L19" s="448">
        <v>100</v>
      </c>
      <c r="M19" s="453">
        <v>7</v>
      </c>
      <c r="N19" s="448">
        <v>10</v>
      </c>
      <c r="O19" s="448">
        <v>10</v>
      </c>
      <c r="P19" s="448">
        <v>10</v>
      </c>
      <c r="Q19" s="448">
        <v>10</v>
      </c>
      <c r="R19" s="448">
        <v>10</v>
      </c>
      <c r="S19" s="448">
        <v>10</v>
      </c>
      <c r="T19" s="448">
        <v>10</v>
      </c>
      <c r="U19" s="448">
        <v>10</v>
      </c>
      <c r="V19" s="448">
        <v>10</v>
      </c>
      <c r="W19" s="448">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AF8E783-E81C-2773-DD96-0.EC56CDFE}"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10">
        <f>INDEX(PT_DIFFERENTIATION_NUM_NTAR,MATCH(A2,PT_DIFFERENTIATION_NTAR_ID,0))</f>
      </c>
      <c r="T2" s="299" t="s">
        <v>126</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408</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05"/>
      <c r="Q3" s="353"/>
      <c r="R3" s="354"/>
      <c r="S3" s="1310">
        <f>INDEX(PT_DIFFERENTIATION_NUM_TER,MATCH(B3,PT_DIFFERENTIATION_TER_ID,0))</f>
      </c>
      <c r="T3" s="309" t="s">
        <v>409</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410</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10">
        <f>INDEX(PT_DIFFERENTIATION_NUM_CS,MATCH(C4,PT_DIFFERENTIATION_CS_ID,0))</f>
      </c>
      <c r="T4" s="310" t="s">
        <v>411</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412</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10">
        <f>INDEX(PT_DIFFERENTIATION_NUM_IST_TE,MATCH(D5,PT_DIFFERENTIATION_IST_TE_ID,0))</f>
      </c>
      <c r="T5" s="311" t="s">
        <v>413</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414</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415</v>
      </c>
      <c r="M6" s="538"/>
      <c r="P6" s="2258">
        <v>1</v>
      </c>
      <c r="Q6" s="1306"/>
      <c r="R6" s="357"/>
      <c r="S6" s="1310">
        <f>$I6</f>
      </c>
      <c r="T6" s="286" t="s">
        <v>416</v>
      </c>
      <c r="U6" s="301"/>
      <c r="V6" s="2246"/>
      <c r="W6" s="2247"/>
      <c r="X6" s="2247"/>
      <c r="Y6" s="2247"/>
      <c r="Z6" s="2247"/>
      <c r="AA6" s="2247"/>
      <c r="AB6" s="2247"/>
      <c r="AC6" s="2248"/>
      <c r="AD6" s="2246"/>
      <c r="AE6" s="2247"/>
      <c r="AF6" s="2247"/>
      <c r="AG6" s="2247"/>
      <c r="AH6" s="2247"/>
      <c r="AI6" s="2247"/>
      <c r="AJ6" s="2247"/>
      <c r="AK6" s="2247"/>
      <c r="AL6" s="2248"/>
      <c r="AM6" s="1259" t="s">
        <v>417</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418</v>
      </c>
      <c r="M7" s="538"/>
      <c r="N7" s="1367"/>
      <c r="P7" s="2258"/>
      <c r="Q7" s="2258">
        <v>1</v>
      </c>
      <c r="R7" s="358"/>
      <c r="S7" s="1310">
        <f>$J7</f>
      </c>
      <c r="T7" s="287" t="s">
        <v>419</v>
      </c>
      <c r="U7" s="301"/>
      <c r="V7" s="2246"/>
      <c r="W7" s="2247"/>
      <c r="X7" s="2247"/>
      <c r="Y7" s="2247"/>
      <c r="Z7" s="2247"/>
      <c r="AA7" s="2247"/>
      <c r="AB7" s="2247"/>
      <c r="AC7" s="2248"/>
      <c r="AD7" s="2246"/>
      <c r="AE7" s="2247"/>
      <c r="AF7" s="2247"/>
      <c r="AG7" s="2247"/>
      <c r="AH7" s="2247"/>
      <c r="AI7" s="2247"/>
      <c r="AJ7" s="2247"/>
      <c r="AK7" s="2247"/>
      <c r="AL7" s="2248"/>
      <c r="AM7" s="1259" t="s">
        <v>420</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421</v>
      </c>
      <c r="M8" s="538"/>
      <c r="N8" s="1367"/>
      <c r="O8" s="1367"/>
      <c r="P8" s="2258"/>
      <c r="Q8" s="2258"/>
      <c r="R8" s="358">
        <v>1</v>
      </c>
      <c r="S8" s="1310">
        <f>$K8</f>
      </c>
      <c r="T8" s="1348"/>
      <c r="U8" s="301"/>
      <c r="V8" s="752"/>
      <c r="W8" s="326"/>
      <c r="X8" s="752"/>
      <c r="Y8" s="1258"/>
      <c r="Z8" s="2266"/>
      <c r="AA8" s="2108" t="s">
        <v>63</v>
      </c>
      <c r="AB8" s="2266"/>
      <c r="AC8" s="2108" t="s">
        <v>63</v>
      </c>
      <c r="AD8" s="752"/>
      <c r="AE8" s="326"/>
      <c r="AF8" s="752"/>
      <c r="AG8" s="1258"/>
      <c r="AH8" s="2266"/>
      <c r="AI8" s="2108" t="s">
        <v>63</v>
      </c>
      <c r="AJ8" s="2266"/>
      <c r="AK8" s="2108" t="s">
        <v>63</v>
      </c>
      <c r="AL8" s="326"/>
      <c r="AM8" s="2254" t="s">
        <v>422</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07"/>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423</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06"/>
      <c r="R11" s="357"/>
      <c r="S11" s="1279"/>
      <c r="T11" s="288" t="s">
        <v>424</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425</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426</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232</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233</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P17" s="1312"/>
      <c r="AD17" s="1361"/>
      <c r="AE17" s="1361"/>
      <c r="AF17" s="1361"/>
      <c r="AG17" s="1362"/>
      <c r="AH17" s="2268"/>
      <c r="AI17" s="2269" t="s">
        <v>63</v>
      </c>
      <c r="AJ17" s="2268"/>
      <c r="AK17" s="2269" t="s">
        <v>63</v>
      </c>
      <c r="AS17" s="1156">
        <v>0</v>
      </c>
    </row>
    <row customHeight="1" ht="14.25" hidden="1">
      <c r="P18" s="1312"/>
      <c r="AD18" s="1361"/>
      <c r="AE18" s="1361"/>
      <c r="AF18" s="1361"/>
      <c r="AG18" s="329" t="str">
        <f>AH17&amp;"-"&amp;AJ17</f>
        <v>-</v>
      </c>
      <c r="AH18" s="2269"/>
      <c r="AI18" s="2269"/>
      <c r="AJ18" s="2269"/>
      <c r="AK18" s="2269"/>
      <c r="AS18" s="1156">
        <v>0</v>
      </c>
    </row>
    <row customHeight="1" ht="14.25" hidden="1">
      <c r="P19" s="1312"/>
      <c r="AK19" s="328"/>
      <c r="AS19" s="1156">
        <v>0</v>
      </c>
    </row>
    <row s="1367" customFormat="1" customHeight="1" ht="22.5" hidden="1">
      <c r="L20" s="1330"/>
      <c r="M20" s="1363"/>
      <c r="N20" s="1363"/>
      <c r="O20" s="1368" t="s">
        <v>427</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428</v>
      </c>
      <c r="P22" s="1363"/>
      <c r="Q22" s="1372"/>
      <c r="R22" s="1372"/>
      <c r="S22" s="730"/>
      <c r="T22" s="1161" t="s">
        <v>429</v>
      </c>
      <c r="AA22" s="187" t="s">
        <v>430</v>
      </c>
      <c r="AC22" s="187" t="s">
        <v>431</v>
      </c>
      <c r="AD22" s="1161" t="s">
        <v>429</v>
      </c>
      <c r="AI22" s="187" t="s">
        <v>432</v>
      </c>
      <c r="AK22" s="187" t="s">
        <v>431</v>
      </c>
      <c r="AN22" s="512"/>
      <c r="AO22" s="512"/>
      <c r="AP22" s="512"/>
      <c r="AQ22" s="512"/>
      <c r="AR22" s="512"/>
      <c r="AS22" s="1161">
        <v>0</v>
      </c>
    </row>
    <row customHeight="1" ht="14.25" hidden="1">
      <c r="O23" s="1365"/>
      <c r="P23" s="1312"/>
      <c r="AS23" s="1156">
        <v>0</v>
      </c>
    </row>
    <row customHeight="1" ht="14.25" hidden="1">
      <c r="O24" s="1365"/>
      <c r="P24" s="1312"/>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14.699999999999998">
      <c r="Q26" s="377"/>
      <c r="R26" s="377"/>
      <c r="S26" s="2249"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249"/>
      <c r="U26" s="2249"/>
      <c r="V26" s="2249"/>
      <c r="W26" s="2249"/>
      <c r="X26" s="2249"/>
      <c r="Y26" s="2249"/>
      <c r="Z26" s="2249"/>
      <c r="AA26" s="2249"/>
      <c r="AB26" s="2249"/>
      <c r="AC26" s="2249"/>
      <c r="AD26" s="2249"/>
      <c r="AE26" s="2249"/>
      <c r="AF26" s="2249"/>
      <c r="AG26" s="2249"/>
      <c r="AH26" s="2249"/>
      <c r="AI26" s="2249"/>
      <c r="AJ26" s="2249"/>
      <c r="AK26" s="1244"/>
      <c r="AS26" s="1156">
        <v>14</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Управление по государственному регулированию цен (тарифов) Ненецкого автономного округа</v>
      </c>
      <c r="W29" s="2252"/>
      <c r="X29" s="2252"/>
      <c r="Y29" s="2252"/>
      <c r="Z29" s="2252"/>
      <c r="AA29" s="2252"/>
      <c r="AB29" s="2252"/>
      <c r="AC29" s="327"/>
      <c r="AD29" s="2252" t="str">
        <f>IF(TITLE_NAME_OR_PR_CHANGE="",IF(TITLE_NAME_OR_PR="","",TITLE_NAME_OR_PR),TITLE_NAME_OR_PR_CHANGE)</f>
        <v>Управление по государственному регулированию цен (тарифов) Ненецкого автономного округа</v>
      </c>
      <c r="AE29" s="2252"/>
      <c r="AF29" s="2252"/>
      <c r="AG29" s="2252"/>
      <c r="AH29" s="2252"/>
      <c r="AI29" s="2252"/>
      <c r="AJ29" s="2252"/>
      <c r="AK29" s="327"/>
      <c r="AL29" s="327"/>
      <c r="AM29" s="281"/>
      <c r="AN29" s="369"/>
      <c r="AO29" s="369"/>
      <c r="AP29" s="369"/>
      <c r="AQ29" s="369"/>
      <c r="AR29" s="369"/>
      <c r="AS29" s="419">
        <v>0</v>
      </c>
    </row>
    <row s="1854" customFormat="1" customHeight="1" ht="18.75">
      <c r="A30" s="1369"/>
      <c r="B30" s="1369"/>
      <c r="C30" s="1369"/>
      <c r="D30" s="1369"/>
      <c r="E30" s="1369"/>
      <c r="F30" s="1369"/>
      <c r="G30" s="1369"/>
      <c r="H30" s="1369"/>
      <c r="I30" s="1369"/>
      <c r="J30" s="1369"/>
      <c r="K30" s="1369"/>
      <c r="L30" s="1370"/>
      <c r="M30" s="1369"/>
      <c r="N30" s="1369"/>
      <c r="O30" s="1369"/>
      <c r="S30" s="2251" t="s">
        <v>433</v>
      </c>
      <c r="T30" s="2251"/>
      <c r="U30" s="1373"/>
      <c r="V30" s="2265" t="str">
        <f>IF(TITLE_DATE_PR_CHANGE="",IF(TITLE_DATE_PR="","",TITLE_DATE_PR),TITLE_DATE_PR_CHANGE)</f>
        <v>45642</v>
      </c>
      <c r="W30" s="2265"/>
      <c r="X30" s="2265"/>
      <c r="Y30" s="2265"/>
      <c r="Z30" s="2265"/>
      <c r="AA30" s="2265"/>
      <c r="AB30" s="2265"/>
      <c r="AC30" s="327"/>
      <c r="AD30" s="2265" t="str">
        <f>IF(TITLE_DATE_PR_CHANGE="",IF(TITLE_DATE_PR="","",TITLE_DATE_PR),TITLE_DATE_PR_CHANGE)</f>
        <v>45642</v>
      </c>
      <c r="AE30" s="2265"/>
      <c r="AF30" s="2265"/>
      <c r="AG30" s="2265"/>
      <c r="AH30" s="2265"/>
      <c r="AI30" s="2265"/>
      <c r="AJ30" s="2265"/>
      <c r="AK30" s="327"/>
      <c r="AL30" s="327"/>
      <c r="AM30" s="281"/>
      <c r="AN30" s="369"/>
      <c r="AO30" s="369"/>
      <c r="AP30" s="369"/>
      <c r="AQ30" s="369"/>
      <c r="AR30" s="369"/>
      <c r="AS30" s="419">
        <v>0</v>
      </c>
    </row>
    <row s="1854" customFormat="1" customHeight="1" ht="18.75">
      <c r="A31" s="1369"/>
      <c r="B31" s="1369"/>
      <c r="C31" s="1369"/>
      <c r="D31" s="1369"/>
      <c r="E31" s="1369"/>
      <c r="F31" s="1369"/>
      <c r="G31" s="1369"/>
      <c r="H31" s="1369"/>
      <c r="I31" s="1369"/>
      <c r="J31" s="1369"/>
      <c r="K31" s="1369"/>
      <c r="L31" s="1370"/>
      <c r="M31" s="1369"/>
      <c r="N31" s="1369"/>
      <c r="O31" s="1369"/>
      <c r="S31" s="2251" t="s">
        <v>434</v>
      </c>
      <c r="T31" s="2251"/>
      <c r="U31" s="1373"/>
      <c r="V31" s="2252" t="str">
        <f>IF(TITLE_NUMBER_PR_CHANGE="",IF(TITLE_NUMBER_PR="","",TITLE_NUMBER_PR),TITLE_NUMBER_PR_CHANGE)</f>
        <v>58</v>
      </c>
      <c r="W31" s="2252"/>
      <c r="X31" s="2252"/>
      <c r="Y31" s="2252"/>
      <c r="Z31" s="2252"/>
      <c r="AA31" s="2252"/>
      <c r="AB31" s="2252"/>
      <c r="AC31" s="327"/>
      <c r="AD31" s="2252" t="str">
        <f>IF(TITLE_NUMBER_PR_CHANGE="",IF(TITLE_NUMBER_PR="","",TITLE_NUMBER_PR),TITLE_NUMBER_PR_CHANGE)</f>
        <v>58</v>
      </c>
      <c r="AE31" s="2252"/>
      <c r="AF31" s="2252"/>
      <c r="AG31" s="2252"/>
      <c r="AH31" s="2252"/>
      <c r="AI31" s="2252"/>
      <c r="AJ31" s="2252"/>
      <c r="AK31" s="327"/>
      <c r="AL31" s="327"/>
      <c r="AM31" s="281"/>
      <c r="AN31" s="369"/>
      <c r="AO31" s="369"/>
      <c r="AP31" s="369"/>
      <c r="AQ31" s="369"/>
      <c r="AR31" s="369"/>
      <c r="AS31" s="419">
        <v>0</v>
      </c>
    </row>
    <row s="1854" customFormat="1" customHeight="1" ht="18.75">
      <c r="A32" s="1369"/>
      <c r="B32" s="1369"/>
      <c r="C32" s="1369"/>
      <c r="D32" s="1369"/>
      <c r="E32" s="1369"/>
      <c r="F32" s="1369"/>
      <c r="G32" s="1369"/>
      <c r="H32" s="1369"/>
      <c r="I32" s="1369"/>
      <c r="J32" s="1369"/>
      <c r="K32" s="1369"/>
      <c r="L32" s="1370"/>
      <c r="M32" s="1369"/>
      <c r="N32" s="1369"/>
      <c r="O32" s="1369"/>
      <c r="S32" s="2251" t="s">
        <v>44</v>
      </c>
      <c r="T32" s="2251"/>
      <c r="U32" s="1373"/>
      <c r="V32" s="2252" t="str">
        <f>IF(TITLE_IST_PUB_CHANGE="",IF(TITLE_IST_PUB="","",TITLE_IST_PUB),TITLE_IST_PUB_CHANGE)</f>
        <v>Официальный интернет портал правовой информации http://pravo.gov.ru </v>
      </c>
      <c r="W32" s="2252"/>
      <c r="X32" s="2252"/>
      <c r="Y32" s="2252"/>
      <c r="Z32" s="2252"/>
      <c r="AA32" s="2252"/>
      <c r="AB32" s="2252"/>
      <c r="AC32" s="327"/>
      <c r="AD32" s="2252" t="str">
        <f>IF(TITLE_IST_PUB_CHANGE="",IF(TITLE_IST_PUB="","",TITLE_IST_PUB),TITLE_IST_PUB_CHANGE)</f>
        <v>Официальный интернет портал правовой информации http://pravo.gov.ru </v>
      </c>
      <c r="AE32" s="2252"/>
      <c r="AF32" s="2252"/>
      <c r="AG32" s="2252"/>
      <c r="AH32" s="2252"/>
      <c r="AI32" s="2252"/>
      <c r="AJ32" s="2252"/>
      <c r="AK32" s="327"/>
      <c r="AL32" s="327"/>
      <c r="AM32" s="281"/>
      <c r="AN32" s="369"/>
      <c r="AO32" s="369"/>
      <c r="AP32" s="369"/>
      <c r="AQ32" s="369"/>
      <c r="AR32" s="369"/>
      <c r="AS32" s="419">
        <v>0</v>
      </c>
    </row>
    <row customHeight="1" ht="14.25" hidden="1">
      <c r="P33" s="1329"/>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435</v>
      </c>
      <c r="T34" s="2251"/>
      <c r="U34" s="1373"/>
      <c r="V34" s="2265" t="str">
        <f>IF(TITLE_DATE_PR_CHANGE="",IF(TITLE_DATE_PR="","",TITLE_DATE_PR),TITLE_DATE_PR_CHANGE)</f>
        <v>45642</v>
      </c>
      <c r="W34" s="2265"/>
      <c r="X34" s="2265"/>
      <c r="Y34" s="2265"/>
      <c r="Z34" s="2265"/>
      <c r="AA34" s="2265"/>
      <c r="AB34" s="2265"/>
      <c r="AC34" s="327"/>
      <c r="AD34" s="2265" t="str">
        <f>IF(TITLE_DATE_PR_CHANGE="",IF(TITLE_DATE_PR="","",TITLE_DATE_PR),TITLE_DATE_PR_CHANGE)</f>
        <v>45642</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436</v>
      </c>
      <c r="T35" s="2251"/>
      <c r="U35" s="1373"/>
      <c r="V35" s="2252" t="str">
        <f>IF(TITLE_NUMBER_PR_CHANGE="",IF(TITLE_NUMBER_PR="","",TITLE_NUMBER_PR),TITLE_NUMBER_PR_CHANGE)</f>
        <v>58</v>
      </c>
      <c r="W35" s="2252"/>
      <c r="X35" s="2252"/>
      <c r="Y35" s="2252"/>
      <c r="Z35" s="2252"/>
      <c r="AA35" s="2252"/>
      <c r="AB35" s="2252"/>
      <c r="AC35" s="327"/>
      <c r="AD35" s="2252" t="str">
        <f>IF(TITLE_NUMBER_PR_CHANGE="",IF(TITLE_NUMBER_PR="","",TITLE_NUMBER_PR),TITLE_NUMBER_PR_CHANGE)</f>
        <v>58</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220"/>
      <c r="V36" s="327"/>
      <c r="W36" s="327"/>
      <c r="X36" s="327"/>
      <c r="Y36" s="327"/>
      <c r="Z36" s="327"/>
      <c r="AA36" s="327"/>
      <c r="AB36" s="327"/>
      <c r="AC36" s="279" t="s">
        <v>437</v>
      </c>
      <c r="AD36" s="327"/>
      <c r="AE36" s="327"/>
      <c r="AF36" s="327"/>
      <c r="AG36" s="327"/>
      <c r="AH36" s="327"/>
      <c r="AI36" s="327"/>
      <c r="AJ36" s="327"/>
      <c r="AK36" s="279" t="s">
        <v>437</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312</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313</v>
      </c>
      <c r="AS38" s="1156">
        <v>14</v>
      </c>
    </row>
    <row customHeight="1" ht="14.699999999999998">
      <c r="Q39" s="377"/>
      <c r="R39" s="377"/>
      <c r="S39" s="2274" t="s">
        <v>90</v>
      </c>
      <c r="T39" s="2210" t="s">
        <v>438</v>
      </c>
      <c r="U39" s="302"/>
      <c r="V39" s="2275" t="s">
        <v>439</v>
      </c>
      <c r="W39" s="2276"/>
      <c r="X39" s="2276"/>
      <c r="Y39" s="2276"/>
      <c r="Z39" s="2276"/>
      <c r="AA39" s="2276"/>
      <c r="AB39" s="2277"/>
      <c r="AC39" s="2278" t="s">
        <v>440</v>
      </c>
      <c r="AD39" s="2275" t="s">
        <v>439</v>
      </c>
      <c r="AE39" s="2276"/>
      <c r="AF39" s="2276"/>
      <c r="AG39" s="2276"/>
      <c r="AH39" s="2276"/>
      <c r="AI39" s="2276"/>
      <c r="AJ39" s="2277"/>
      <c r="AK39" s="2278" t="s">
        <v>441</v>
      </c>
      <c r="AL39" s="2281" t="s">
        <v>442</v>
      </c>
      <c r="AM39" s="2128"/>
      <c r="AS39" s="1156">
        <v>14</v>
      </c>
    </row>
    <row customHeight="1" ht="35.699999999999996">
      <c r="Q40" s="377"/>
      <c r="R40" s="377"/>
      <c r="S40" s="2274"/>
      <c r="T40" s="2210"/>
      <c r="U40" s="1032"/>
      <c r="V40" s="2261" t="s">
        <v>443</v>
      </c>
      <c r="W40" s="2611" t="s">
        <v>444</v>
      </c>
      <c r="X40" s="2263" t="s">
        <v>445</v>
      </c>
      <c r="Y40" s="2264"/>
      <c r="Z40" s="2263" t="s">
        <v>446</v>
      </c>
      <c r="AA40" s="2270"/>
      <c r="AB40" s="2264"/>
      <c r="AC40" s="2279"/>
      <c r="AD40" s="2261" t="s">
        <v>443</v>
      </c>
      <c r="AE40" s="2284" t="s">
        <v>444</v>
      </c>
      <c r="AF40" s="2263" t="s">
        <v>445</v>
      </c>
      <c r="AG40" s="2264"/>
      <c r="AH40" s="2263" t="s">
        <v>446</v>
      </c>
      <c r="AI40" s="2270"/>
      <c r="AJ40" s="2264"/>
      <c r="AK40" s="2279"/>
      <c r="AL40" s="2282"/>
      <c r="AM40" s="2128"/>
      <c r="AS40" s="1156">
        <v>34</v>
      </c>
    </row>
    <row customHeight="1" ht="35.699999999999996">
      <c r="A41" s="1371"/>
      <c r="B41" s="1371" t="s">
        <v>138</v>
      </c>
      <c r="C41" s="1371" t="s">
        <v>139</v>
      </c>
      <c r="D41" s="1371" t="s">
        <v>140</v>
      </c>
      <c r="E41" s="1365" t="s">
        <v>447</v>
      </c>
      <c r="F41" s="1365" t="s">
        <v>448</v>
      </c>
      <c r="G41" s="1365" t="s">
        <v>449</v>
      </c>
      <c r="H41" s="1365" t="s">
        <v>450</v>
      </c>
      <c r="I41" s="1365" t="s">
        <v>451</v>
      </c>
      <c r="J41" s="1365" t="s">
        <v>452</v>
      </c>
      <c r="K41" s="1365" t="s">
        <v>453</v>
      </c>
      <c r="L41" s="1365" t="s">
        <v>428</v>
      </c>
      <c r="Q41" s="377"/>
      <c r="R41" s="377"/>
      <c r="S41" s="2274"/>
      <c r="T41" s="2210"/>
      <c r="U41" s="303"/>
      <c r="V41" s="2262"/>
      <c r="W41" s="2285"/>
      <c r="X41" s="1223" t="s">
        <v>454</v>
      </c>
      <c r="Y41" s="1223" t="s">
        <v>455</v>
      </c>
      <c r="Z41" s="1222" t="s">
        <v>456</v>
      </c>
      <c r="AA41" s="2271" t="s">
        <v>457</v>
      </c>
      <c r="AB41" s="2272"/>
      <c r="AC41" s="2280"/>
      <c r="AD41" s="2262"/>
      <c r="AE41" s="2285"/>
      <c r="AF41" s="1223" t="s">
        <v>454</v>
      </c>
      <c r="AG41" s="1223" t="s">
        <v>455</v>
      </c>
      <c r="AH41" s="1314" t="s">
        <v>456</v>
      </c>
      <c r="AI41" s="2271" t="s">
        <v>457</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112</v>
      </c>
      <c r="T42" s="1256" t="s">
        <v>113</v>
      </c>
      <c r="U42" s="1246" t="str">
        <f>OFFSET(U42,0,-1)</f>
        <v>2</v>
      </c>
      <c r="V42" s="1257">
        <f>OFFSET(V42,0,-1)+1</f>
        <v>3</v>
      </c>
      <c r="W42" s="1257"/>
      <c r="X42" s="1257">
        <f>OFFSET(X42,0,-1)+1</f>
        <v>1</v>
      </c>
      <c r="Y42" s="1257">
        <f>OFFSET(Y42,0,-1)+1</f>
        <v>2</v>
      </c>
      <c r="Z42" s="1257">
        <f>OFFSET(Z42,0,-1)+1</f>
        <v>3</v>
      </c>
      <c r="AA42" s="2273">
        <f>OFFSET(AA42,0,-1)+1</f>
        <v>4</v>
      </c>
      <c r="AB42" s="2273"/>
      <c r="AC42" s="1257">
        <f>OFFSET(AC42,0,-2)+1</f>
        <v>5</v>
      </c>
      <c r="AD42" s="1313">
        <f>OFFSET(AD42,0,-1)+1</f>
        <v>6</v>
      </c>
      <c r="AE42" s="1313"/>
      <c r="AF42" s="1313">
        <f>OFFSET(AF42,0,-1)+1</f>
        <v>1</v>
      </c>
      <c r="AG42" s="1313">
        <f>OFFSET(AG42,0,-1)+1</f>
        <v>2</v>
      </c>
      <c r="AH42" s="1313">
        <f>OFFSET(AH42,0,-1)+1</f>
        <v>3</v>
      </c>
      <c r="AI42" s="2273">
        <f>OFFSET(AI42,0,-1)+1</f>
        <v>4</v>
      </c>
      <c r="AJ42" s="2273"/>
      <c r="AK42" s="1313">
        <f>OFFSET(AK42,0,-2)+1</f>
        <v>5</v>
      </c>
      <c r="AL42" s="1246">
        <f>OFFSET(AL42,0,-1)</f>
        <v>5</v>
      </c>
      <c r="AM42" s="1257">
        <f>OFFSET(AM42,0,-1)+1</f>
        <v>6</v>
      </c>
      <c r="AN42" s="512"/>
      <c r="AO42" s="512"/>
      <c r="AP42" s="512"/>
      <c r="AQ42" s="512"/>
      <c r="AR42" s="512"/>
      <c r="AS42" s="497">
        <v>0</v>
      </c>
    </row>
    <row customHeight="1" ht="24">
      <c r="A43" s="1364" t="s">
        <v>159</v>
      </c>
      <c r="B43" s="1364"/>
      <c r="C43" s="1364"/>
      <c r="D43" s="1364"/>
      <c r="E43" s="2259">
        <v>1</v>
      </c>
      <c r="F43" s="1364"/>
      <c r="G43" s="1364"/>
      <c r="H43" s="1364"/>
      <c r="I43" s="1364"/>
      <c r="J43" s="1364"/>
      <c r="K43" s="1364"/>
      <c r="L43" s="1365"/>
      <c r="M43" s="1366"/>
      <c r="N43" s="1366"/>
      <c r="O43" s="1366"/>
      <c r="P43" s="362"/>
      <c r="Q43" s="361"/>
      <c r="R43" s="356"/>
      <c r="S43" s="1225">
        <f>INDEX(PT_DIFFERENTIATION_NUM_NTAR,MATCH(A43,PT_DIFFERENTIATION_NTAR_ID,0))</f>
        <v>0</v>
      </c>
      <c r="T43" s="299" t="s">
        <v>126</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1"/>
      <c r="AP43" s="501" t="str">
        <f>IF(T43="","",T43)</f>
        <v>Наименование тарифа</v>
      </c>
      <c r="AQ43" s="501"/>
      <c r="AR43" s="501"/>
      <c r="AS43" s="1156">
        <v>23</v>
      </c>
    </row>
    <row customHeight="1" ht="24">
      <c r="A44" s="1364" t="s">
        <v>159</v>
      </c>
      <c r="B44" s="1364" t="s">
        <v>160</v>
      </c>
      <c r="C44" s="1364"/>
      <c r="D44" s="1364"/>
      <c r="E44" s="2260"/>
      <c r="F44" s="2259">
        <v>1</v>
      </c>
      <c r="G44" s="1364"/>
      <c r="H44" s="1364"/>
      <c r="I44" s="1364"/>
      <c r="J44" s="1364"/>
      <c r="K44" s="1364"/>
      <c r="L44" s="1365"/>
      <c r="M44" s="1366"/>
      <c r="N44" s="1366"/>
      <c r="O44" s="1366"/>
      <c r="P44" s="523"/>
      <c r="Q44" s="353"/>
      <c r="R44" s="354"/>
      <c r="S44" s="1225" t="str">
        <f>INDEX(PT_DIFFERENTIATION_NUM_TER,MATCH(B44,PT_DIFFERENTIATION_TER_ID,0))</f>
        <v>.</v>
      </c>
      <c r="T44" s="309" t="s">
        <v>409</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410</v>
      </c>
      <c r="AO44" s="501"/>
      <c r="AP44" s="501" t="str">
        <f>IF(T44="","",T44)</f>
        <v>Территория действия тарифа</v>
      </c>
      <c r="AQ44" s="501"/>
      <c r="AR44" s="501"/>
      <c r="AS44" s="1156">
        <v>23</v>
      </c>
    </row>
    <row customHeight="1" ht="24">
      <c r="A45" s="1364" t="s">
        <v>159</v>
      </c>
      <c r="B45" s="1364" t="s">
        <v>160</v>
      </c>
      <c r="C45" s="1364" t="s">
        <v>161</v>
      </c>
      <c r="D45" s="1364"/>
      <c r="E45" s="2260"/>
      <c r="F45" s="2260"/>
      <c r="G45" s="2259">
        <v>1</v>
      </c>
      <c r="H45" s="1364"/>
      <c r="I45" s="1364"/>
      <c r="J45" s="1364"/>
      <c r="K45" s="1364"/>
      <c r="L45" s="1365"/>
      <c r="M45" s="1366"/>
      <c r="N45" s="1366"/>
      <c r="O45" s="1366"/>
      <c r="P45" s="355"/>
      <c r="Q45" s="353"/>
      <c r="R45" s="354"/>
      <c r="S45" s="1225" t="str">
        <f>INDEX(PT_DIFFERENTIATION_NUM_CS,MATCH(C45,PT_DIFFERENTIATION_CS_ID,0))</f>
        <v>..</v>
      </c>
      <c r="T45" s="310" t="s">
        <v>411</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412</v>
      </c>
      <c r="AO45" s="501"/>
      <c r="AP45" s="501" t="str">
        <f>IF(T45="","",T45)</f>
        <v>Наименование системы теплоснабжения </v>
      </c>
      <c r="AQ45" s="501"/>
      <c r="AR45" s="501"/>
      <c r="AS45" s="1156">
        <v>23</v>
      </c>
    </row>
    <row customHeight="1" ht="24">
      <c r="A46" s="1364" t="s">
        <v>159</v>
      </c>
      <c r="B46" s="1364" t="s">
        <v>160</v>
      </c>
      <c r="C46" s="1364" t="s">
        <v>161</v>
      </c>
      <c r="D46" s="1364" t="s">
        <v>162</v>
      </c>
      <c r="E46" s="2260"/>
      <c r="F46" s="2260"/>
      <c r="G46" s="2260"/>
      <c r="H46" s="2259">
        <v>1</v>
      </c>
      <c r="I46" s="1364"/>
      <c r="J46" s="1364"/>
      <c r="K46" s="1364"/>
      <c r="L46" s="1365"/>
      <c r="M46" s="1366"/>
      <c r="N46" s="1366"/>
      <c r="O46" s="1366"/>
      <c r="P46" s="355"/>
      <c r="Q46" s="353"/>
      <c r="R46" s="354"/>
      <c r="S46" s="1225" t="str">
        <f>INDEX(PT_DIFFERENTIATION_NUM_IST_TE,MATCH(D46,PT_DIFFERENTIATION_IST_TE_ID,0))</f>
        <v>...</v>
      </c>
      <c r="T46" s="311" t="s">
        <v>413</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414</v>
      </c>
      <c r="AO46" s="501"/>
      <c r="AP46" s="501" t="str">
        <f>IF(T46="","",T46)</f>
        <v>Источник тепловой энергии  </v>
      </c>
      <c r="AQ46" s="501"/>
      <c r="AR46" s="501"/>
      <c r="AS46" s="1156">
        <v>23</v>
      </c>
    </row>
    <row customHeight="1" ht="49.5">
      <c r="A47" s="1364" t="s">
        <v>159</v>
      </c>
      <c r="B47" s="1364" t="s">
        <v>160</v>
      </c>
      <c r="C47" s="1364" t="s">
        <v>161</v>
      </c>
      <c r="D47" s="1364" t="s">
        <v>162</v>
      </c>
      <c r="E47" s="2260"/>
      <c r="F47" s="2260"/>
      <c r="G47" s="2260"/>
      <c r="H47" s="2260"/>
      <c r="I47" s="2257" t="str">
        <f>S46&amp;".1"</f>
        <v>....1</v>
      </c>
      <c r="J47" s="1364"/>
      <c r="K47" s="1364"/>
      <c r="L47" s="1365" t="s">
        <v>415</v>
      </c>
      <c r="P47" s="2258">
        <v>1</v>
      </c>
      <c r="Q47" s="1221"/>
      <c r="R47" s="357"/>
      <c r="S47" s="1225" t="str">
        <f>$I47</f>
        <v>....1</v>
      </c>
      <c r="T47" s="286" t="s">
        <v>416</v>
      </c>
      <c r="U47" s="301"/>
      <c r="V47" s="2246"/>
      <c r="W47" s="2247"/>
      <c r="X47" s="2247"/>
      <c r="Y47" s="2247"/>
      <c r="Z47" s="2247"/>
      <c r="AA47" s="2247"/>
      <c r="AB47" s="2247"/>
      <c r="AC47" s="2248"/>
      <c r="AD47" s="2246"/>
      <c r="AE47" s="2247"/>
      <c r="AF47" s="2247"/>
      <c r="AG47" s="2247"/>
      <c r="AH47" s="2247"/>
      <c r="AI47" s="2247"/>
      <c r="AJ47" s="2247"/>
      <c r="AK47" s="2247"/>
      <c r="AL47" s="2248"/>
      <c r="AM47" s="1259" t="s">
        <v>417</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4">
      <c r="A48" s="1364" t="s">
        <v>159</v>
      </c>
      <c r="B48" s="1364" t="s">
        <v>160</v>
      </c>
      <c r="C48" s="1364" t="s">
        <v>161</v>
      </c>
      <c r="D48" s="1364" t="s">
        <v>162</v>
      </c>
      <c r="E48" s="2260"/>
      <c r="F48" s="2260"/>
      <c r="G48" s="2260"/>
      <c r="H48" s="2260"/>
      <c r="I48" s="2287"/>
      <c r="J48" s="2257" t="str">
        <f>I47&amp;".1"</f>
        <v>....1.1</v>
      </c>
      <c r="K48" s="1364"/>
      <c r="L48" s="1365" t="s">
        <v>418</v>
      </c>
      <c r="P48" s="2258"/>
      <c r="Q48" s="2258">
        <v>1</v>
      </c>
      <c r="R48" s="358"/>
      <c r="S48" s="1225" t="str">
        <f>$J48</f>
        <v>....1.1</v>
      </c>
      <c r="T48" s="287" t="s">
        <v>419</v>
      </c>
      <c r="U48" s="301"/>
      <c r="V48" s="2246"/>
      <c r="W48" s="2247"/>
      <c r="X48" s="2247"/>
      <c r="Y48" s="2247"/>
      <c r="Z48" s="2247"/>
      <c r="AA48" s="2247"/>
      <c r="AB48" s="2247"/>
      <c r="AC48" s="2248"/>
      <c r="AD48" s="2246"/>
      <c r="AE48" s="2247"/>
      <c r="AF48" s="2247"/>
      <c r="AG48" s="2247"/>
      <c r="AH48" s="2247"/>
      <c r="AI48" s="2247"/>
      <c r="AJ48" s="2247"/>
      <c r="AK48" s="2247"/>
      <c r="AL48" s="2248"/>
      <c r="AM48" s="1259" t="s">
        <v>420</v>
      </c>
      <c r="AO48" s="501"/>
      <c r="AP48" s="501" t="str">
        <f>IF(T48="","",T48)</f>
        <v>Группа потребителей</v>
      </c>
      <c r="AQ48" s="501"/>
      <c r="AR48" s="501"/>
      <c r="AS48" s="1156">
        <v>23</v>
      </c>
    </row>
    <row customHeight="1" ht="24">
      <c r="A49" s="1364" t="s">
        <v>159</v>
      </c>
      <c r="B49" s="1364" t="s">
        <v>160</v>
      </c>
      <c r="C49" s="1364" t="s">
        <v>161</v>
      </c>
      <c r="D49" s="1364" t="s">
        <v>162</v>
      </c>
      <c r="E49" s="2260"/>
      <c r="F49" s="2260"/>
      <c r="G49" s="2260"/>
      <c r="H49" s="2260"/>
      <c r="I49" s="2287"/>
      <c r="J49" s="2287"/>
      <c r="K49" s="2257" t="str">
        <f>J48&amp;".1"</f>
        <v>....1.1.1</v>
      </c>
      <c r="L49" s="1365" t="s">
        <v>421</v>
      </c>
      <c r="P49" s="2258"/>
      <c r="Q49" s="2258"/>
      <c r="R49" s="358">
        <v>1</v>
      </c>
      <c r="S49" s="1225" t="str">
        <f>$K49</f>
        <v>....1.1.1</v>
      </c>
      <c r="T49" s="1348"/>
      <c r="U49" s="301"/>
      <c r="V49" s="752"/>
      <c r="W49" s="326"/>
      <c r="X49" s="752"/>
      <c r="Y49" s="1258"/>
      <c r="Z49" s="2266"/>
      <c r="AA49" s="2108" t="s">
        <v>63</v>
      </c>
      <c r="AB49" s="2266"/>
      <c r="AC49" s="2108" t="s">
        <v>63</v>
      </c>
      <c r="AD49" s="752"/>
      <c r="AE49" s="326"/>
      <c r="AF49" s="752"/>
      <c r="AG49" s="1258"/>
      <c r="AH49" s="2266"/>
      <c r="AI49" s="2108" t="s">
        <v>63</v>
      </c>
      <c r="AJ49" s="2288"/>
      <c r="AK49" s="2108" t="s">
        <v>63</v>
      </c>
      <c r="AL49" s="1349"/>
      <c r="AM49" s="2254" t="s">
        <v>422</v>
      </c>
      <c r="AN49" s="512">
        <f>STRCHECKDATE(V50:AL50)</f>
      </c>
      <c r="AO49" s="501"/>
      <c r="AP49" s="501" t="str">
        <f>IF(T49="","",T49)</f>
        <v/>
      </c>
      <c r="AQ49" s="501"/>
      <c r="AR49" s="501"/>
      <c r="AS49" s="1156">
        <v>23</v>
      </c>
    </row>
    <row customHeight="1" ht="1.05">
      <c r="A50" s="1364" t="s">
        <v>159</v>
      </c>
      <c r="B50" s="1364" t="s">
        <v>160</v>
      </c>
      <c r="C50" s="1364" t="s">
        <v>161</v>
      </c>
      <c r="D50" s="1364" t="s">
        <v>162</v>
      </c>
      <c r="E50" s="2260"/>
      <c r="F50" s="2260"/>
      <c r="G50" s="2260"/>
      <c r="H50" s="2260"/>
      <c r="I50" s="2287"/>
      <c r="J50" s="2287"/>
      <c r="K50" s="2257"/>
      <c r="L50" s="1365"/>
      <c r="P50" s="2258"/>
      <c r="Q50" s="2258"/>
      <c r="R50" s="358"/>
      <c r="S50" s="1224"/>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159</v>
      </c>
      <c r="B51" s="1364" t="s">
        <v>160</v>
      </c>
      <c r="C51" s="1364" t="s">
        <v>161</v>
      </c>
      <c r="D51" s="1364" t="s">
        <v>162</v>
      </c>
      <c r="E51" s="2260"/>
      <c r="F51" s="2260"/>
      <c r="G51" s="2260"/>
      <c r="H51" s="2260"/>
      <c r="I51" s="2287"/>
      <c r="J51" s="2257"/>
      <c r="K51" s="1364"/>
      <c r="L51" s="1365"/>
      <c r="P51" s="2258"/>
      <c r="Q51" s="2258"/>
      <c r="R51" s="357"/>
      <c r="S51" s="1279"/>
      <c r="T51" s="289" t="s">
        <v>423</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159</v>
      </c>
      <c r="B52" s="1364" t="s">
        <v>160</v>
      </c>
      <c r="C52" s="1364" t="s">
        <v>161</v>
      </c>
      <c r="D52" s="1364" t="s">
        <v>162</v>
      </c>
      <c r="E52" s="2260"/>
      <c r="F52" s="2260"/>
      <c r="G52" s="2260"/>
      <c r="H52" s="2260"/>
      <c r="I52" s="2257"/>
      <c r="J52" s="1364"/>
      <c r="K52" s="1364"/>
      <c r="L52" s="1365"/>
      <c r="P52" s="2258"/>
      <c r="Q52" s="1221"/>
      <c r="R52" s="357"/>
      <c r="S52" s="1279"/>
      <c r="T52" s="288" t="s">
        <v>424</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159</v>
      </c>
      <c r="B53" s="1364" t="s">
        <v>160</v>
      </c>
      <c r="C53" s="1364" t="s">
        <v>161</v>
      </c>
      <c r="D53" s="1364" t="s">
        <v>162</v>
      </c>
      <c r="E53" s="2260"/>
      <c r="F53" s="2260"/>
      <c r="G53" s="2260"/>
      <c r="H53" s="2259"/>
      <c r="I53" s="1364"/>
      <c r="J53" s="1364"/>
      <c r="K53" s="1364"/>
      <c r="L53" s="1365"/>
      <c r="M53" s="1366"/>
      <c r="N53" s="1366"/>
      <c r="O53" s="538"/>
      <c r="P53" s="361"/>
      <c r="Q53" s="376"/>
      <c r="R53" s="356"/>
      <c r="S53" s="1279"/>
      <c r="T53" s="366" t="s">
        <v>425</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159</v>
      </c>
      <c r="B54" s="1344" t="s">
        <v>160</v>
      </c>
      <c r="C54" s="1344" t="s">
        <v>161</v>
      </c>
      <c r="D54" s="1315"/>
      <c r="E54" s="2260"/>
      <c r="F54" s="2260"/>
      <c r="G54" s="2259"/>
      <c r="H54" s="1315"/>
      <c r="I54" s="1315"/>
      <c r="J54" s="1315"/>
      <c r="K54" s="1315"/>
      <c r="L54" s="1340"/>
      <c r="M54" s="1316"/>
      <c r="N54" s="1316"/>
      <c r="P54" s="1317"/>
      <c r="Q54" s="1318"/>
      <c r="R54" s="1317"/>
      <c r="S54" s="1323"/>
      <c r="T54" s="1326" t="s">
        <v>426</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159</v>
      </c>
      <c r="B55" s="1344" t="s">
        <v>160</v>
      </c>
      <c r="C55" s="1315"/>
      <c r="D55" s="1315"/>
      <c r="E55" s="2260"/>
      <c r="F55" s="2259"/>
      <c r="G55" s="1315"/>
      <c r="H55" s="1315"/>
      <c r="I55" s="1315"/>
      <c r="J55" s="1315"/>
      <c r="K55" s="1315"/>
      <c r="L55" s="1340"/>
      <c r="M55" s="1322"/>
      <c r="N55" s="1322"/>
      <c r="P55" s="1317"/>
      <c r="Q55" s="1318"/>
      <c r="R55" s="1317"/>
      <c r="S55" s="1323"/>
      <c r="T55" s="1326" t="s">
        <v>232</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159</v>
      </c>
      <c r="B56" s="1344"/>
      <c r="C56" s="1344"/>
      <c r="D56" s="1344"/>
      <c r="E56" s="2259"/>
      <c r="F56" s="1344"/>
      <c r="G56" s="1344"/>
      <c r="H56" s="1344"/>
      <c r="I56" s="1344"/>
      <c r="J56" s="1344"/>
      <c r="K56" s="1344"/>
      <c r="L56" s="1347"/>
      <c r="M56" s="1322"/>
      <c r="N56" s="1322"/>
      <c r="O56" s="519"/>
      <c r="P56" s="381"/>
      <c r="Q56" s="1345"/>
      <c r="R56" s="381"/>
      <c r="S56" s="1323"/>
      <c r="T56" s="1326" t="s">
        <v>233</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240</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67.2">
      <c r="O60" s="538"/>
      <c r="P60" s="1304"/>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64</v>
      </c>
    </row>
    <row customHeight="1" ht="14.699999999999998">
      <c r="O61" s="538"/>
      <c r="AS61" s="1156">
        <v>14</v>
      </c>
    </row>
    <row customHeight="1" ht="18.75">
      <c r="O62" s="538"/>
      <c r="P62" s="1329"/>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P63" s="1329"/>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29.25">
      <c r="O64" s="538"/>
      <c r="P64" s="1329"/>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22.5" hidden="1">
      <c r="A65" s="1161" t="s">
        <v>84</v>
      </c>
      <c r="B65" s="1161">
        <v>0</v>
      </c>
      <c r="C65" s="1161">
        <v>0</v>
      </c>
      <c r="D65" s="1161">
        <v>0</v>
      </c>
      <c r="E65" s="1161">
        <v>0</v>
      </c>
      <c r="F65" s="1161">
        <v>0</v>
      </c>
      <c r="G65" s="1161">
        <v>0</v>
      </c>
      <c r="H65" s="1161">
        <v>0</v>
      </c>
      <c r="I65" s="1161">
        <v>0</v>
      </c>
      <c r="J65" s="1161">
        <v>0</v>
      </c>
      <c r="K65" s="1161">
        <v>0</v>
      </c>
      <c r="L65" s="1330">
        <v>0</v>
      </c>
      <c r="M65" s="1363">
        <v>0</v>
      </c>
      <c r="N65" s="1363">
        <v>0</v>
      </c>
      <c r="O65" s="1363">
        <v>0</v>
      </c>
      <c r="P65" s="1219">
        <v>3</v>
      </c>
      <c r="Q65" s="345">
        <v>3</v>
      </c>
      <c r="R65" s="345">
        <v>3</v>
      </c>
      <c r="S65" s="582">
        <v>12</v>
      </c>
      <c r="T65" s="1156">
        <v>35</v>
      </c>
      <c r="U65" s="1156">
        <v>0</v>
      </c>
      <c r="V65" s="1156">
        <v>0</v>
      </c>
      <c r="W65" s="1156">
        <v>0</v>
      </c>
      <c r="X65" s="1156">
        <v>0</v>
      </c>
      <c r="Y65" s="1156">
        <v>0</v>
      </c>
      <c r="Z65" s="1156">
        <v>0</v>
      </c>
      <c r="AA65" s="1156">
        <v>0</v>
      </c>
      <c r="AB65" s="1156">
        <v>0</v>
      </c>
      <c r="AC65" s="1156">
        <v>0</v>
      </c>
      <c r="AD65" s="1156">
        <v>24</v>
      </c>
      <c r="AE65" s="1156">
        <v>0</v>
      </c>
      <c r="AF65" s="1156">
        <v>24</v>
      </c>
      <c r="AG65" s="1156">
        <v>24</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5CA8E88-BF6A-8681-0AB1-0.7A59554A}"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126</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408</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409</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410</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411</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412</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413</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414</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415</v>
      </c>
      <c r="M6" s="538"/>
      <c r="P6" s="2258">
        <v>1</v>
      </c>
      <c r="Q6" s="1332"/>
      <c r="R6" s="357"/>
      <c r="S6" s="1337">
        <f>$I6</f>
      </c>
      <c r="T6" s="286" t="s">
        <v>416</v>
      </c>
      <c r="U6" s="301"/>
      <c r="V6" s="2246"/>
      <c r="W6" s="2247"/>
      <c r="X6" s="2247"/>
      <c r="Y6" s="2247"/>
      <c r="Z6" s="2247"/>
      <c r="AA6" s="2247"/>
      <c r="AB6" s="2247"/>
      <c r="AC6" s="2248"/>
      <c r="AD6" s="2246"/>
      <c r="AE6" s="2247"/>
      <c r="AF6" s="2247"/>
      <c r="AG6" s="2247"/>
      <c r="AH6" s="2247"/>
      <c r="AI6" s="2247"/>
      <c r="AJ6" s="2247"/>
      <c r="AK6" s="2247"/>
      <c r="AL6" s="2248"/>
      <c r="AM6" s="1259" t="s">
        <v>417</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418</v>
      </c>
      <c r="M7" s="538"/>
      <c r="N7" s="1367"/>
      <c r="P7" s="2258"/>
      <c r="Q7" s="2258">
        <v>1</v>
      </c>
      <c r="R7" s="358"/>
      <c r="S7" s="1337">
        <f>$J7</f>
      </c>
      <c r="T7" s="287" t="s">
        <v>419</v>
      </c>
      <c r="U7" s="301"/>
      <c r="V7" s="2246"/>
      <c r="W7" s="2247"/>
      <c r="X7" s="2247"/>
      <c r="Y7" s="2247"/>
      <c r="Z7" s="2247"/>
      <c r="AA7" s="2247"/>
      <c r="AB7" s="2247"/>
      <c r="AC7" s="2248"/>
      <c r="AD7" s="2246"/>
      <c r="AE7" s="2247"/>
      <c r="AF7" s="2247"/>
      <c r="AG7" s="2247"/>
      <c r="AH7" s="2247"/>
      <c r="AI7" s="2247"/>
      <c r="AJ7" s="2247"/>
      <c r="AK7" s="2247"/>
      <c r="AL7" s="2248"/>
      <c r="AM7" s="1259" t="s">
        <v>420</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421</v>
      </c>
      <c r="M8" s="538"/>
      <c r="N8" s="1367"/>
      <c r="O8" s="1367"/>
      <c r="P8" s="2258"/>
      <c r="Q8" s="2258"/>
      <c r="R8" s="358">
        <v>1</v>
      </c>
      <c r="S8" s="1337">
        <f>$K8</f>
      </c>
      <c r="T8" s="1348"/>
      <c r="U8" s="301"/>
      <c r="V8" s="752"/>
      <c r="W8" s="326"/>
      <c r="X8" s="752"/>
      <c r="Y8" s="1258"/>
      <c r="Z8" s="2266"/>
      <c r="AA8" s="2108" t="s">
        <v>63</v>
      </c>
      <c r="AB8" s="2266"/>
      <c r="AC8" s="2108" t="s">
        <v>63</v>
      </c>
      <c r="AD8" s="752"/>
      <c r="AE8" s="326"/>
      <c r="AF8" s="752"/>
      <c r="AG8" s="1258"/>
      <c r="AH8" s="2266"/>
      <c r="AI8" s="2108" t="s">
        <v>63</v>
      </c>
      <c r="AJ8" s="2266"/>
      <c r="AK8" s="2108" t="s">
        <v>63</v>
      </c>
      <c r="AL8" s="326"/>
      <c r="AM8" s="2254" t="s">
        <v>422</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423</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288" t="s">
        <v>424</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425</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426</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232</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233</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63</v>
      </c>
      <c r="AJ17" s="2268"/>
      <c r="AK17" s="2269" t="s">
        <v>63</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427</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428</v>
      </c>
      <c r="P22" s="1363"/>
      <c r="Q22" s="1372"/>
      <c r="R22" s="1372"/>
      <c r="S22" s="730"/>
      <c r="T22" s="1161" t="s">
        <v>429</v>
      </c>
      <c r="AA22" s="187" t="s">
        <v>430</v>
      </c>
      <c r="AC22" s="187" t="s">
        <v>431</v>
      </c>
      <c r="AD22" s="1161" t="s">
        <v>429</v>
      </c>
      <c r="AI22" s="187" t="s">
        <v>432</v>
      </c>
      <c r="AK22" s="187" t="s">
        <v>431</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14.699999999999998">
      <c r="Q26" s="377"/>
      <c r="R26" s="377"/>
      <c r="S26" s="2249"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249"/>
      <c r="U26" s="2249"/>
      <c r="V26" s="2249"/>
      <c r="W26" s="2249"/>
      <c r="X26" s="2249"/>
      <c r="Y26" s="2249"/>
      <c r="Z26" s="2249"/>
      <c r="AA26" s="2249"/>
      <c r="AB26" s="2249"/>
      <c r="AC26" s="2249"/>
      <c r="AD26" s="2249"/>
      <c r="AE26" s="2249"/>
      <c r="AF26" s="2249"/>
      <c r="AG26" s="2249"/>
      <c r="AH26" s="2249"/>
      <c r="AI26" s="2249"/>
      <c r="AJ26" s="2249"/>
      <c r="AK26" s="1244"/>
      <c r="AS26" s="1156">
        <v>14</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Управление по государственному регулированию цен (тарифов) Ненецкого автономного округа</v>
      </c>
      <c r="W29" s="2252"/>
      <c r="X29" s="2252"/>
      <c r="Y29" s="2252"/>
      <c r="Z29" s="2252"/>
      <c r="AA29" s="2252"/>
      <c r="AB29" s="2252"/>
      <c r="AC29" s="327"/>
      <c r="AD29" s="2252" t="str">
        <f>IF(TITLE_NAME_OR_PR_CHANGE="",IF(TITLE_NAME_OR_PR="","",TITLE_NAME_OR_PR),TITLE_NAME_OR_PR_CHANGE)</f>
        <v>Управление по государственному регулированию цен (тарифов) Ненецкого автономного округа</v>
      </c>
      <c r="AE29" s="2252"/>
      <c r="AF29" s="2252"/>
      <c r="AG29" s="2252"/>
      <c r="AH29" s="2252"/>
      <c r="AI29" s="2252"/>
      <c r="AJ29" s="2252"/>
      <c r="AK29" s="327"/>
      <c r="AL29" s="327"/>
      <c r="AM29" s="281"/>
      <c r="AN29" s="369"/>
      <c r="AO29" s="369"/>
      <c r="AP29" s="369"/>
      <c r="AQ29" s="369"/>
      <c r="AR29" s="369"/>
      <c r="AS29" s="419">
        <v>0</v>
      </c>
    </row>
    <row s="1854" customFormat="1" customHeight="1" ht="18.75">
      <c r="A30" s="1369"/>
      <c r="B30" s="1369"/>
      <c r="C30" s="1369"/>
      <c r="D30" s="1369"/>
      <c r="E30" s="1369"/>
      <c r="F30" s="1369"/>
      <c r="G30" s="1369"/>
      <c r="H30" s="1369"/>
      <c r="I30" s="1369"/>
      <c r="J30" s="1369"/>
      <c r="K30" s="1369"/>
      <c r="L30" s="1370"/>
      <c r="M30" s="1369"/>
      <c r="N30" s="1369"/>
      <c r="O30" s="1369"/>
      <c r="S30" s="2251" t="s">
        <v>433</v>
      </c>
      <c r="T30" s="2251"/>
      <c r="U30" s="1373"/>
      <c r="V30" s="2265" t="str">
        <f>IF(TITLE_DATE_PR_CHANGE="",IF(TITLE_DATE_PR="","",TITLE_DATE_PR),TITLE_DATE_PR_CHANGE)</f>
        <v>45642</v>
      </c>
      <c r="W30" s="2265"/>
      <c r="X30" s="2265"/>
      <c r="Y30" s="2265"/>
      <c r="Z30" s="2265"/>
      <c r="AA30" s="2265"/>
      <c r="AB30" s="2265"/>
      <c r="AC30" s="327"/>
      <c r="AD30" s="2265" t="str">
        <f>IF(TITLE_DATE_PR_CHANGE="",IF(TITLE_DATE_PR="","",TITLE_DATE_PR),TITLE_DATE_PR_CHANGE)</f>
        <v>45642</v>
      </c>
      <c r="AE30" s="2265"/>
      <c r="AF30" s="2265"/>
      <c r="AG30" s="2265"/>
      <c r="AH30" s="2265"/>
      <c r="AI30" s="2265"/>
      <c r="AJ30" s="2265"/>
      <c r="AK30" s="327"/>
      <c r="AL30" s="327"/>
      <c r="AM30" s="281"/>
      <c r="AN30" s="369"/>
      <c r="AO30" s="369"/>
      <c r="AP30" s="369"/>
      <c r="AQ30" s="369"/>
      <c r="AR30" s="369"/>
      <c r="AS30" s="419">
        <v>0</v>
      </c>
    </row>
    <row s="1854" customFormat="1" customHeight="1" ht="18.75">
      <c r="A31" s="1369"/>
      <c r="B31" s="1369"/>
      <c r="C31" s="1369"/>
      <c r="D31" s="1369"/>
      <c r="E31" s="1369"/>
      <c r="F31" s="1369"/>
      <c r="G31" s="1369"/>
      <c r="H31" s="1369"/>
      <c r="I31" s="1369"/>
      <c r="J31" s="1369"/>
      <c r="K31" s="1369"/>
      <c r="L31" s="1370"/>
      <c r="M31" s="1369"/>
      <c r="N31" s="1369"/>
      <c r="O31" s="1369"/>
      <c r="S31" s="2251" t="s">
        <v>434</v>
      </c>
      <c r="T31" s="2251"/>
      <c r="U31" s="1373"/>
      <c r="V31" s="2252" t="str">
        <f>IF(TITLE_NUMBER_PR_CHANGE="",IF(TITLE_NUMBER_PR="","",TITLE_NUMBER_PR),TITLE_NUMBER_PR_CHANGE)</f>
        <v>58</v>
      </c>
      <c r="W31" s="2252"/>
      <c r="X31" s="2252"/>
      <c r="Y31" s="2252"/>
      <c r="Z31" s="2252"/>
      <c r="AA31" s="2252"/>
      <c r="AB31" s="2252"/>
      <c r="AC31" s="327"/>
      <c r="AD31" s="2252" t="str">
        <f>IF(TITLE_NUMBER_PR_CHANGE="",IF(TITLE_NUMBER_PR="","",TITLE_NUMBER_PR),TITLE_NUMBER_PR_CHANGE)</f>
        <v>58</v>
      </c>
      <c r="AE31" s="2252"/>
      <c r="AF31" s="2252"/>
      <c r="AG31" s="2252"/>
      <c r="AH31" s="2252"/>
      <c r="AI31" s="2252"/>
      <c r="AJ31" s="2252"/>
      <c r="AK31" s="327"/>
      <c r="AL31" s="327"/>
      <c r="AM31" s="281"/>
      <c r="AN31" s="369"/>
      <c r="AO31" s="369"/>
      <c r="AP31" s="369"/>
      <c r="AQ31" s="369"/>
      <c r="AR31" s="369"/>
      <c r="AS31" s="419">
        <v>0</v>
      </c>
    </row>
    <row s="1854" customFormat="1" customHeight="1" ht="18.75">
      <c r="A32" s="1369"/>
      <c r="B32" s="1369"/>
      <c r="C32" s="1369"/>
      <c r="D32" s="1369"/>
      <c r="E32" s="1369"/>
      <c r="F32" s="1369"/>
      <c r="G32" s="1369"/>
      <c r="H32" s="1369"/>
      <c r="I32" s="1369"/>
      <c r="J32" s="1369"/>
      <c r="K32" s="1369"/>
      <c r="L32" s="1370"/>
      <c r="M32" s="1369"/>
      <c r="N32" s="1369"/>
      <c r="O32" s="1369"/>
      <c r="S32" s="2251" t="s">
        <v>44</v>
      </c>
      <c r="T32" s="2251"/>
      <c r="U32" s="1373"/>
      <c r="V32" s="2252" t="str">
        <f>IF(TITLE_IST_PUB_CHANGE="",IF(TITLE_IST_PUB="","",TITLE_IST_PUB),TITLE_IST_PUB_CHANGE)</f>
        <v>Официальный интернет портал правовой информации http://pravo.gov.ru </v>
      </c>
      <c r="W32" s="2252"/>
      <c r="X32" s="2252"/>
      <c r="Y32" s="2252"/>
      <c r="Z32" s="2252"/>
      <c r="AA32" s="2252"/>
      <c r="AB32" s="2252"/>
      <c r="AC32" s="327"/>
      <c r="AD32" s="2252" t="str">
        <f>IF(TITLE_IST_PUB_CHANGE="",IF(TITLE_IST_PUB="","",TITLE_IST_PUB),TITLE_IST_PUB_CHANGE)</f>
        <v>Официальный интернет портал правовой информации http://pravo.gov.ru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435</v>
      </c>
      <c r="T34" s="2251"/>
      <c r="U34" s="1373"/>
      <c r="V34" s="2265" t="str">
        <f>IF(TITLE_DATE_PR_CHANGE="",IF(TITLE_DATE_PR="","",TITLE_DATE_PR),TITLE_DATE_PR_CHANGE)</f>
        <v>45642</v>
      </c>
      <c r="W34" s="2265"/>
      <c r="X34" s="2265"/>
      <c r="Y34" s="2265"/>
      <c r="Z34" s="2265"/>
      <c r="AA34" s="2265"/>
      <c r="AB34" s="2265"/>
      <c r="AC34" s="327"/>
      <c r="AD34" s="2265" t="str">
        <f>IF(TITLE_DATE_PR_CHANGE="",IF(TITLE_DATE_PR="","",TITLE_DATE_PR),TITLE_DATE_PR_CHANGE)</f>
        <v>45642</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436</v>
      </c>
      <c r="T35" s="2251"/>
      <c r="U35" s="1373"/>
      <c r="V35" s="2252" t="str">
        <f>IF(TITLE_NUMBER_PR_CHANGE="",IF(TITLE_NUMBER_PR="","",TITLE_NUMBER_PR),TITLE_NUMBER_PR_CHANGE)</f>
        <v>58</v>
      </c>
      <c r="W35" s="2252"/>
      <c r="X35" s="2252"/>
      <c r="Y35" s="2252"/>
      <c r="Z35" s="2252"/>
      <c r="AA35" s="2252"/>
      <c r="AB35" s="2252"/>
      <c r="AC35" s="327"/>
      <c r="AD35" s="2252" t="str">
        <f>IF(TITLE_NUMBER_PR_CHANGE="",IF(TITLE_NUMBER_PR="","",TITLE_NUMBER_PR),TITLE_NUMBER_PR_CHANGE)</f>
        <v>58</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437</v>
      </c>
      <c r="AD36" s="327"/>
      <c r="AE36" s="327"/>
      <c r="AF36" s="327"/>
      <c r="AG36" s="327"/>
      <c r="AH36" s="327"/>
      <c r="AI36" s="327"/>
      <c r="AJ36" s="327"/>
      <c r="AK36" s="279" t="s">
        <v>437</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312</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313</v>
      </c>
      <c r="AS38" s="1156">
        <v>14</v>
      </c>
    </row>
    <row customHeight="1" ht="14.699999999999998">
      <c r="Q39" s="377"/>
      <c r="R39" s="377"/>
      <c r="S39" s="2274" t="s">
        <v>90</v>
      </c>
      <c r="T39" s="2210" t="s">
        <v>438</v>
      </c>
      <c r="U39" s="302"/>
      <c r="V39" s="2275" t="s">
        <v>439</v>
      </c>
      <c r="W39" s="2276"/>
      <c r="X39" s="2276"/>
      <c r="Y39" s="2276"/>
      <c r="Z39" s="2276"/>
      <c r="AA39" s="2276"/>
      <c r="AB39" s="2277"/>
      <c r="AC39" s="2278" t="s">
        <v>440</v>
      </c>
      <c r="AD39" s="2275" t="s">
        <v>439</v>
      </c>
      <c r="AE39" s="2276"/>
      <c r="AF39" s="2276"/>
      <c r="AG39" s="2276"/>
      <c r="AH39" s="2276"/>
      <c r="AI39" s="2276"/>
      <c r="AJ39" s="2277"/>
      <c r="AK39" s="2278" t="s">
        <v>441</v>
      </c>
      <c r="AL39" s="2281" t="s">
        <v>442</v>
      </c>
      <c r="AM39" s="2128"/>
      <c r="AS39" s="1156">
        <v>14</v>
      </c>
    </row>
    <row customHeight="1" ht="35.699999999999996">
      <c r="Q40" s="377"/>
      <c r="R40" s="377"/>
      <c r="S40" s="2274"/>
      <c r="T40" s="2210"/>
      <c r="U40" s="1032"/>
      <c r="V40" s="2261" t="s">
        <v>443</v>
      </c>
      <c r="W40" s="2284" t="s">
        <v>444</v>
      </c>
      <c r="X40" s="2263" t="s">
        <v>445</v>
      </c>
      <c r="Y40" s="2264"/>
      <c r="Z40" s="2263" t="s">
        <v>458</v>
      </c>
      <c r="AA40" s="2270"/>
      <c r="AB40" s="2264"/>
      <c r="AC40" s="2279"/>
      <c r="AD40" s="2261" t="s">
        <v>443</v>
      </c>
      <c r="AE40" s="2284" t="s">
        <v>444</v>
      </c>
      <c r="AF40" s="2263" t="s">
        <v>445</v>
      </c>
      <c r="AG40" s="2264"/>
      <c r="AH40" s="2263" t="s">
        <v>446</v>
      </c>
      <c r="AI40" s="2270"/>
      <c r="AJ40" s="2264"/>
      <c r="AK40" s="2279"/>
      <c r="AL40" s="2282"/>
      <c r="AM40" s="2128"/>
      <c r="AS40" s="1156">
        <v>34</v>
      </c>
    </row>
    <row customHeight="1" ht="35.699999999999996">
      <c r="A41" s="1371"/>
      <c r="B41" s="1371" t="s">
        <v>138</v>
      </c>
      <c r="C41" s="1371" t="s">
        <v>139</v>
      </c>
      <c r="D41" s="1371" t="s">
        <v>140</v>
      </c>
      <c r="E41" s="1365" t="s">
        <v>447</v>
      </c>
      <c r="F41" s="1365" t="s">
        <v>448</v>
      </c>
      <c r="G41" s="1365" t="s">
        <v>449</v>
      </c>
      <c r="H41" s="1365" t="s">
        <v>450</v>
      </c>
      <c r="I41" s="1365" t="s">
        <v>451</v>
      </c>
      <c r="J41" s="1365" t="s">
        <v>452</v>
      </c>
      <c r="K41" s="1365" t="s">
        <v>453</v>
      </c>
      <c r="L41" s="1365" t="s">
        <v>428</v>
      </c>
      <c r="Q41" s="377"/>
      <c r="R41" s="377"/>
      <c r="S41" s="2274"/>
      <c r="T41" s="2210"/>
      <c r="U41" s="303"/>
      <c r="V41" s="2262"/>
      <c r="W41" s="2285"/>
      <c r="X41" s="1223" t="s">
        <v>454</v>
      </c>
      <c r="Y41" s="1223" t="s">
        <v>455</v>
      </c>
      <c r="Z41" s="1339" t="s">
        <v>456</v>
      </c>
      <c r="AA41" s="2271" t="s">
        <v>457</v>
      </c>
      <c r="AB41" s="2272"/>
      <c r="AC41" s="2280"/>
      <c r="AD41" s="2262"/>
      <c r="AE41" s="2285"/>
      <c r="AF41" s="1223" t="s">
        <v>454</v>
      </c>
      <c r="AG41" s="1223" t="s">
        <v>455</v>
      </c>
      <c r="AH41" s="1339" t="s">
        <v>456</v>
      </c>
      <c r="AI41" s="2271" t="s">
        <v>457</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112</v>
      </c>
      <c r="T42" s="1256" t="s">
        <v>113</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164</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126</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1"/>
      <c r="AP43" s="501" t="str">
        <f>IF(T43="","",T43)</f>
        <v>Наименование тарифа</v>
      </c>
      <c r="AQ43" s="501"/>
      <c r="AR43" s="501"/>
      <c r="AS43" s="1156">
        <v>21</v>
      </c>
    </row>
    <row customHeight="1" ht="22.049999999999997">
      <c r="A44" s="1364" t="s">
        <v>164</v>
      </c>
      <c r="B44" s="1364" t="s">
        <v>165</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409</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410</v>
      </c>
      <c r="AO44" s="501"/>
      <c r="AP44" s="501" t="str">
        <f>IF(T44="","",T44)</f>
        <v>Территория действия тарифа</v>
      </c>
      <c r="AQ44" s="501"/>
      <c r="AR44" s="501"/>
      <c r="AS44" s="1156">
        <v>21</v>
      </c>
    </row>
    <row customHeight="1" ht="24">
      <c r="A45" s="1364" t="s">
        <v>164</v>
      </c>
      <c r="B45" s="1364" t="s">
        <v>165</v>
      </c>
      <c r="C45" s="1364" t="s">
        <v>166</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411</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412</v>
      </c>
      <c r="AO45" s="501"/>
      <c r="AP45" s="501" t="str">
        <f>IF(T45="","",T45)</f>
        <v>Наименование системы теплоснабжения </v>
      </c>
      <c r="AQ45" s="501"/>
      <c r="AR45" s="501"/>
      <c r="AS45" s="1156">
        <v>23</v>
      </c>
    </row>
    <row customHeight="1" ht="22.049999999999997">
      <c r="A46" s="1364" t="s">
        <v>164</v>
      </c>
      <c r="B46" s="1364" t="s">
        <v>165</v>
      </c>
      <c r="C46" s="1364" t="s">
        <v>166</v>
      </c>
      <c r="D46" s="1364" t="s">
        <v>167</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413</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414</v>
      </c>
      <c r="AO46" s="501"/>
      <c r="AP46" s="501" t="str">
        <f>IF(T46="","",T46)</f>
        <v>Источник тепловой энергии  </v>
      </c>
      <c r="AQ46" s="501"/>
      <c r="AR46" s="501"/>
      <c r="AS46" s="1156">
        <v>21</v>
      </c>
    </row>
    <row customHeight="1" ht="49.5">
      <c r="A47" s="1364" t="s">
        <v>164</v>
      </c>
      <c r="B47" s="1364" t="s">
        <v>165</v>
      </c>
      <c r="C47" s="1364" t="s">
        <v>166</v>
      </c>
      <c r="D47" s="1364" t="s">
        <v>167</v>
      </c>
      <c r="E47" s="2260"/>
      <c r="F47" s="2260"/>
      <c r="G47" s="2260"/>
      <c r="H47" s="2260"/>
      <c r="I47" s="2257" t="str">
        <f>S46&amp;".1"</f>
        <v>....1</v>
      </c>
      <c r="J47" s="1364"/>
      <c r="K47" s="1364"/>
      <c r="L47" s="1365" t="s">
        <v>415</v>
      </c>
      <c r="P47" s="2258">
        <v>1</v>
      </c>
      <c r="Q47" s="1332"/>
      <c r="R47" s="357"/>
      <c r="S47" s="1337" t="str">
        <f>$I47</f>
        <v>....1</v>
      </c>
      <c r="T47" s="286" t="s">
        <v>416</v>
      </c>
      <c r="U47" s="301"/>
      <c r="V47" s="2246"/>
      <c r="W47" s="2247"/>
      <c r="X47" s="2247"/>
      <c r="Y47" s="2247"/>
      <c r="Z47" s="2247"/>
      <c r="AA47" s="2247"/>
      <c r="AB47" s="2247"/>
      <c r="AC47" s="2248"/>
      <c r="AD47" s="2246"/>
      <c r="AE47" s="2247"/>
      <c r="AF47" s="2247"/>
      <c r="AG47" s="2247"/>
      <c r="AH47" s="2247"/>
      <c r="AI47" s="2247"/>
      <c r="AJ47" s="2247"/>
      <c r="AK47" s="2247"/>
      <c r="AL47" s="2248"/>
      <c r="AM47" s="1259" t="s">
        <v>417</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2.049999999999997">
      <c r="A48" s="1364" t="s">
        <v>164</v>
      </c>
      <c r="B48" s="1364" t="s">
        <v>165</v>
      </c>
      <c r="C48" s="1364" t="s">
        <v>166</v>
      </c>
      <c r="D48" s="1364" t="s">
        <v>167</v>
      </c>
      <c r="E48" s="2260"/>
      <c r="F48" s="2260"/>
      <c r="G48" s="2260"/>
      <c r="H48" s="2260"/>
      <c r="I48" s="2287"/>
      <c r="J48" s="2257" t="str">
        <f>I47&amp;".1"</f>
        <v>....1.1</v>
      </c>
      <c r="K48" s="1364"/>
      <c r="L48" s="1365" t="s">
        <v>418</v>
      </c>
      <c r="P48" s="2258"/>
      <c r="Q48" s="2258">
        <v>1</v>
      </c>
      <c r="R48" s="358"/>
      <c r="S48" s="1337" t="str">
        <f>$J48</f>
        <v>....1.1</v>
      </c>
      <c r="T48" s="287" t="s">
        <v>419</v>
      </c>
      <c r="U48" s="301"/>
      <c r="V48" s="2246"/>
      <c r="W48" s="2247"/>
      <c r="X48" s="2247"/>
      <c r="Y48" s="2247"/>
      <c r="Z48" s="2247"/>
      <c r="AA48" s="2247"/>
      <c r="AB48" s="2247"/>
      <c r="AC48" s="2248"/>
      <c r="AD48" s="2246"/>
      <c r="AE48" s="2247"/>
      <c r="AF48" s="2247"/>
      <c r="AG48" s="2247"/>
      <c r="AH48" s="2247"/>
      <c r="AI48" s="2247"/>
      <c r="AJ48" s="2247"/>
      <c r="AK48" s="2247"/>
      <c r="AL48" s="2248"/>
      <c r="AM48" s="1259" t="s">
        <v>420</v>
      </c>
      <c r="AO48" s="501"/>
      <c r="AP48" s="501" t="str">
        <f>IF(T48="","",T48)</f>
        <v>Группа потребителей</v>
      </c>
      <c r="AQ48" s="501"/>
      <c r="AR48" s="501"/>
      <c r="AS48" s="1156">
        <v>21</v>
      </c>
    </row>
    <row customHeight="1" ht="22.049999999999997">
      <c r="A49" s="1364" t="s">
        <v>164</v>
      </c>
      <c r="B49" s="1364" t="s">
        <v>165</v>
      </c>
      <c r="C49" s="1364" t="s">
        <v>166</v>
      </c>
      <c r="D49" s="1364" t="s">
        <v>167</v>
      </c>
      <c r="E49" s="2260"/>
      <c r="F49" s="2260"/>
      <c r="G49" s="2260"/>
      <c r="H49" s="2260"/>
      <c r="I49" s="2287"/>
      <c r="J49" s="2287"/>
      <c r="K49" s="2257" t="str">
        <f>J48&amp;".1"</f>
        <v>....1.1.1</v>
      </c>
      <c r="L49" s="1365" t="s">
        <v>421</v>
      </c>
      <c r="P49" s="2258"/>
      <c r="Q49" s="2258"/>
      <c r="R49" s="358">
        <v>1</v>
      </c>
      <c r="S49" s="1337" t="str">
        <f>$K49</f>
        <v>....1.1.1</v>
      </c>
      <c r="T49" s="1348"/>
      <c r="U49" s="301"/>
      <c r="V49" s="752"/>
      <c r="W49" s="326"/>
      <c r="X49" s="752"/>
      <c r="Y49" s="1258"/>
      <c r="Z49" s="2266"/>
      <c r="AA49" s="2108" t="s">
        <v>63</v>
      </c>
      <c r="AB49" s="2266"/>
      <c r="AC49" s="2108" t="s">
        <v>63</v>
      </c>
      <c r="AD49" s="752"/>
      <c r="AE49" s="326"/>
      <c r="AF49" s="752"/>
      <c r="AG49" s="1258"/>
      <c r="AH49" s="2266"/>
      <c r="AI49" s="2108" t="s">
        <v>63</v>
      </c>
      <c r="AJ49" s="2288"/>
      <c r="AK49" s="2108" t="s">
        <v>63</v>
      </c>
      <c r="AL49" s="1349"/>
      <c r="AM49" s="2254" t="s">
        <v>422</v>
      </c>
      <c r="AN49" s="512">
        <f>STRCHECKDATE(V50:AL50)</f>
      </c>
      <c r="AO49" s="501"/>
      <c r="AP49" s="501" t="str">
        <f>IF(T49="","",T49)</f>
        <v/>
      </c>
      <c r="AQ49" s="501"/>
      <c r="AR49" s="501"/>
      <c r="AS49" s="1156">
        <v>21</v>
      </c>
    </row>
    <row customHeight="1" ht="1.05">
      <c r="A50" s="1364" t="s">
        <v>164</v>
      </c>
      <c r="B50" s="1364" t="s">
        <v>165</v>
      </c>
      <c r="C50" s="1364" t="s">
        <v>166</v>
      </c>
      <c r="D50" s="1364" t="s">
        <v>167</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164</v>
      </c>
      <c r="B51" s="1364" t="s">
        <v>165</v>
      </c>
      <c r="C51" s="1364" t="s">
        <v>166</v>
      </c>
      <c r="D51" s="1364" t="s">
        <v>167</v>
      </c>
      <c r="E51" s="2260"/>
      <c r="F51" s="2260"/>
      <c r="G51" s="2260"/>
      <c r="H51" s="2260"/>
      <c r="I51" s="2287"/>
      <c r="J51" s="2257"/>
      <c r="K51" s="1364"/>
      <c r="L51" s="1365"/>
      <c r="P51" s="2258"/>
      <c r="Q51" s="2258"/>
      <c r="R51" s="357"/>
      <c r="S51" s="1279"/>
      <c r="T51" s="289" t="s">
        <v>423</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164</v>
      </c>
      <c r="B52" s="1364" t="s">
        <v>165</v>
      </c>
      <c r="C52" s="1364" t="s">
        <v>166</v>
      </c>
      <c r="D52" s="1364" t="s">
        <v>167</v>
      </c>
      <c r="E52" s="2260"/>
      <c r="F52" s="2260"/>
      <c r="G52" s="2260"/>
      <c r="H52" s="2260"/>
      <c r="I52" s="2257"/>
      <c r="J52" s="1364"/>
      <c r="K52" s="1364"/>
      <c r="L52" s="1365"/>
      <c r="P52" s="2258"/>
      <c r="Q52" s="1332"/>
      <c r="R52" s="357"/>
      <c r="S52" s="1279"/>
      <c r="T52" s="288" t="s">
        <v>424</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164</v>
      </c>
      <c r="B53" s="1364" t="s">
        <v>165</v>
      </c>
      <c r="C53" s="1364" t="s">
        <v>166</v>
      </c>
      <c r="D53" s="1364" t="s">
        <v>167</v>
      </c>
      <c r="E53" s="2260"/>
      <c r="F53" s="2260"/>
      <c r="G53" s="2260"/>
      <c r="H53" s="2259"/>
      <c r="I53" s="1364"/>
      <c r="J53" s="1364"/>
      <c r="K53" s="1364"/>
      <c r="L53" s="1365"/>
      <c r="M53" s="1366"/>
      <c r="N53" s="1366"/>
      <c r="O53" s="538"/>
      <c r="P53" s="361"/>
      <c r="Q53" s="376"/>
      <c r="R53" s="356"/>
      <c r="S53" s="1279"/>
      <c r="T53" s="366" t="s">
        <v>425</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164</v>
      </c>
      <c r="B54" s="1344" t="s">
        <v>165</v>
      </c>
      <c r="C54" s="1344" t="s">
        <v>166</v>
      </c>
      <c r="D54" s="1315"/>
      <c r="E54" s="2260"/>
      <c r="F54" s="2260"/>
      <c r="G54" s="2259"/>
      <c r="H54" s="1315"/>
      <c r="I54" s="1315"/>
      <c r="J54" s="1315"/>
      <c r="K54" s="1315"/>
      <c r="L54" s="1340"/>
      <c r="M54" s="1316"/>
      <c r="N54" s="1316"/>
      <c r="P54" s="1317"/>
      <c r="Q54" s="1318"/>
      <c r="R54" s="1317"/>
      <c r="S54" s="1323"/>
      <c r="T54" s="1326" t="s">
        <v>426</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164</v>
      </c>
      <c r="B55" s="1344" t="s">
        <v>165</v>
      </c>
      <c r="C55" s="1315"/>
      <c r="D55" s="1315"/>
      <c r="E55" s="2260"/>
      <c r="F55" s="2259"/>
      <c r="G55" s="1315"/>
      <c r="H55" s="1315"/>
      <c r="I55" s="1315"/>
      <c r="J55" s="1315"/>
      <c r="K55" s="1315"/>
      <c r="L55" s="1340"/>
      <c r="M55" s="1322"/>
      <c r="N55" s="1322"/>
      <c r="P55" s="1317"/>
      <c r="Q55" s="1318"/>
      <c r="R55" s="1317"/>
      <c r="S55" s="1323"/>
      <c r="T55" s="1326" t="s">
        <v>232</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164</v>
      </c>
      <c r="B56" s="1344"/>
      <c r="C56" s="1344"/>
      <c r="D56" s="1344"/>
      <c r="E56" s="2259"/>
      <c r="F56" s="1344"/>
      <c r="G56" s="1344"/>
      <c r="H56" s="1344"/>
      <c r="I56" s="1344"/>
      <c r="J56" s="1344"/>
      <c r="K56" s="1344"/>
      <c r="L56" s="1347"/>
      <c r="M56" s="1322"/>
      <c r="N56" s="1322"/>
      <c r="O56" s="519"/>
      <c r="P56" s="381"/>
      <c r="Q56" s="1345"/>
      <c r="R56" s="381"/>
      <c r="S56" s="1323"/>
      <c r="T56" s="1326" t="s">
        <v>233</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240</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65.2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62</v>
      </c>
    </row>
    <row customHeight="1" ht="14.699999999999998">
      <c r="O61" s="538"/>
      <c r="AS61" s="1156">
        <v>14</v>
      </c>
    </row>
    <row customHeight="1" ht="18.75">
      <c r="O62" s="538"/>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29.2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22.5" hidden="1">
      <c r="A65" s="1161" t="s">
        <v>84</v>
      </c>
      <c r="B65" s="1161">
        <v>0</v>
      </c>
      <c r="C65" s="1161">
        <v>0</v>
      </c>
      <c r="D65" s="1161">
        <v>0</v>
      </c>
      <c r="E65" s="1161">
        <v>0</v>
      </c>
      <c r="F65" s="1161">
        <v>0</v>
      </c>
      <c r="G65" s="1161">
        <v>0</v>
      </c>
      <c r="H65" s="1161">
        <v>0</v>
      </c>
      <c r="I65" s="1161">
        <v>0</v>
      </c>
      <c r="J65" s="1161">
        <v>0</v>
      </c>
      <c r="K65" s="1161">
        <v>0</v>
      </c>
      <c r="L65" s="1330">
        <v>0</v>
      </c>
      <c r="M65" s="1363">
        <v>0</v>
      </c>
      <c r="N65" s="1363">
        <v>0</v>
      </c>
      <c r="O65" s="1363">
        <v>0</v>
      </c>
      <c r="P65" s="1329">
        <v>3</v>
      </c>
      <c r="Q65" s="345">
        <v>3</v>
      </c>
      <c r="R65" s="345">
        <v>3</v>
      </c>
      <c r="S65" s="582">
        <v>12</v>
      </c>
      <c r="T65" s="1156">
        <v>31</v>
      </c>
      <c r="U65" s="1156">
        <v>0</v>
      </c>
      <c r="V65" s="1156">
        <v>0</v>
      </c>
      <c r="W65" s="1156">
        <v>0</v>
      </c>
      <c r="X65" s="1156">
        <v>0</v>
      </c>
      <c r="Y65" s="1156">
        <v>0</v>
      </c>
      <c r="Z65" s="1156">
        <v>0</v>
      </c>
      <c r="AA65" s="1156">
        <v>0</v>
      </c>
      <c r="AB65" s="1156">
        <v>0</v>
      </c>
      <c r="AC65" s="1156">
        <v>0</v>
      </c>
      <c r="AD65" s="1156">
        <v>24</v>
      </c>
      <c r="AE65" s="1156">
        <v>0</v>
      </c>
      <c r="AF65" s="1156">
        <v>24</v>
      </c>
      <c r="AG65" s="1156">
        <v>24</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F1ED87-D664-C448-C71D-0.AD850F2D}"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1" style="1636" width="11.421875" hidden="1" customWidth="1"/>
    <col min="12" max="12" style="2126" width="19.140625" hidden="1" customWidth="1"/>
    <col min="13" max="14" style="2398" width="12.28125" hidden="1" customWidth="1"/>
    <col min="15" max="15" style="2398"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S1" s="1632" t="s">
        <v>14</v>
      </c>
    </row>
    <row customHeight="1" ht="21" hidden="1">
      <c r="A2" s="1268"/>
      <c r="B2" s="1268"/>
      <c r="C2" s="1268"/>
      <c r="D2" s="1268"/>
      <c r="E2" s="2290">
        <v>1</v>
      </c>
      <c r="F2" s="1268"/>
      <c r="G2" s="1268"/>
      <c r="H2" s="1268"/>
      <c r="I2" s="1268"/>
      <c r="J2" s="1268"/>
      <c r="K2" s="1268"/>
      <c r="L2" s="1311"/>
      <c r="M2" s="1611"/>
      <c r="N2" s="1611"/>
      <c r="O2" s="1611"/>
      <c r="P2" s="1591"/>
      <c r="Q2" s="361"/>
      <c r="R2" s="356"/>
      <c r="S2" s="1959">
        <f>INDEX(PT_DIFFERENTIATION_NUM_NTAR,MATCH(A2,PT_DIFFERENTIATION_NTAR_ID,0))</f>
      </c>
      <c r="T2" s="1526" t="s">
        <v>126</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408</v>
      </c>
      <c r="AO2" s="1625"/>
      <c r="AP2" s="1625" t="str">
        <f>IF(T2="","",T2)</f>
        <v>Наименование тарифа</v>
      </c>
      <c r="AQ2" s="1625"/>
      <c r="AR2" s="1625"/>
      <c r="AS2" s="1632">
        <v>0</v>
      </c>
    </row>
    <row customHeight="1" ht="21" hidden="1">
      <c r="A3" s="1268"/>
      <c r="B3" s="1268"/>
      <c r="C3" s="1268"/>
      <c r="D3" s="1268"/>
      <c r="E3" s="2291"/>
      <c r="F3" s="2290">
        <v>1</v>
      </c>
      <c r="G3" s="1268"/>
      <c r="H3" s="1268"/>
      <c r="I3" s="1268"/>
      <c r="J3" s="1268"/>
      <c r="K3" s="1268"/>
      <c r="L3" s="1311"/>
      <c r="M3" s="1611"/>
      <c r="N3" s="1611"/>
      <c r="O3" s="1611"/>
      <c r="P3" s="1941"/>
      <c r="Q3" s="353"/>
      <c r="R3" s="354"/>
      <c r="S3" s="1959">
        <f>INDEX(PT_DIFFERENTIATION_NUM_TER,MATCH(B3,PT_DIFFERENTIATION_TER_ID,0))</f>
      </c>
      <c r="T3" s="1523" t="s">
        <v>409</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410</v>
      </c>
      <c r="AO3" s="1625"/>
      <c r="AP3" s="1625" t="str">
        <f>IF(T3="","",T3)</f>
        <v>Территория действия тарифа</v>
      </c>
      <c r="AQ3" s="1625"/>
      <c r="AR3" s="1625"/>
      <c r="AS3" s="1632">
        <v>0</v>
      </c>
    </row>
    <row customHeight="1" ht="23.25" hidden="1">
      <c r="A4" s="1268"/>
      <c r="B4" s="1268"/>
      <c r="C4" s="1268"/>
      <c r="D4" s="1268"/>
      <c r="E4" s="2291"/>
      <c r="F4" s="2291"/>
      <c r="G4" s="2290">
        <v>1</v>
      </c>
      <c r="H4" s="1268"/>
      <c r="I4" s="1268"/>
      <c r="J4" s="1268"/>
      <c r="K4" s="1268"/>
      <c r="L4" s="1311"/>
      <c r="M4" s="1611"/>
      <c r="N4" s="1611"/>
      <c r="O4" s="1611"/>
      <c r="P4" s="355"/>
      <c r="Q4" s="353"/>
      <c r="R4" s="354"/>
      <c r="S4" s="1959">
        <f>INDEX(PT_DIFFERENTIATION_NUM_CS,MATCH(C4,PT_DIFFERENTIATION_CS_ID,0))</f>
      </c>
      <c r="T4" s="310" t="s">
        <v>411</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412</v>
      </c>
      <c r="AO4" s="1625"/>
      <c r="AP4" s="1625" t="str">
        <f>IF(T4="","",T4)</f>
        <v>Наименование системы теплоснабжения </v>
      </c>
      <c r="AQ4" s="1625"/>
      <c r="AR4" s="1625"/>
      <c r="AS4" s="1632">
        <v>0</v>
      </c>
    </row>
    <row customHeight="1" ht="21" hidden="1">
      <c r="A5" s="1268"/>
      <c r="B5" s="1268"/>
      <c r="C5" s="1268"/>
      <c r="D5" s="1268"/>
      <c r="E5" s="2291"/>
      <c r="F5" s="2291"/>
      <c r="G5" s="2291"/>
      <c r="H5" s="2290">
        <v>1</v>
      </c>
      <c r="I5" s="1268"/>
      <c r="J5" s="1268"/>
      <c r="K5" s="1268"/>
      <c r="L5" s="1311"/>
      <c r="M5" s="1611"/>
      <c r="N5" s="1611"/>
      <c r="O5" s="1611"/>
      <c r="P5" s="355"/>
      <c r="Q5" s="353"/>
      <c r="R5" s="354"/>
      <c r="S5" s="1959">
        <f>INDEX(PT_DIFFERENTIATION_NUM_IST_TE,MATCH(D5,PT_DIFFERENTIATION_IST_TE_ID,0))</f>
      </c>
      <c r="T5" s="311" t="s">
        <v>413</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414</v>
      </c>
      <c r="AO5" s="1625"/>
      <c r="AP5" s="1625" t="str">
        <f>IF(T5="","",T5)</f>
        <v>Источник тепловой энергии  </v>
      </c>
      <c r="AQ5" s="1625"/>
      <c r="AR5" s="1625"/>
      <c r="AS5" s="1632">
        <v>0</v>
      </c>
    </row>
    <row customHeight="1" ht="47.25" hidden="1">
      <c r="A6" s="1268"/>
      <c r="B6" s="1268"/>
      <c r="C6" s="1268"/>
      <c r="D6" s="1268"/>
      <c r="E6" s="2291"/>
      <c r="F6" s="2291"/>
      <c r="G6" s="2291"/>
      <c r="H6" s="2291"/>
      <c r="I6" s="2128">
        <f>S5&amp;".1"</f>
      </c>
      <c r="J6" s="1268"/>
      <c r="K6" s="1268"/>
      <c r="L6" s="1311" t="s">
        <v>415</v>
      </c>
      <c r="M6" s="1636"/>
      <c r="P6" s="2258">
        <v>1</v>
      </c>
      <c r="Q6" s="1955"/>
      <c r="R6" s="357"/>
      <c r="S6" s="1959">
        <f>$I6</f>
      </c>
      <c r="T6" s="286" t="s">
        <v>416</v>
      </c>
      <c r="U6" s="301"/>
      <c r="V6" s="2246"/>
      <c r="W6" s="2247"/>
      <c r="X6" s="2247"/>
      <c r="Y6" s="2247"/>
      <c r="Z6" s="2247"/>
      <c r="AA6" s="2247"/>
      <c r="AB6" s="2247"/>
      <c r="AC6" s="2248"/>
      <c r="AD6" s="2246"/>
      <c r="AE6" s="2247"/>
      <c r="AF6" s="2247"/>
      <c r="AG6" s="2247"/>
      <c r="AH6" s="2247"/>
      <c r="AI6" s="2247"/>
      <c r="AJ6" s="2247"/>
      <c r="AK6" s="2247"/>
      <c r="AL6" s="2248"/>
      <c r="AM6" s="1259" t="s">
        <v>417</v>
      </c>
      <c r="AO6" s="1625"/>
      <c r="AP6" s="1625" t="str">
        <f>IF(T6="","",T6)</f>
        <v>Схема подключения теплопотребляющей установки к коллектору источника тепловой энергии</v>
      </c>
      <c r="AQ6" s="1625"/>
      <c r="AR6" s="1625"/>
      <c r="AS6" s="1632">
        <v>0</v>
      </c>
    </row>
    <row customHeight="1" ht="21" hidden="1">
      <c r="A7" s="1268"/>
      <c r="B7" s="1268"/>
      <c r="C7" s="1268"/>
      <c r="D7" s="1268"/>
      <c r="E7" s="2291"/>
      <c r="F7" s="2291"/>
      <c r="G7" s="2291"/>
      <c r="H7" s="2291"/>
      <c r="I7" s="2102"/>
      <c r="J7" s="2128">
        <f>I6&amp;".1"</f>
      </c>
      <c r="K7" s="1268"/>
      <c r="L7" s="1311" t="s">
        <v>418</v>
      </c>
      <c r="M7" s="1636"/>
      <c r="N7" s="1632"/>
      <c r="P7" s="2258"/>
      <c r="Q7" s="2258">
        <v>1</v>
      </c>
      <c r="R7" s="358"/>
      <c r="S7" s="1959">
        <f>$J7</f>
      </c>
      <c r="T7" s="287" t="s">
        <v>419</v>
      </c>
      <c r="U7" s="301"/>
      <c r="V7" s="2246"/>
      <c r="W7" s="2247"/>
      <c r="X7" s="2247"/>
      <c r="Y7" s="2247"/>
      <c r="Z7" s="2247"/>
      <c r="AA7" s="2247"/>
      <c r="AB7" s="2247"/>
      <c r="AC7" s="2248"/>
      <c r="AD7" s="2246"/>
      <c r="AE7" s="2247"/>
      <c r="AF7" s="2247"/>
      <c r="AG7" s="2247"/>
      <c r="AH7" s="2247"/>
      <c r="AI7" s="2247"/>
      <c r="AJ7" s="2247"/>
      <c r="AK7" s="2247"/>
      <c r="AL7" s="2248"/>
      <c r="AM7" s="1259" t="s">
        <v>420</v>
      </c>
      <c r="AO7" s="1625"/>
      <c r="AP7" s="1625" t="str">
        <f>IF(T7="","",T7)</f>
        <v>Группа потребителей</v>
      </c>
      <c r="AQ7" s="1625"/>
      <c r="AR7" s="1625"/>
      <c r="AS7" s="1632">
        <v>0</v>
      </c>
    </row>
    <row customHeight="1" ht="21" hidden="1">
      <c r="A8" s="1268"/>
      <c r="B8" s="1268"/>
      <c r="C8" s="1268"/>
      <c r="D8" s="1268"/>
      <c r="E8" s="2291"/>
      <c r="F8" s="2291"/>
      <c r="G8" s="2291"/>
      <c r="H8" s="2291"/>
      <c r="I8" s="2102"/>
      <c r="J8" s="2102"/>
      <c r="K8" s="2128">
        <f>J7&amp;".1"</f>
      </c>
      <c r="L8" s="1311" t="s">
        <v>421</v>
      </c>
      <c r="M8" s="1636"/>
      <c r="N8" s="1632"/>
      <c r="O8" s="1632"/>
      <c r="P8" s="2258"/>
      <c r="Q8" s="2258"/>
      <c r="R8" s="358">
        <v>1</v>
      </c>
      <c r="S8" s="1959">
        <f>$K8</f>
      </c>
      <c r="T8" s="1348"/>
      <c r="U8" s="301"/>
      <c r="V8" s="752"/>
      <c r="W8" s="326"/>
      <c r="X8" s="752"/>
      <c r="Y8" s="1258"/>
      <c r="Z8" s="2266"/>
      <c r="AA8" s="2108" t="s">
        <v>63</v>
      </c>
      <c r="AB8" s="2266"/>
      <c r="AC8" s="2108" t="s">
        <v>63</v>
      </c>
      <c r="AD8" s="752"/>
      <c r="AE8" s="326"/>
      <c r="AF8" s="752"/>
      <c r="AG8" s="1258"/>
      <c r="AH8" s="2266"/>
      <c r="AI8" s="2108" t="s">
        <v>63</v>
      </c>
      <c r="AJ8" s="2266"/>
      <c r="AK8" s="2108" t="s">
        <v>63</v>
      </c>
      <c r="AL8" s="326"/>
      <c r="AM8" s="2254" t="s">
        <v>422</v>
      </c>
      <c r="AN8" s="1637">
        <f>STRCHECKDATE(V9:AL9)</f>
      </c>
      <c r="AO8" s="1625"/>
      <c r="AP8" s="1625" t="str">
        <f>IF(T8="","",T8)</f>
        <v/>
      </c>
      <c r="AQ8" s="1625"/>
      <c r="AR8" s="1625"/>
      <c r="AS8" s="1632">
        <v>0</v>
      </c>
    </row>
    <row customHeight="1" ht="0.75" hidden="1">
      <c r="A9" s="1268"/>
      <c r="B9" s="1268"/>
      <c r="C9" s="1268"/>
      <c r="D9" s="1268"/>
      <c r="E9" s="2291"/>
      <c r="F9" s="2291"/>
      <c r="G9" s="2291"/>
      <c r="H9" s="2291"/>
      <c r="I9" s="2102"/>
      <c r="J9" s="2102"/>
      <c r="K9" s="2128"/>
      <c r="L9" s="1311"/>
      <c r="M9" s="1636"/>
      <c r="N9" s="1632"/>
      <c r="O9" s="1632"/>
      <c r="P9" s="2258"/>
      <c r="Q9" s="2258"/>
      <c r="R9" s="358"/>
      <c r="S9" s="1968"/>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1625"/>
      <c r="AP9" s="1625" t="str">
        <f>IF(T9="","",T9)</f>
        <v/>
      </c>
      <c r="AQ9" s="1625"/>
      <c r="AR9" s="1625"/>
      <c r="AS9" s="1632">
        <v>0</v>
      </c>
    </row>
    <row customHeight="1" ht="15" hidden="1">
      <c r="A10" s="1268"/>
      <c r="B10" s="1268"/>
      <c r="C10" s="1268"/>
      <c r="D10" s="1268"/>
      <c r="E10" s="2291"/>
      <c r="F10" s="2291"/>
      <c r="G10" s="2291"/>
      <c r="H10" s="2291"/>
      <c r="I10" s="2102"/>
      <c r="J10" s="2128"/>
      <c r="K10" s="1268"/>
      <c r="L10" s="1311"/>
      <c r="M10" s="1636"/>
      <c r="N10" s="1632"/>
      <c r="P10" s="2258"/>
      <c r="Q10" s="2258"/>
      <c r="R10" s="357"/>
      <c r="S10" s="1279"/>
      <c r="T10" s="289" t="s">
        <v>423</v>
      </c>
      <c r="U10" s="601"/>
      <c r="V10" s="601"/>
      <c r="W10" s="601"/>
      <c r="X10" s="601"/>
      <c r="Y10" s="601"/>
      <c r="Z10" s="601"/>
      <c r="AA10" s="601"/>
      <c r="AB10" s="601"/>
      <c r="AC10" s="601"/>
      <c r="AD10" s="601"/>
      <c r="AE10" s="601"/>
      <c r="AF10" s="601"/>
      <c r="AG10" s="601"/>
      <c r="AH10" s="601"/>
      <c r="AI10" s="601"/>
      <c r="AJ10" s="601"/>
      <c r="AK10" s="601"/>
      <c r="AL10" s="325"/>
      <c r="AM10" s="2256"/>
      <c r="AO10" s="1625"/>
      <c r="AP10" s="1625" t="str">
        <f>IF(T10="","",T10)</f>
        <v>Добавить вид теплоносителя (параметры теплоносителя)</v>
      </c>
      <c r="AQ10" s="1625"/>
      <c r="AR10" s="1625"/>
      <c r="AS10" s="1632">
        <v>0</v>
      </c>
    </row>
    <row customHeight="1" ht="15" hidden="1">
      <c r="A11" s="1268"/>
      <c r="B11" s="1268"/>
      <c r="C11" s="1268"/>
      <c r="D11" s="1268"/>
      <c r="E11" s="2291"/>
      <c r="F11" s="2291"/>
      <c r="G11" s="2291"/>
      <c r="H11" s="2291"/>
      <c r="I11" s="2128"/>
      <c r="J11" s="1268"/>
      <c r="K11" s="1268"/>
      <c r="L11" s="1311"/>
      <c r="M11" s="1636"/>
      <c r="P11" s="2258"/>
      <c r="Q11" s="1955"/>
      <c r="R11" s="357"/>
      <c r="S11" s="1279"/>
      <c r="T11" s="288" t="s">
        <v>424</v>
      </c>
      <c r="U11" s="601"/>
      <c r="V11" s="601"/>
      <c r="W11" s="601"/>
      <c r="X11" s="601"/>
      <c r="Y11" s="601"/>
      <c r="Z11" s="601"/>
      <c r="AA11" s="601"/>
      <c r="AB11" s="601"/>
      <c r="AC11" s="367"/>
      <c r="AD11" s="601"/>
      <c r="AE11" s="601"/>
      <c r="AF11" s="601"/>
      <c r="AG11" s="601"/>
      <c r="AH11" s="601"/>
      <c r="AI11" s="601"/>
      <c r="AJ11" s="601"/>
      <c r="AK11" s="367"/>
      <c r="AL11" s="601"/>
      <c r="AM11" s="304"/>
      <c r="AO11" s="1625"/>
      <c r="AP11" s="1625" t="str">
        <f>IF(T11="","",T11)</f>
        <v>Добавить группу потребителей</v>
      </c>
      <c r="AQ11" s="1625"/>
      <c r="AR11" s="1625"/>
      <c r="AS11" s="1632">
        <v>0</v>
      </c>
    </row>
    <row customHeight="1" ht="14.25" hidden="1">
      <c r="A12" s="1268"/>
      <c r="B12" s="1268"/>
      <c r="C12" s="1268"/>
      <c r="D12" s="1268"/>
      <c r="E12" s="2291"/>
      <c r="F12" s="2291"/>
      <c r="G12" s="2291"/>
      <c r="H12" s="2290"/>
      <c r="I12" s="1268"/>
      <c r="J12" s="1268"/>
      <c r="K12" s="1268"/>
      <c r="L12" s="1311"/>
      <c r="M12" s="1611"/>
      <c r="N12" s="1611"/>
      <c r="O12" s="1636"/>
      <c r="P12" s="361"/>
      <c r="Q12" s="376"/>
      <c r="R12" s="356"/>
      <c r="S12" s="1279"/>
      <c r="T12" s="366" t="s">
        <v>425</v>
      </c>
      <c r="U12" s="601"/>
      <c r="V12" s="601"/>
      <c r="W12" s="601"/>
      <c r="X12" s="601"/>
      <c r="Y12" s="601"/>
      <c r="Z12" s="601"/>
      <c r="AA12" s="601"/>
      <c r="AB12" s="601"/>
      <c r="AC12" s="367"/>
      <c r="AD12" s="601"/>
      <c r="AE12" s="601"/>
      <c r="AF12" s="601"/>
      <c r="AG12" s="601"/>
      <c r="AH12" s="601"/>
      <c r="AI12" s="601"/>
      <c r="AJ12" s="601"/>
      <c r="AK12" s="367"/>
      <c r="AL12" s="601"/>
      <c r="AM12" s="304"/>
      <c r="AO12" s="1625"/>
      <c r="AP12" s="1625" t="str">
        <f>IF(T12="","",T12)</f>
        <v>Добавить схему подключения</v>
      </c>
      <c r="AQ12" s="1625"/>
      <c r="AR12" s="1625"/>
      <c r="AS12" s="1632">
        <v>0</v>
      </c>
    </row>
    <row s="1643" customFormat="1" customHeight="1" ht="0.75" hidden="1">
      <c r="A13" s="1375"/>
      <c r="B13" s="1375"/>
      <c r="C13" s="1375"/>
      <c r="D13" s="1375"/>
      <c r="E13" s="2291"/>
      <c r="F13" s="2291"/>
      <c r="G13" s="2290"/>
      <c r="H13" s="1375"/>
      <c r="I13" s="1375"/>
      <c r="J13" s="1375"/>
      <c r="K13" s="1375"/>
      <c r="L13" s="1378"/>
      <c r="M13" s="1379"/>
      <c r="N13" s="1379"/>
      <c r="O13" s="352"/>
      <c r="P13" s="1317"/>
      <c r="Q13" s="1318"/>
      <c r="R13" s="1317"/>
      <c r="S13" s="1319"/>
      <c r="T13" s="1320" t="s">
        <v>426</v>
      </c>
      <c r="U13" s="1321"/>
      <c r="V13" s="1321"/>
      <c r="W13" s="1321"/>
      <c r="X13" s="1321"/>
      <c r="Y13" s="1321"/>
      <c r="Z13" s="1321"/>
      <c r="AA13" s="1321"/>
      <c r="AB13" s="1321"/>
      <c r="AC13" s="1321"/>
      <c r="AD13" s="1321"/>
      <c r="AE13" s="1321"/>
      <c r="AF13" s="1321"/>
      <c r="AG13" s="1321"/>
      <c r="AH13" s="1321"/>
      <c r="AI13" s="1321"/>
      <c r="AJ13" s="1321"/>
      <c r="AK13" s="1321"/>
      <c r="AL13" s="1321"/>
      <c r="AM13" s="1321"/>
      <c r="AO13" s="1252"/>
      <c r="AP13" s="1252" t="str">
        <f>IF(T13="","",T13)</f>
        <v>Добавить источник для дифференциации</v>
      </c>
      <c r="AQ13" s="1252"/>
      <c r="AR13" s="1252"/>
      <c r="AS13" s="1643">
        <v>0</v>
      </c>
    </row>
    <row s="1643" customFormat="1" customHeight="1" ht="0.75" hidden="1">
      <c r="A14" s="1375"/>
      <c r="B14" s="1375"/>
      <c r="C14" s="1375"/>
      <c r="D14" s="1375"/>
      <c r="E14" s="2291"/>
      <c r="F14" s="2290"/>
      <c r="G14" s="1375"/>
      <c r="H14" s="1375"/>
      <c r="I14" s="1375"/>
      <c r="J14" s="1375"/>
      <c r="K14" s="1375"/>
      <c r="L14" s="1378"/>
      <c r="M14" s="1380"/>
      <c r="N14" s="1380"/>
      <c r="O14" s="352"/>
      <c r="P14" s="1317"/>
      <c r="Q14" s="1318"/>
      <c r="R14" s="1317"/>
      <c r="S14" s="1323"/>
      <c r="T14" s="1324" t="s">
        <v>232</v>
      </c>
      <c r="U14" s="1325"/>
      <c r="V14" s="1325"/>
      <c r="W14" s="1325"/>
      <c r="X14" s="1325"/>
      <c r="Y14" s="1325"/>
      <c r="Z14" s="1325"/>
      <c r="AA14" s="1325"/>
      <c r="AB14" s="1325"/>
      <c r="AC14" s="1325"/>
      <c r="AD14" s="1325"/>
      <c r="AE14" s="1325"/>
      <c r="AF14" s="1325"/>
      <c r="AG14" s="1325"/>
      <c r="AH14" s="1325"/>
      <c r="AI14" s="1325"/>
      <c r="AJ14" s="1325"/>
      <c r="AK14" s="1325"/>
      <c r="AL14" s="1325"/>
      <c r="AM14" s="1325"/>
      <c r="AO14" s="1252"/>
      <c r="AP14" s="1252" t="str">
        <f>IF(T14="","",T14)</f>
        <v>Добавить централизованную систему для дифференциации</v>
      </c>
      <c r="AQ14" s="1252"/>
      <c r="AR14" s="1252"/>
      <c r="AS14" s="1643">
        <v>0</v>
      </c>
    </row>
    <row s="1643" customFormat="1" customHeight="1" ht="0.75" hidden="1">
      <c r="A15" s="1375"/>
      <c r="B15" s="1375"/>
      <c r="C15" s="1375"/>
      <c r="D15" s="1375"/>
      <c r="E15" s="2290"/>
      <c r="F15" s="1375"/>
      <c r="G15" s="1375"/>
      <c r="H15" s="1375"/>
      <c r="I15" s="1375"/>
      <c r="J15" s="1375"/>
      <c r="K15" s="1375"/>
      <c r="L15" s="1378"/>
      <c r="M15" s="1380"/>
      <c r="N15" s="1380"/>
      <c r="O15" s="352"/>
      <c r="P15" s="1317"/>
      <c r="Q15" s="1318"/>
      <c r="R15" s="1317"/>
      <c r="S15" s="1323"/>
      <c r="T15" s="1326" t="s">
        <v>233</v>
      </c>
      <c r="U15" s="1325"/>
      <c r="V15" s="1325"/>
      <c r="W15" s="1325"/>
      <c r="X15" s="1325"/>
      <c r="Y15" s="1325"/>
      <c r="Z15" s="1325"/>
      <c r="AA15" s="1325"/>
      <c r="AB15" s="1325"/>
      <c r="AC15" s="1325"/>
      <c r="AD15" s="1325"/>
      <c r="AE15" s="1325"/>
      <c r="AF15" s="1325"/>
      <c r="AG15" s="1325"/>
      <c r="AH15" s="1325"/>
      <c r="AI15" s="1325"/>
      <c r="AJ15" s="1325"/>
      <c r="AK15" s="1325"/>
      <c r="AL15" s="1325"/>
      <c r="AM15" s="1325"/>
      <c r="AO15" s="1252"/>
      <c r="AP15" s="1252" t="str">
        <f>IF(T15="","",T15)</f>
        <v>Добавить территорию для дифференциации</v>
      </c>
      <c r="AQ15" s="1252"/>
      <c r="AR15" s="1252"/>
      <c r="AS15" s="1643">
        <v>0</v>
      </c>
    </row>
    <row customHeight="1" ht="14.25" hidden="1">
      <c r="AS16" s="1632">
        <v>0</v>
      </c>
    </row>
    <row customHeight="1" ht="14.25" hidden="1">
      <c r="AD17" s="1361"/>
      <c r="AE17" s="1361"/>
      <c r="AF17" s="1361"/>
      <c r="AG17" s="1362"/>
      <c r="AH17" s="2268"/>
      <c r="AI17" s="2269" t="s">
        <v>63</v>
      </c>
      <c r="AJ17" s="2268"/>
      <c r="AK17" s="2269" t="s">
        <v>63</v>
      </c>
      <c r="AS17" s="1632">
        <v>0</v>
      </c>
    </row>
    <row customHeight="1" ht="14.25" hidden="1">
      <c r="AD18" s="1361"/>
      <c r="AE18" s="1361"/>
      <c r="AF18" s="1361"/>
      <c r="AG18" s="329" t="str">
        <f>AH17&amp;"-"&amp;AJ17</f>
        <v>-</v>
      </c>
      <c r="AH18" s="2269"/>
      <c r="AI18" s="2269"/>
      <c r="AJ18" s="2269"/>
      <c r="AK18" s="2269"/>
      <c r="AS18" s="1632">
        <v>0</v>
      </c>
    </row>
    <row customHeight="1" ht="14.25" hidden="1">
      <c r="AS19" s="1632">
        <v>0</v>
      </c>
    </row>
    <row s="1367" customFormat="1" customHeight="1" ht="14.25" hidden="1">
      <c r="A20" s="1632"/>
      <c r="B20" s="1632"/>
      <c r="C20" s="1632"/>
      <c r="D20" s="1632"/>
      <c r="E20" s="1632"/>
      <c r="F20" s="1632"/>
      <c r="G20" s="1632"/>
      <c r="H20" s="1632"/>
      <c r="I20" s="1632"/>
      <c r="J20" s="1632"/>
      <c r="K20" s="1632"/>
      <c r="L20" s="1940"/>
      <c r="M20" s="1966"/>
      <c r="N20" s="1966"/>
      <c r="O20" s="1346" t="s">
        <v>427</v>
      </c>
      <c r="P20" s="1363"/>
      <c r="Q20" s="1372"/>
      <c r="R20" s="1372"/>
      <c r="S20" s="730"/>
      <c r="Z20" s="1368"/>
      <c r="AB20" s="1368"/>
      <c r="AH20" s="1368"/>
      <c r="AJ20" s="1368"/>
      <c r="AN20" s="1637"/>
      <c r="AO20" s="1637"/>
      <c r="AP20" s="1637"/>
      <c r="AQ20" s="1637"/>
      <c r="AR20" s="1637"/>
      <c r="AS20" s="1367">
        <v>0</v>
      </c>
    </row>
    <row s="1367" customFormat="1" customHeight="1" ht="14.25" hidden="1">
      <c r="A21" s="1632"/>
      <c r="B21" s="1632"/>
      <c r="C21" s="1632"/>
      <c r="D21" s="1632"/>
      <c r="E21" s="1632"/>
      <c r="F21" s="1632"/>
      <c r="G21" s="1632"/>
      <c r="H21" s="1632"/>
      <c r="I21" s="1632"/>
      <c r="J21" s="1632"/>
      <c r="K21" s="1632"/>
      <c r="L21" s="1940"/>
      <c r="M21" s="1966"/>
      <c r="N21" s="1966"/>
      <c r="O21" s="1966"/>
      <c r="P21" s="1363"/>
      <c r="Q21" s="1372"/>
      <c r="R21" s="1372"/>
      <c r="S21" s="730"/>
      <c r="AN21" s="1637"/>
      <c r="AO21" s="1637"/>
      <c r="AP21" s="1637"/>
      <c r="AQ21" s="1637"/>
      <c r="AR21" s="1637"/>
      <c r="AS21" s="1367">
        <v>0</v>
      </c>
    </row>
    <row s="1367" customFormat="1" customHeight="1" ht="14.25" hidden="1">
      <c r="A22" s="1632"/>
      <c r="B22" s="1632"/>
      <c r="C22" s="1632"/>
      <c r="D22" s="1632"/>
      <c r="E22" s="1632"/>
      <c r="F22" s="1632"/>
      <c r="G22" s="1632"/>
      <c r="H22" s="1632"/>
      <c r="I22" s="1632"/>
      <c r="J22" s="1632"/>
      <c r="K22" s="1632"/>
      <c r="L22" s="1940"/>
      <c r="M22" s="1966"/>
      <c r="N22" s="1966"/>
      <c r="O22" s="1311" t="s">
        <v>428</v>
      </c>
      <c r="P22" s="1363"/>
      <c r="Q22" s="1372"/>
      <c r="R22" s="1372"/>
      <c r="S22" s="730"/>
      <c r="T22" s="1367" t="s">
        <v>429</v>
      </c>
      <c r="AA22" s="596" t="s">
        <v>430</v>
      </c>
      <c r="AC22" s="596" t="s">
        <v>431</v>
      </c>
      <c r="AD22" s="1367" t="s">
        <v>429</v>
      </c>
      <c r="AI22" s="596" t="s">
        <v>432</v>
      </c>
      <c r="AK22" s="596" t="s">
        <v>431</v>
      </c>
      <c r="AN22" s="1637"/>
      <c r="AO22" s="1637"/>
      <c r="AP22" s="1637"/>
      <c r="AQ22" s="1637"/>
      <c r="AR22" s="1637"/>
      <c r="AS22" s="1367">
        <v>0</v>
      </c>
    </row>
    <row customHeight="1" ht="14.25" hidden="1">
      <c r="O23" s="1311"/>
      <c r="AS23" s="1632">
        <v>0</v>
      </c>
    </row>
    <row customHeight="1" ht="14.25" hidden="1">
      <c r="O24" s="1311"/>
      <c r="AS24" s="1632">
        <v>0</v>
      </c>
    </row>
    <row customHeight="1" ht="14.699999999999998">
      <c r="Q25" s="377"/>
      <c r="R25" s="377"/>
      <c r="S25" s="1276"/>
      <c r="T25" s="458"/>
      <c r="U25" s="458"/>
      <c r="V25" s="1636"/>
      <c r="W25" s="1636"/>
      <c r="X25" s="1636"/>
      <c r="Y25" s="1636"/>
      <c r="Z25" s="1636"/>
      <c r="AA25" s="1636"/>
      <c r="AB25" s="1636"/>
      <c r="AC25" s="1636"/>
      <c r="AD25" s="1636"/>
      <c r="AE25" s="1636"/>
      <c r="AF25" s="1636"/>
      <c r="AG25" s="1636"/>
      <c r="AH25" s="1636"/>
      <c r="AI25" s="1636"/>
      <c r="AJ25" s="1636"/>
      <c r="AK25" s="1636"/>
      <c r="AS25" s="1632">
        <v>14</v>
      </c>
    </row>
    <row customHeight="1" ht="14.699999999999998">
      <c r="Q26" s="377"/>
      <c r="R26" s="377"/>
      <c r="S26" s="2249"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249"/>
      <c r="U26" s="2249"/>
      <c r="V26" s="2249"/>
      <c r="W26" s="2249"/>
      <c r="X26" s="2249"/>
      <c r="Y26" s="2249"/>
      <c r="Z26" s="2249"/>
      <c r="AA26" s="2249"/>
      <c r="AB26" s="2249"/>
      <c r="AC26" s="2249"/>
      <c r="AD26" s="2249"/>
      <c r="AE26" s="2249"/>
      <c r="AF26" s="2249"/>
      <c r="AG26" s="2249"/>
      <c r="AH26" s="2249"/>
      <c r="AI26" s="2249"/>
      <c r="AJ26" s="2249"/>
      <c r="AK26" s="1244"/>
      <c r="AS26" s="1632">
        <v>14</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632">
        <v>14</v>
      </c>
    </row>
    <row customHeight="1" ht="14.25" hidden="1">
      <c r="Q28" s="377"/>
      <c r="R28" s="377"/>
      <c r="S28" s="1276"/>
      <c r="T28" s="458"/>
      <c r="U28" s="458"/>
      <c r="V28" s="323"/>
      <c r="W28" s="323"/>
      <c r="X28" s="323"/>
      <c r="Y28" s="323"/>
      <c r="Z28" s="323"/>
      <c r="AA28" s="323"/>
      <c r="AB28" s="323"/>
      <c r="AC28" s="323"/>
      <c r="AD28" s="323"/>
      <c r="AE28" s="323"/>
      <c r="AF28" s="323"/>
      <c r="AG28" s="323"/>
      <c r="AH28" s="323"/>
      <c r="AI28" s="323"/>
      <c r="AJ28" s="323"/>
      <c r="AK28" s="323"/>
      <c r="AL28" s="1636"/>
      <c r="AS28" s="1632">
        <v>0</v>
      </c>
    </row>
    <row s="1854" customFormat="1" customHeight="1" ht="25.5" hidden="1">
      <c r="A29" s="1249"/>
      <c r="B29" s="1249"/>
      <c r="C29" s="1249"/>
      <c r="D29" s="1249"/>
      <c r="E29" s="1249"/>
      <c r="F29" s="1249"/>
      <c r="G29" s="1249"/>
      <c r="H29" s="1249"/>
      <c r="I29" s="1249"/>
      <c r="J29" s="1249"/>
      <c r="K29" s="1249"/>
      <c r="L29" s="1381"/>
      <c r="M29" s="1249"/>
      <c r="N29" s="1249"/>
      <c r="O29" s="1249"/>
      <c r="S29" s="2251" t="s">
        <v>42</v>
      </c>
      <c r="T29" s="2251"/>
      <c r="U29" s="1373"/>
      <c r="V29" s="2252" t="str">
        <f>IF(TITLE_NAME_OR_PR_CHANGE="",IF(TITLE_NAME_OR_PR="","",TITLE_NAME_OR_PR),TITLE_NAME_OR_PR_CHANGE)</f>
        <v>Управление по государственному регулированию цен (тарифов) Ненецкого автономного округа</v>
      </c>
      <c r="W29" s="2252"/>
      <c r="X29" s="2252"/>
      <c r="Y29" s="2252"/>
      <c r="Z29" s="2252"/>
      <c r="AA29" s="2252"/>
      <c r="AB29" s="2252"/>
      <c r="AC29" s="1636"/>
      <c r="AD29" s="2252" t="str">
        <f>IF(TITLE_NAME_OR_PR_CHANGE="",IF(TITLE_NAME_OR_PR="","",TITLE_NAME_OR_PR),TITLE_NAME_OR_PR_CHANGE)</f>
        <v>Управление по государственному регулированию цен (тарифов) Ненецкого автономного округа</v>
      </c>
      <c r="AE29" s="2252"/>
      <c r="AF29" s="2252"/>
      <c r="AG29" s="2252"/>
      <c r="AH29" s="2252"/>
      <c r="AI29" s="2252"/>
      <c r="AJ29" s="2252"/>
      <c r="AK29" s="1636"/>
      <c r="AL29" s="1636"/>
      <c r="AM29" s="281"/>
      <c r="AN29" s="369"/>
      <c r="AO29" s="369"/>
      <c r="AP29" s="369"/>
      <c r="AQ29" s="369"/>
      <c r="AR29" s="369"/>
      <c r="AS29" s="419">
        <v>0</v>
      </c>
    </row>
    <row s="1854" customFormat="1" customHeight="1" ht="18.75" hidden="1">
      <c r="A30" s="1249"/>
      <c r="B30" s="1249"/>
      <c r="C30" s="1249"/>
      <c r="D30" s="1249"/>
      <c r="E30" s="1249"/>
      <c r="F30" s="1249"/>
      <c r="G30" s="1249"/>
      <c r="H30" s="1249"/>
      <c r="I30" s="1249"/>
      <c r="J30" s="1249"/>
      <c r="K30" s="1249"/>
      <c r="L30" s="1381"/>
      <c r="M30" s="1249"/>
      <c r="N30" s="1249"/>
      <c r="O30" s="1249"/>
      <c r="S30" s="2251" t="s">
        <v>433</v>
      </c>
      <c r="T30" s="2251"/>
      <c r="U30" s="1373"/>
      <c r="V30" s="2265" t="str">
        <f>IF(TITLE_DATE_PR_CHANGE="",IF(TITLE_DATE_PR="","",TITLE_DATE_PR),TITLE_DATE_PR_CHANGE)</f>
        <v>45642</v>
      </c>
      <c r="W30" s="2265"/>
      <c r="X30" s="2265"/>
      <c r="Y30" s="2265"/>
      <c r="Z30" s="2265"/>
      <c r="AA30" s="2265"/>
      <c r="AB30" s="2265"/>
      <c r="AC30" s="1636"/>
      <c r="AD30" s="2265" t="str">
        <f>IF(TITLE_DATE_PR_CHANGE="",IF(TITLE_DATE_PR="","",TITLE_DATE_PR),TITLE_DATE_PR_CHANGE)</f>
        <v>45642</v>
      </c>
      <c r="AE30" s="2265"/>
      <c r="AF30" s="2265"/>
      <c r="AG30" s="2265"/>
      <c r="AH30" s="2265"/>
      <c r="AI30" s="2265"/>
      <c r="AJ30" s="2265"/>
      <c r="AK30" s="1636"/>
      <c r="AL30" s="1636"/>
      <c r="AM30" s="281"/>
      <c r="AN30" s="369"/>
      <c r="AO30" s="369"/>
      <c r="AP30" s="369"/>
      <c r="AQ30" s="369"/>
      <c r="AR30" s="369"/>
      <c r="AS30" s="419">
        <v>0</v>
      </c>
    </row>
    <row s="1854" customFormat="1" customHeight="1" ht="18.75" hidden="1">
      <c r="A31" s="1249"/>
      <c r="B31" s="1249"/>
      <c r="C31" s="1249"/>
      <c r="D31" s="1249"/>
      <c r="E31" s="1249"/>
      <c r="F31" s="1249"/>
      <c r="G31" s="1249"/>
      <c r="H31" s="1249"/>
      <c r="I31" s="1249"/>
      <c r="J31" s="1249"/>
      <c r="K31" s="1249"/>
      <c r="L31" s="1381"/>
      <c r="M31" s="1249"/>
      <c r="N31" s="1249"/>
      <c r="O31" s="1249"/>
      <c r="S31" s="2251" t="s">
        <v>434</v>
      </c>
      <c r="T31" s="2251"/>
      <c r="U31" s="1373"/>
      <c r="V31" s="2252" t="str">
        <f>IF(TITLE_NUMBER_PR_CHANGE="",IF(TITLE_NUMBER_PR="","",TITLE_NUMBER_PR),TITLE_NUMBER_PR_CHANGE)</f>
        <v>58</v>
      </c>
      <c r="W31" s="2252"/>
      <c r="X31" s="2252"/>
      <c r="Y31" s="2252"/>
      <c r="Z31" s="2252"/>
      <c r="AA31" s="2252"/>
      <c r="AB31" s="2252"/>
      <c r="AC31" s="1636"/>
      <c r="AD31" s="2252" t="str">
        <f>IF(TITLE_NUMBER_PR_CHANGE="",IF(TITLE_NUMBER_PR="","",TITLE_NUMBER_PR),TITLE_NUMBER_PR_CHANGE)</f>
        <v>58</v>
      </c>
      <c r="AE31" s="2252"/>
      <c r="AF31" s="2252"/>
      <c r="AG31" s="2252"/>
      <c r="AH31" s="2252"/>
      <c r="AI31" s="2252"/>
      <c r="AJ31" s="2252"/>
      <c r="AK31" s="1636"/>
      <c r="AL31" s="1636"/>
      <c r="AM31" s="281"/>
      <c r="AN31" s="369"/>
      <c r="AO31" s="369"/>
      <c r="AP31" s="369"/>
      <c r="AQ31" s="369"/>
      <c r="AR31" s="369"/>
      <c r="AS31" s="419">
        <v>0</v>
      </c>
    </row>
    <row s="1854" customFormat="1" customHeight="1" ht="18.75" hidden="1">
      <c r="A32" s="1249"/>
      <c r="B32" s="1249"/>
      <c r="C32" s="1249"/>
      <c r="D32" s="1249"/>
      <c r="E32" s="1249"/>
      <c r="F32" s="1249"/>
      <c r="G32" s="1249"/>
      <c r="H32" s="1249"/>
      <c r="I32" s="1249"/>
      <c r="J32" s="1249"/>
      <c r="K32" s="1249"/>
      <c r="L32" s="1381"/>
      <c r="M32" s="1249"/>
      <c r="N32" s="1249"/>
      <c r="O32" s="1249"/>
      <c r="S32" s="2251" t="s">
        <v>44</v>
      </c>
      <c r="T32" s="2251"/>
      <c r="U32" s="1373"/>
      <c r="V32" s="2252" t="str">
        <f>IF(TITLE_IST_PUB_CHANGE="",IF(TITLE_IST_PUB="","",TITLE_IST_PUB),TITLE_IST_PUB_CHANGE)</f>
        <v>Официальный интернет портал правовой информации http://pravo.gov.ru </v>
      </c>
      <c r="W32" s="2252"/>
      <c r="X32" s="2252"/>
      <c r="Y32" s="2252"/>
      <c r="Z32" s="2252"/>
      <c r="AA32" s="2252"/>
      <c r="AB32" s="2252"/>
      <c r="AC32" s="1636"/>
      <c r="AD32" s="2252" t="str">
        <f>IF(TITLE_IST_PUB_CHANGE="",IF(TITLE_IST_PUB="","",TITLE_IST_PUB),TITLE_IST_PUB_CHANGE)</f>
        <v>Официальный интернет портал правовой информации http://pravo.gov.ru </v>
      </c>
      <c r="AE32" s="2252"/>
      <c r="AF32" s="2252"/>
      <c r="AG32" s="2252"/>
      <c r="AH32" s="2252"/>
      <c r="AI32" s="2252"/>
      <c r="AJ32" s="2252"/>
      <c r="AK32" s="1636"/>
      <c r="AL32" s="1636"/>
      <c r="AM32" s="281"/>
      <c r="AN32" s="369"/>
      <c r="AO32" s="369"/>
      <c r="AP32" s="369"/>
      <c r="AQ32" s="369"/>
      <c r="AR32" s="369"/>
      <c r="AS32" s="419">
        <v>0</v>
      </c>
    </row>
    <row customHeight="1" ht="14.25" hidden="1">
      <c r="Q33" s="377"/>
      <c r="R33" s="377"/>
      <c r="S33" s="1276"/>
      <c r="T33" s="458"/>
      <c r="U33" s="458"/>
      <c r="V33" s="323"/>
      <c r="W33" s="323"/>
      <c r="X33" s="323"/>
      <c r="Y33" s="323"/>
      <c r="Z33" s="323"/>
      <c r="AA33" s="323"/>
      <c r="AB33" s="323"/>
      <c r="AC33" s="323"/>
      <c r="AD33" s="323"/>
      <c r="AE33" s="323"/>
      <c r="AF33" s="323"/>
      <c r="AG33" s="323"/>
      <c r="AH33" s="323"/>
      <c r="AI33" s="323"/>
      <c r="AJ33" s="323"/>
      <c r="AK33" s="323"/>
      <c r="AL33" s="1636"/>
      <c r="AS33" s="1632">
        <v>0</v>
      </c>
    </row>
    <row s="1854" customFormat="1" customHeight="1" ht="18.75" hidden="1">
      <c r="A34" s="1249"/>
      <c r="B34" s="1249"/>
      <c r="C34" s="1249"/>
      <c r="D34" s="1249"/>
      <c r="E34" s="1249"/>
      <c r="F34" s="1249"/>
      <c r="G34" s="1249"/>
      <c r="H34" s="1249"/>
      <c r="I34" s="1249"/>
      <c r="J34" s="1249"/>
      <c r="K34" s="1249"/>
      <c r="L34" s="1381"/>
      <c r="M34" s="1249"/>
      <c r="N34" s="1249"/>
      <c r="O34" s="1249"/>
      <c r="S34" s="2251" t="s">
        <v>435</v>
      </c>
      <c r="T34" s="2251"/>
      <c r="U34" s="1373"/>
      <c r="V34" s="2265" t="str">
        <f>IF(TITLE_DATE_PR_CHANGE="",IF(TITLE_DATE_PR="","",TITLE_DATE_PR),TITLE_DATE_PR_CHANGE)</f>
        <v>45642</v>
      </c>
      <c r="W34" s="2265"/>
      <c r="X34" s="2265"/>
      <c r="Y34" s="2265"/>
      <c r="Z34" s="2265"/>
      <c r="AA34" s="2265"/>
      <c r="AB34" s="2265"/>
      <c r="AC34" s="1636"/>
      <c r="AD34" s="2265" t="str">
        <f>IF(TITLE_DATE_PR_CHANGE="",IF(TITLE_DATE_PR="","",TITLE_DATE_PR),TITLE_DATE_PR_CHANGE)</f>
        <v>45642</v>
      </c>
      <c r="AE34" s="2265"/>
      <c r="AF34" s="2265"/>
      <c r="AG34" s="2265"/>
      <c r="AH34" s="2265"/>
      <c r="AI34" s="2265"/>
      <c r="AJ34" s="2265"/>
      <c r="AK34" s="1636"/>
      <c r="AL34" s="1636"/>
      <c r="AM34" s="281"/>
      <c r="AN34" s="369"/>
      <c r="AO34" s="369"/>
      <c r="AP34" s="369"/>
      <c r="AQ34" s="369"/>
      <c r="AR34" s="369"/>
      <c r="AS34" s="419">
        <v>0</v>
      </c>
    </row>
    <row s="1854" customFormat="1" customHeight="1" ht="18.75" hidden="1">
      <c r="A35" s="1249"/>
      <c r="B35" s="1249"/>
      <c r="C35" s="1249"/>
      <c r="D35" s="1249"/>
      <c r="E35" s="1249"/>
      <c r="F35" s="1249"/>
      <c r="G35" s="1249"/>
      <c r="H35" s="1249"/>
      <c r="I35" s="1249"/>
      <c r="J35" s="1249"/>
      <c r="K35" s="1249"/>
      <c r="L35" s="1381"/>
      <c r="M35" s="1249"/>
      <c r="N35" s="1249"/>
      <c r="O35" s="1249"/>
      <c r="S35" s="2251" t="s">
        <v>436</v>
      </c>
      <c r="T35" s="2251"/>
      <c r="U35" s="1373"/>
      <c r="V35" s="2252" t="str">
        <f>IF(TITLE_NUMBER_PR_CHANGE="",IF(TITLE_NUMBER_PR="","",TITLE_NUMBER_PR),TITLE_NUMBER_PR_CHANGE)</f>
        <v>58</v>
      </c>
      <c r="W35" s="2252"/>
      <c r="X35" s="2252"/>
      <c r="Y35" s="2252"/>
      <c r="Z35" s="2252"/>
      <c r="AA35" s="2252"/>
      <c r="AB35" s="2252"/>
      <c r="AC35" s="1636"/>
      <c r="AD35" s="2252" t="str">
        <f>IF(TITLE_NUMBER_PR_CHANGE="",IF(TITLE_NUMBER_PR="","",TITLE_NUMBER_PR),TITLE_NUMBER_PR_CHANGE)</f>
        <v>58</v>
      </c>
      <c r="AE35" s="2252"/>
      <c r="AF35" s="2252"/>
      <c r="AG35" s="2252"/>
      <c r="AH35" s="2252"/>
      <c r="AI35" s="2252"/>
      <c r="AJ35" s="2252"/>
      <c r="AK35" s="1636"/>
      <c r="AL35" s="1636"/>
      <c r="AM35" s="281"/>
      <c r="AN35" s="369"/>
      <c r="AO35" s="369"/>
      <c r="AP35" s="369"/>
      <c r="AQ35" s="369"/>
      <c r="AR35" s="369"/>
      <c r="AS35" s="419">
        <v>0</v>
      </c>
    </row>
    <row s="1854" customFormat="1" customHeight="1" ht="0">
      <c r="A36" s="1249"/>
      <c r="B36" s="1249"/>
      <c r="C36" s="1249"/>
      <c r="D36" s="1249"/>
      <c r="E36" s="1249"/>
      <c r="F36" s="1249"/>
      <c r="G36" s="1249"/>
      <c r="H36" s="1249"/>
      <c r="I36" s="1249"/>
      <c r="J36" s="1249"/>
      <c r="K36" s="1249"/>
      <c r="L36" s="1381"/>
      <c r="M36" s="1249"/>
      <c r="N36" s="1249"/>
      <c r="O36" s="1249"/>
      <c r="S36" s="1636"/>
      <c r="T36" s="1636"/>
      <c r="U36" s="1971"/>
      <c r="V36" s="1636"/>
      <c r="W36" s="1636"/>
      <c r="X36" s="1636"/>
      <c r="Y36" s="1636"/>
      <c r="Z36" s="1636"/>
      <c r="AA36" s="1636"/>
      <c r="AB36" s="1636"/>
      <c r="AC36" s="1643" t="s">
        <v>437</v>
      </c>
      <c r="AD36" s="1636"/>
      <c r="AE36" s="1636"/>
      <c r="AF36" s="1636"/>
      <c r="AG36" s="1636"/>
      <c r="AH36" s="1636"/>
      <c r="AI36" s="1636"/>
      <c r="AJ36" s="1636"/>
      <c r="AK36" s="1643" t="s">
        <v>437</v>
      </c>
      <c r="AN36" s="369"/>
      <c r="AO36" s="369"/>
      <c r="AP36" s="369"/>
      <c r="AQ36" s="369"/>
      <c r="AR36" s="369"/>
      <c r="AS36" s="419">
        <v>0</v>
      </c>
    </row>
    <row customHeight="1" ht="14.699999999999998">
      <c r="Q37" s="377"/>
      <c r="R37" s="377"/>
      <c r="S37" s="1276"/>
      <c r="T37" s="458"/>
      <c r="U37" s="1245"/>
      <c r="V37" s="2253"/>
      <c r="W37" s="2253"/>
      <c r="X37" s="2253"/>
      <c r="Y37" s="2253"/>
      <c r="Z37" s="2253"/>
      <c r="AA37" s="2253"/>
      <c r="AB37" s="2253"/>
      <c r="AC37" s="2253"/>
      <c r="AD37" s="2253"/>
      <c r="AE37" s="2253"/>
      <c r="AF37" s="2253"/>
      <c r="AG37" s="2253"/>
      <c r="AH37" s="2253"/>
      <c r="AI37" s="2253"/>
      <c r="AJ37" s="2253"/>
      <c r="AK37" s="2253"/>
      <c r="AS37" s="1632">
        <v>14</v>
      </c>
    </row>
    <row customHeight="1" ht="14.699999999999998">
      <c r="Q38" s="377"/>
      <c r="R38" s="377"/>
      <c r="S38" s="2128" t="s">
        <v>312</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313</v>
      </c>
      <c r="AS38" s="1632">
        <v>14</v>
      </c>
    </row>
    <row customHeight="1" ht="14.699999999999998">
      <c r="Q39" s="377"/>
      <c r="R39" s="377"/>
      <c r="S39" s="2274" t="s">
        <v>90</v>
      </c>
      <c r="T39" s="2210" t="s">
        <v>438</v>
      </c>
      <c r="U39" s="338"/>
      <c r="V39" s="2275" t="s">
        <v>439</v>
      </c>
      <c r="W39" s="2276"/>
      <c r="X39" s="2276"/>
      <c r="Y39" s="2276"/>
      <c r="Z39" s="2276"/>
      <c r="AA39" s="2276"/>
      <c r="AB39" s="2277"/>
      <c r="AC39" s="2278" t="s">
        <v>440</v>
      </c>
      <c r="AD39" s="2275" t="s">
        <v>439</v>
      </c>
      <c r="AE39" s="2276"/>
      <c r="AF39" s="2276"/>
      <c r="AG39" s="2276"/>
      <c r="AH39" s="2276"/>
      <c r="AI39" s="2276"/>
      <c r="AJ39" s="2277"/>
      <c r="AK39" s="2278" t="s">
        <v>441</v>
      </c>
      <c r="AL39" s="2281" t="s">
        <v>442</v>
      </c>
      <c r="AM39" s="2128"/>
      <c r="AS39" s="1632">
        <v>14</v>
      </c>
    </row>
    <row customHeight="1" ht="35.699999999999996">
      <c r="Q40" s="377"/>
      <c r="R40" s="377"/>
      <c r="S40" s="2274"/>
      <c r="T40" s="2210"/>
      <c r="U40" s="1032"/>
      <c r="V40" s="2261" t="s">
        <v>443</v>
      </c>
      <c r="W40" s="2284" t="s">
        <v>444</v>
      </c>
      <c r="X40" s="2263" t="s">
        <v>445</v>
      </c>
      <c r="Y40" s="2264"/>
      <c r="Z40" s="2263" t="s">
        <v>458</v>
      </c>
      <c r="AA40" s="2270"/>
      <c r="AB40" s="2264"/>
      <c r="AC40" s="2279"/>
      <c r="AD40" s="2261" t="s">
        <v>443</v>
      </c>
      <c r="AE40" s="2284" t="s">
        <v>444</v>
      </c>
      <c r="AF40" s="2263" t="s">
        <v>445</v>
      </c>
      <c r="AG40" s="2264"/>
      <c r="AH40" s="2263" t="s">
        <v>446</v>
      </c>
      <c r="AI40" s="2270"/>
      <c r="AJ40" s="2264"/>
      <c r="AK40" s="2279"/>
      <c r="AL40" s="2282"/>
      <c r="AM40" s="2128"/>
      <c r="AS40" s="1632">
        <v>34</v>
      </c>
    </row>
    <row customHeight="1" ht="35.699999999999996">
      <c r="A41" s="1267"/>
      <c r="B41" s="1267" t="s">
        <v>138</v>
      </c>
      <c r="C41" s="1267" t="s">
        <v>139</v>
      </c>
      <c r="D41" s="1267" t="s">
        <v>140</v>
      </c>
      <c r="E41" s="1311" t="s">
        <v>447</v>
      </c>
      <c r="F41" s="1311" t="s">
        <v>448</v>
      </c>
      <c r="G41" s="1311" t="s">
        <v>449</v>
      </c>
      <c r="H41" s="1311" t="s">
        <v>450</v>
      </c>
      <c r="I41" s="1311" t="s">
        <v>451</v>
      </c>
      <c r="J41" s="1311" t="s">
        <v>452</v>
      </c>
      <c r="K41" s="1311" t="s">
        <v>453</v>
      </c>
      <c r="L41" s="1311" t="s">
        <v>428</v>
      </c>
      <c r="Q41" s="377"/>
      <c r="R41" s="377"/>
      <c r="S41" s="2274"/>
      <c r="T41" s="2210"/>
      <c r="U41" s="303"/>
      <c r="V41" s="2262"/>
      <c r="W41" s="2285"/>
      <c r="X41" s="1939" t="s">
        <v>454</v>
      </c>
      <c r="Y41" s="1939" t="s">
        <v>455</v>
      </c>
      <c r="Z41" s="1939" t="s">
        <v>456</v>
      </c>
      <c r="AA41" s="2271" t="s">
        <v>457</v>
      </c>
      <c r="AB41" s="2272"/>
      <c r="AC41" s="2280"/>
      <c r="AD41" s="2262"/>
      <c r="AE41" s="2285"/>
      <c r="AF41" s="1939" t="s">
        <v>454</v>
      </c>
      <c r="AG41" s="1939" t="s">
        <v>455</v>
      </c>
      <c r="AH41" s="1939" t="s">
        <v>456</v>
      </c>
      <c r="AI41" s="2271" t="s">
        <v>457</v>
      </c>
      <c r="AJ41" s="2272"/>
      <c r="AK41" s="2280"/>
      <c r="AL41" s="2283"/>
      <c r="AM41" s="2128"/>
      <c r="AS41" s="1632">
        <v>34</v>
      </c>
    </row>
    <row s="1642" customFormat="1" customHeight="1" ht="11.25" hidden="1">
      <c r="A42" s="1267"/>
      <c r="B42" s="1267"/>
      <c r="C42" s="1267"/>
      <c r="D42" s="1267"/>
      <c r="E42" s="1267"/>
      <c r="F42" s="1267"/>
      <c r="G42" s="1267"/>
      <c r="H42" s="1267"/>
      <c r="I42" s="1267"/>
      <c r="J42" s="1267"/>
      <c r="K42" s="1267"/>
      <c r="L42" s="1311"/>
      <c r="M42" s="1966"/>
      <c r="N42" s="1966"/>
      <c r="O42" s="1966"/>
      <c r="P42" s="1247"/>
      <c r="Q42" s="1248"/>
      <c r="R42" s="1255">
        <v>1</v>
      </c>
      <c r="S42" s="1278" t="s">
        <v>112</v>
      </c>
      <c r="T42" s="1256" t="s">
        <v>113</v>
      </c>
      <c r="U42" s="1246" t="str">
        <f>OFFSET(U42,0,-1)</f>
        <v>2</v>
      </c>
      <c r="V42" s="1957">
        <f>OFFSET(V42,0,-1)+1</f>
        <v>3</v>
      </c>
      <c r="W42" s="1957"/>
      <c r="X42" s="1957">
        <f>OFFSET(X42,0,-1)+1</f>
        <v>1</v>
      </c>
      <c r="Y42" s="1957">
        <f>OFFSET(Y42,0,-1)+1</f>
        <v>2</v>
      </c>
      <c r="Z42" s="1957">
        <f>OFFSET(Z42,0,-1)+1</f>
        <v>3</v>
      </c>
      <c r="AA42" s="2273">
        <f>OFFSET(AA42,0,-1)+1</f>
        <v>4</v>
      </c>
      <c r="AB42" s="2273"/>
      <c r="AC42" s="1957">
        <f>OFFSET(AC42,0,-2)+1</f>
        <v>5</v>
      </c>
      <c r="AD42" s="1957">
        <f>OFFSET(AD42,0,-1)+1</f>
        <v>6</v>
      </c>
      <c r="AE42" s="1957"/>
      <c r="AF42" s="1957">
        <f>OFFSET(AF42,0,-1)+1</f>
        <v>1</v>
      </c>
      <c r="AG42" s="1957">
        <f>OFFSET(AG42,0,-1)+1</f>
        <v>2</v>
      </c>
      <c r="AH42" s="1957">
        <f>OFFSET(AH42,0,-1)+1</f>
        <v>3</v>
      </c>
      <c r="AI42" s="2273">
        <f>OFFSET(AI42,0,-1)+1</f>
        <v>4</v>
      </c>
      <c r="AJ42" s="2273"/>
      <c r="AK42" s="1957">
        <f>OFFSET(AK42,0,-2)+1</f>
        <v>5</v>
      </c>
      <c r="AL42" s="1246">
        <f>OFFSET(AL42,0,-1)</f>
        <v>5</v>
      </c>
      <c r="AM42" s="1957">
        <f>OFFSET(AM42,0,-1)+1</f>
        <v>6</v>
      </c>
      <c r="AN42" s="1637"/>
      <c r="AO42" s="1637"/>
      <c r="AP42" s="1637"/>
      <c r="AQ42" s="1637"/>
      <c r="AR42" s="1637"/>
      <c r="AS42" s="1642">
        <v>0</v>
      </c>
    </row>
    <row customHeight="1" ht="22.049999999999997">
      <c r="A43" s="1268" t="s">
        <v>213</v>
      </c>
      <c r="B43" s="1268"/>
      <c r="C43" s="1268"/>
      <c r="D43" s="1268"/>
      <c r="E43" s="2290">
        <v>1</v>
      </c>
      <c r="F43" s="1268"/>
      <c r="G43" s="1268"/>
      <c r="H43" s="1268"/>
      <c r="I43" s="1268"/>
      <c r="J43" s="1268"/>
      <c r="K43" s="1268"/>
      <c r="L43" s="1311"/>
      <c r="M43" s="1611"/>
      <c r="N43" s="1611"/>
      <c r="O43" s="1611"/>
      <c r="P43" s="1591"/>
      <c r="Q43" s="361"/>
      <c r="R43" s="356"/>
      <c r="S43" s="1959">
        <f>INDEX(PT_DIFFERENTIATION_NUM_NTAR,MATCH(A43,PT_DIFFERENTIATION_NTAR_ID,0))</f>
        <v>0</v>
      </c>
      <c r="T43" s="1526" t="s">
        <v>126</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1625"/>
      <c r="AP43" s="1625" t="str">
        <f>IF(T43="","",T43)</f>
        <v>Наименование тарифа</v>
      </c>
      <c r="AQ43" s="1625"/>
      <c r="AR43" s="1625"/>
      <c r="AS43" s="1632">
        <v>21</v>
      </c>
    </row>
    <row customHeight="1" ht="22.049999999999997">
      <c r="A44" s="1268" t="s">
        <v>213</v>
      </c>
      <c r="B44" s="1268" t="s">
        <v>214</v>
      </c>
      <c r="C44" s="1268"/>
      <c r="D44" s="1268"/>
      <c r="E44" s="2291"/>
      <c r="F44" s="2290">
        <v>1</v>
      </c>
      <c r="G44" s="1268"/>
      <c r="H44" s="1268"/>
      <c r="I44" s="1268"/>
      <c r="J44" s="1268"/>
      <c r="K44" s="1268"/>
      <c r="L44" s="1311"/>
      <c r="M44" s="1611"/>
      <c r="N44" s="1611"/>
      <c r="O44" s="1611"/>
      <c r="P44" s="1941"/>
      <c r="Q44" s="353"/>
      <c r="R44" s="354"/>
      <c r="S44" s="1959" t="str">
        <f>INDEX(PT_DIFFERENTIATION_NUM_TER,MATCH(B44,PT_DIFFERENTIATION_TER_ID,0))</f>
        <v>.</v>
      </c>
      <c r="T44" s="1523" t="s">
        <v>409</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410</v>
      </c>
      <c r="AO44" s="1625"/>
      <c r="AP44" s="1625" t="str">
        <f>IF(T44="","",T44)</f>
        <v>Территория действия тарифа</v>
      </c>
      <c r="AQ44" s="1625"/>
      <c r="AR44" s="1625"/>
      <c r="AS44" s="1632">
        <v>21</v>
      </c>
    </row>
    <row customHeight="1" ht="24">
      <c r="A45" s="1268" t="s">
        <v>213</v>
      </c>
      <c r="B45" s="1268" t="s">
        <v>214</v>
      </c>
      <c r="C45" s="1268" t="s">
        <v>215</v>
      </c>
      <c r="D45" s="1268"/>
      <c r="E45" s="2291"/>
      <c r="F45" s="2291"/>
      <c r="G45" s="2290">
        <v>1</v>
      </c>
      <c r="H45" s="1268"/>
      <c r="I45" s="1268"/>
      <c r="J45" s="1268"/>
      <c r="K45" s="1268"/>
      <c r="L45" s="1311"/>
      <c r="M45" s="1611"/>
      <c r="N45" s="1611"/>
      <c r="O45" s="1611"/>
      <c r="P45" s="355"/>
      <c r="Q45" s="353"/>
      <c r="R45" s="354"/>
      <c r="S45" s="1959" t="str">
        <f>INDEX(PT_DIFFERENTIATION_NUM_CS,MATCH(C45,PT_DIFFERENTIATION_CS_ID,0))</f>
        <v>..</v>
      </c>
      <c r="T45" s="310" t="s">
        <v>411</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412</v>
      </c>
      <c r="AO45" s="1625"/>
      <c r="AP45" s="1625" t="str">
        <f>IF(T45="","",T45)</f>
        <v>Наименование системы теплоснабжения </v>
      </c>
      <c r="AQ45" s="1625"/>
      <c r="AR45" s="1625"/>
      <c r="AS45" s="1632">
        <v>23</v>
      </c>
    </row>
    <row customHeight="1" ht="22.049999999999997">
      <c r="A46" s="1268" t="s">
        <v>213</v>
      </c>
      <c r="B46" s="1268" t="s">
        <v>214</v>
      </c>
      <c r="C46" s="1268" t="s">
        <v>215</v>
      </c>
      <c r="D46" s="1268" t="s">
        <v>216</v>
      </c>
      <c r="E46" s="2291"/>
      <c r="F46" s="2291"/>
      <c r="G46" s="2291"/>
      <c r="H46" s="2290">
        <v>1</v>
      </c>
      <c r="I46" s="1268"/>
      <c r="J46" s="1268"/>
      <c r="K46" s="1268"/>
      <c r="L46" s="1311"/>
      <c r="M46" s="1611"/>
      <c r="N46" s="1611"/>
      <c r="O46" s="1611"/>
      <c r="P46" s="355"/>
      <c r="Q46" s="353"/>
      <c r="R46" s="354"/>
      <c r="S46" s="1959" t="str">
        <f>INDEX(PT_DIFFERENTIATION_NUM_IST_TE,MATCH(D46,PT_DIFFERENTIATION_IST_TE_ID,0))</f>
        <v>...</v>
      </c>
      <c r="T46" s="311" t="s">
        <v>413</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414</v>
      </c>
      <c r="AO46" s="1625"/>
      <c r="AP46" s="1625" t="str">
        <f>IF(T46="","",T46)</f>
        <v>Источник тепловой энергии  </v>
      </c>
      <c r="AQ46" s="1625"/>
      <c r="AR46" s="1625"/>
      <c r="AS46" s="1632">
        <v>21</v>
      </c>
    </row>
    <row customHeight="1" ht="49.5">
      <c r="A47" s="1268" t="s">
        <v>213</v>
      </c>
      <c r="B47" s="1268" t="s">
        <v>214</v>
      </c>
      <c r="C47" s="1268" t="s">
        <v>215</v>
      </c>
      <c r="D47" s="1268" t="s">
        <v>216</v>
      </c>
      <c r="E47" s="2291"/>
      <c r="F47" s="2291"/>
      <c r="G47" s="2291"/>
      <c r="H47" s="2291"/>
      <c r="I47" s="2128" t="str">
        <f>S46&amp;".1"</f>
        <v>....1</v>
      </c>
      <c r="J47" s="1268"/>
      <c r="K47" s="1268"/>
      <c r="L47" s="1311" t="s">
        <v>415</v>
      </c>
      <c r="P47" s="2258">
        <v>1</v>
      </c>
      <c r="Q47" s="1955"/>
      <c r="R47" s="357"/>
      <c r="S47" s="1959" t="str">
        <f>$I47</f>
        <v>....1</v>
      </c>
      <c r="T47" s="286" t="s">
        <v>416</v>
      </c>
      <c r="U47" s="301"/>
      <c r="V47" s="2246"/>
      <c r="W47" s="2247"/>
      <c r="X47" s="2247"/>
      <c r="Y47" s="2247"/>
      <c r="Z47" s="2247"/>
      <c r="AA47" s="2247"/>
      <c r="AB47" s="2247"/>
      <c r="AC47" s="2248"/>
      <c r="AD47" s="2246"/>
      <c r="AE47" s="2247"/>
      <c r="AF47" s="2247"/>
      <c r="AG47" s="2247"/>
      <c r="AH47" s="2247"/>
      <c r="AI47" s="2247"/>
      <c r="AJ47" s="2247"/>
      <c r="AK47" s="2247"/>
      <c r="AL47" s="2248"/>
      <c r="AM47" s="1259" t="s">
        <v>417</v>
      </c>
      <c r="AO47" s="1625"/>
      <c r="AP47" s="1625" t="str">
        <f>IF(T47="","",T47)</f>
        <v>Схема подключения теплопотребляющей установки к коллектору источника тепловой энергии</v>
      </c>
      <c r="AQ47" s="1625"/>
      <c r="AR47" s="1625"/>
      <c r="AS47" s="1632">
        <v>47</v>
      </c>
    </row>
    <row customHeight="1" ht="22.049999999999997">
      <c r="A48" s="1268" t="s">
        <v>213</v>
      </c>
      <c r="B48" s="1268" t="s">
        <v>214</v>
      </c>
      <c r="C48" s="1268" t="s">
        <v>215</v>
      </c>
      <c r="D48" s="1268" t="s">
        <v>216</v>
      </c>
      <c r="E48" s="2291"/>
      <c r="F48" s="2291"/>
      <c r="G48" s="2291"/>
      <c r="H48" s="2291"/>
      <c r="I48" s="2102"/>
      <c r="J48" s="2128" t="str">
        <f>I47&amp;".1"</f>
        <v>....1.1</v>
      </c>
      <c r="K48" s="1268"/>
      <c r="L48" s="1311" t="s">
        <v>418</v>
      </c>
      <c r="P48" s="2258"/>
      <c r="Q48" s="2258">
        <v>1</v>
      </c>
      <c r="R48" s="358"/>
      <c r="S48" s="1959" t="str">
        <f>$J48</f>
        <v>....1.1</v>
      </c>
      <c r="T48" s="287" t="s">
        <v>419</v>
      </c>
      <c r="U48" s="301"/>
      <c r="V48" s="2246"/>
      <c r="W48" s="2247"/>
      <c r="X48" s="2247"/>
      <c r="Y48" s="2247"/>
      <c r="Z48" s="2247"/>
      <c r="AA48" s="2247"/>
      <c r="AB48" s="2247"/>
      <c r="AC48" s="2248"/>
      <c r="AD48" s="2246"/>
      <c r="AE48" s="2247"/>
      <c r="AF48" s="2247"/>
      <c r="AG48" s="2247"/>
      <c r="AH48" s="2247"/>
      <c r="AI48" s="2247"/>
      <c r="AJ48" s="2247"/>
      <c r="AK48" s="2247"/>
      <c r="AL48" s="2248"/>
      <c r="AM48" s="1259" t="s">
        <v>420</v>
      </c>
      <c r="AO48" s="1625"/>
      <c r="AP48" s="1625" t="str">
        <f>IF(T48="","",T48)</f>
        <v>Группа потребителей</v>
      </c>
      <c r="AQ48" s="1625"/>
      <c r="AR48" s="1625"/>
      <c r="AS48" s="1632">
        <v>21</v>
      </c>
    </row>
    <row customHeight="1" ht="22.049999999999997">
      <c r="A49" s="1268" t="s">
        <v>213</v>
      </c>
      <c r="B49" s="1268" t="s">
        <v>214</v>
      </c>
      <c r="C49" s="1268" t="s">
        <v>215</v>
      </c>
      <c r="D49" s="1268" t="s">
        <v>216</v>
      </c>
      <c r="E49" s="2291"/>
      <c r="F49" s="2291"/>
      <c r="G49" s="2291"/>
      <c r="H49" s="2291"/>
      <c r="I49" s="2102"/>
      <c r="J49" s="2102"/>
      <c r="K49" s="2128" t="str">
        <f>J48&amp;".1"</f>
        <v>....1.1.1</v>
      </c>
      <c r="L49" s="1311" t="s">
        <v>421</v>
      </c>
      <c r="P49" s="2258"/>
      <c r="Q49" s="2258"/>
      <c r="R49" s="358">
        <v>1</v>
      </c>
      <c r="S49" s="1959" t="str">
        <f>$K49</f>
        <v>....1.1.1</v>
      </c>
      <c r="T49" s="1348"/>
      <c r="U49" s="301"/>
      <c r="V49" s="752"/>
      <c r="W49" s="326"/>
      <c r="X49" s="752"/>
      <c r="Y49" s="1258"/>
      <c r="Z49" s="2266"/>
      <c r="AA49" s="2108" t="s">
        <v>63</v>
      </c>
      <c r="AB49" s="2266"/>
      <c r="AC49" s="2108" t="s">
        <v>63</v>
      </c>
      <c r="AD49" s="752"/>
      <c r="AE49" s="326"/>
      <c r="AF49" s="752"/>
      <c r="AG49" s="1258"/>
      <c r="AH49" s="2266"/>
      <c r="AI49" s="2108" t="s">
        <v>63</v>
      </c>
      <c r="AJ49" s="2288"/>
      <c r="AK49" s="2108" t="s">
        <v>63</v>
      </c>
      <c r="AL49" s="1349"/>
      <c r="AM49" s="2254" t="s">
        <v>422</v>
      </c>
      <c r="AN49" s="1637">
        <f>STRCHECKDATE(V50:AL50)</f>
      </c>
      <c r="AO49" s="1625"/>
      <c r="AP49" s="1625" t="str">
        <f>IF(T49="","",T49)</f>
        <v/>
      </c>
      <c r="AQ49" s="1625"/>
      <c r="AR49" s="1625"/>
      <c r="AS49" s="1632">
        <v>21</v>
      </c>
    </row>
    <row customHeight="1" ht="1.05">
      <c r="A50" s="1268" t="s">
        <v>213</v>
      </c>
      <c r="B50" s="1268" t="s">
        <v>214</v>
      </c>
      <c r="C50" s="1268" t="s">
        <v>215</v>
      </c>
      <c r="D50" s="1268" t="s">
        <v>216</v>
      </c>
      <c r="E50" s="2291"/>
      <c r="F50" s="2291"/>
      <c r="G50" s="2291"/>
      <c r="H50" s="2291"/>
      <c r="I50" s="2102"/>
      <c r="J50" s="2102"/>
      <c r="K50" s="2128"/>
      <c r="L50" s="1311"/>
      <c r="P50" s="2258"/>
      <c r="Q50" s="2258"/>
      <c r="R50" s="358"/>
      <c r="S50" s="1968"/>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1625"/>
      <c r="AP50" s="1625" t="str">
        <f>IF(T50="","",T50)</f>
        <v/>
      </c>
      <c r="AQ50" s="1625"/>
      <c r="AR50" s="1625"/>
      <c r="AS50" s="1632">
        <v>1</v>
      </c>
    </row>
    <row customHeight="1" ht="11.549999999999999">
      <c r="A51" s="1268" t="s">
        <v>213</v>
      </c>
      <c r="B51" s="1268" t="s">
        <v>214</v>
      </c>
      <c r="C51" s="1268" t="s">
        <v>215</v>
      </c>
      <c r="D51" s="1268" t="s">
        <v>216</v>
      </c>
      <c r="E51" s="2291"/>
      <c r="F51" s="2291"/>
      <c r="G51" s="2291"/>
      <c r="H51" s="2291"/>
      <c r="I51" s="2102"/>
      <c r="J51" s="2128"/>
      <c r="K51" s="1268"/>
      <c r="L51" s="1311"/>
      <c r="P51" s="2258"/>
      <c r="Q51" s="2258"/>
      <c r="R51" s="357"/>
      <c r="S51" s="1279"/>
      <c r="T51" s="289" t="s">
        <v>423</v>
      </c>
      <c r="U51" s="601"/>
      <c r="V51" s="601"/>
      <c r="W51" s="601"/>
      <c r="X51" s="601"/>
      <c r="Y51" s="601"/>
      <c r="Z51" s="601"/>
      <c r="AA51" s="601"/>
      <c r="AB51" s="601"/>
      <c r="AC51" s="601"/>
      <c r="AD51" s="601"/>
      <c r="AE51" s="601"/>
      <c r="AF51" s="601"/>
      <c r="AG51" s="601"/>
      <c r="AH51" s="601"/>
      <c r="AI51" s="601"/>
      <c r="AJ51" s="601"/>
      <c r="AK51" s="601"/>
      <c r="AL51" s="325"/>
      <c r="AM51" s="2256"/>
      <c r="AO51" s="1625"/>
      <c r="AP51" s="1625" t="str">
        <f>IF(T51="","",T51)</f>
        <v>Добавить вид теплоносителя (параметры теплоносителя)</v>
      </c>
      <c r="AQ51" s="1625"/>
      <c r="AR51" s="1625"/>
      <c r="AS51" s="1632">
        <v>11</v>
      </c>
    </row>
    <row customHeight="1" ht="11.549999999999999">
      <c r="A52" s="1268" t="s">
        <v>213</v>
      </c>
      <c r="B52" s="1268" t="s">
        <v>214</v>
      </c>
      <c r="C52" s="1268" t="s">
        <v>215</v>
      </c>
      <c r="D52" s="1268" t="s">
        <v>216</v>
      </c>
      <c r="E52" s="2291"/>
      <c r="F52" s="2291"/>
      <c r="G52" s="2291"/>
      <c r="H52" s="2291"/>
      <c r="I52" s="2128"/>
      <c r="J52" s="1268"/>
      <c r="K52" s="1268"/>
      <c r="L52" s="1311"/>
      <c r="P52" s="2258"/>
      <c r="Q52" s="1955"/>
      <c r="R52" s="357"/>
      <c r="S52" s="1279"/>
      <c r="T52" s="288" t="s">
        <v>424</v>
      </c>
      <c r="U52" s="601"/>
      <c r="V52" s="601"/>
      <c r="W52" s="601"/>
      <c r="X52" s="601"/>
      <c r="Y52" s="601"/>
      <c r="Z52" s="601"/>
      <c r="AA52" s="601"/>
      <c r="AB52" s="601"/>
      <c r="AC52" s="367"/>
      <c r="AD52" s="601"/>
      <c r="AE52" s="601"/>
      <c r="AF52" s="601"/>
      <c r="AG52" s="601"/>
      <c r="AH52" s="601"/>
      <c r="AI52" s="601"/>
      <c r="AJ52" s="601"/>
      <c r="AK52" s="367"/>
      <c r="AL52" s="601"/>
      <c r="AM52" s="304"/>
      <c r="AO52" s="1625"/>
      <c r="AP52" s="1625" t="str">
        <f>IF(T52="","",T52)</f>
        <v>Добавить группу потребителей</v>
      </c>
      <c r="AQ52" s="1625"/>
      <c r="AR52" s="1625"/>
      <c r="AS52" s="1632">
        <v>11</v>
      </c>
    </row>
    <row customHeight="1" ht="14.699999999999998">
      <c r="A53" s="1268" t="s">
        <v>213</v>
      </c>
      <c r="B53" s="1268" t="s">
        <v>214</v>
      </c>
      <c r="C53" s="1268" t="s">
        <v>215</v>
      </c>
      <c r="D53" s="1268" t="s">
        <v>216</v>
      </c>
      <c r="E53" s="2291"/>
      <c r="F53" s="2291"/>
      <c r="G53" s="2291"/>
      <c r="H53" s="2290"/>
      <c r="I53" s="1268"/>
      <c r="J53" s="1268"/>
      <c r="K53" s="1268"/>
      <c r="L53" s="1311"/>
      <c r="M53" s="1611"/>
      <c r="N53" s="1611"/>
      <c r="O53" s="1636"/>
      <c r="P53" s="361"/>
      <c r="Q53" s="376"/>
      <c r="R53" s="356"/>
      <c r="S53" s="1279"/>
      <c r="T53" s="366" t="s">
        <v>425</v>
      </c>
      <c r="U53" s="601"/>
      <c r="V53" s="601"/>
      <c r="W53" s="601"/>
      <c r="X53" s="601"/>
      <c r="Y53" s="601"/>
      <c r="Z53" s="601"/>
      <c r="AA53" s="601"/>
      <c r="AB53" s="601"/>
      <c r="AC53" s="367"/>
      <c r="AD53" s="601"/>
      <c r="AE53" s="601"/>
      <c r="AF53" s="601"/>
      <c r="AG53" s="601"/>
      <c r="AH53" s="601"/>
      <c r="AI53" s="601"/>
      <c r="AJ53" s="601"/>
      <c r="AK53" s="367"/>
      <c r="AL53" s="601"/>
      <c r="AM53" s="304"/>
      <c r="AO53" s="1625"/>
      <c r="AP53" s="1625" t="str">
        <f>IF(T53="","",T53)</f>
        <v>Добавить схему подключения</v>
      </c>
      <c r="AQ53" s="1625"/>
      <c r="AR53" s="1625"/>
      <c r="AS53" s="1632">
        <v>14</v>
      </c>
    </row>
    <row s="1643" customFormat="1" customHeight="1" ht="4.2">
      <c r="A54" s="1376" t="s">
        <v>213</v>
      </c>
      <c r="B54" s="1376" t="s">
        <v>214</v>
      </c>
      <c r="C54" s="1376" t="s">
        <v>215</v>
      </c>
      <c r="D54" s="1375"/>
      <c r="E54" s="2291"/>
      <c r="F54" s="2291"/>
      <c r="G54" s="2290"/>
      <c r="H54" s="1375"/>
      <c r="I54" s="1375"/>
      <c r="J54" s="1375"/>
      <c r="K54" s="1375"/>
      <c r="L54" s="1378"/>
      <c r="M54" s="1379"/>
      <c r="N54" s="1379"/>
      <c r="O54" s="352"/>
      <c r="P54" s="1317"/>
      <c r="Q54" s="1318"/>
      <c r="R54" s="1317"/>
      <c r="S54" s="1323"/>
      <c r="T54" s="1326" t="s">
        <v>426</v>
      </c>
      <c r="U54" s="1325"/>
      <c r="V54" s="1325"/>
      <c r="W54" s="1325"/>
      <c r="X54" s="1325"/>
      <c r="Y54" s="1325"/>
      <c r="Z54" s="1325"/>
      <c r="AA54" s="1325"/>
      <c r="AB54" s="1325"/>
      <c r="AC54" s="1325"/>
      <c r="AD54" s="1325"/>
      <c r="AE54" s="1325"/>
      <c r="AF54" s="1325"/>
      <c r="AG54" s="1325"/>
      <c r="AH54" s="1325"/>
      <c r="AI54" s="1325"/>
      <c r="AJ54" s="1325"/>
      <c r="AK54" s="1325"/>
      <c r="AL54" s="1325"/>
      <c r="AM54" s="1325"/>
      <c r="AO54" s="1252"/>
      <c r="AP54" s="1252" t="str">
        <f>IF(T54="","",T54)</f>
        <v>Добавить источник для дифференциации</v>
      </c>
      <c r="AQ54" s="1252"/>
      <c r="AR54" s="1252"/>
      <c r="AS54" s="1643">
        <v>4</v>
      </c>
    </row>
    <row s="1643" customFormat="1" customHeight="1" ht="4.2">
      <c r="A55" s="1376" t="s">
        <v>213</v>
      </c>
      <c r="B55" s="1376" t="s">
        <v>214</v>
      </c>
      <c r="C55" s="1375"/>
      <c r="D55" s="1375"/>
      <c r="E55" s="2291"/>
      <c r="F55" s="2290"/>
      <c r="G55" s="1375"/>
      <c r="H55" s="1375"/>
      <c r="I55" s="1375"/>
      <c r="J55" s="1375"/>
      <c r="K55" s="1375"/>
      <c r="L55" s="1378"/>
      <c r="M55" s="1380"/>
      <c r="N55" s="1380"/>
      <c r="O55" s="352"/>
      <c r="P55" s="1317"/>
      <c r="Q55" s="1318"/>
      <c r="R55" s="1317"/>
      <c r="S55" s="1323"/>
      <c r="T55" s="1326" t="s">
        <v>232</v>
      </c>
      <c r="U55" s="1325"/>
      <c r="V55" s="1325"/>
      <c r="W55" s="1325"/>
      <c r="X55" s="1325"/>
      <c r="Y55" s="1325"/>
      <c r="Z55" s="1325"/>
      <c r="AA55" s="1325"/>
      <c r="AB55" s="1325"/>
      <c r="AC55" s="1325"/>
      <c r="AD55" s="1325"/>
      <c r="AE55" s="1325"/>
      <c r="AF55" s="1325"/>
      <c r="AG55" s="1325"/>
      <c r="AH55" s="1325"/>
      <c r="AI55" s="1325"/>
      <c r="AJ55" s="1325"/>
      <c r="AK55" s="1325"/>
      <c r="AL55" s="1325"/>
      <c r="AM55" s="1325"/>
      <c r="AO55" s="1252"/>
      <c r="AP55" s="1252" t="str">
        <f>IF(T55="","",T55)</f>
        <v>Добавить централизованную систему для дифференциации</v>
      </c>
      <c r="AQ55" s="1252"/>
      <c r="AR55" s="1252"/>
      <c r="AS55" s="1643">
        <v>4</v>
      </c>
    </row>
    <row s="1643" customFormat="1" customHeight="1" ht="4.2">
      <c r="A56" s="1376" t="s">
        <v>213</v>
      </c>
      <c r="B56" s="1376"/>
      <c r="C56" s="1376"/>
      <c r="D56" s="1376"/>
      <c r="E56" s="2290"/>
      <c r="F56" s="1376"/>
      <c r="G56" s="1376"/>
      <c r="H56" s="1376"/>
      <c r="I56" s="1376"/>
      <c r="J56" s="1376"/>
      <c r="K56" s="1376"/>
      <c r="L56" s="1382"/>
      <c r="M56" s="1380"/>
      <c r="N56" s="1380"/>
      <c r="O56" s="352"/>
      <c r="P56" s="381"/>
      <c r="Q56" s="1345"/>
      <c r="R56" s="381"/>
      <c r="S56" s="1323"/>
      <c r="T56" s="1326" t="s">
        <v>233</v>
      </c>
      <c r="U56" s="1325"/>
      <c r="V56" s="1325"/>
      <c r="W56" s="1325"/>
      <c r="X56" s="1325"/>
      <c r="Y56" s="1325"/>
      <c r="Z56" s="1325"/>
      <c r="AA56" s="1325"/>
      <c r="AB56" s="1325"/>
      <c r="AC56" s="1325"/>
      <c r="AD56" s="1325"/>
      <c r="AE56" s="1325"/>
      <c r="AF56" s="1325"/>
      <c r="AG56" s="1325"/>
      <c r="AH56" s="1325"/>
      <c r="AI56" s="1325"/>
      <c r="AJ56" s="1325"/>
      <c r="AK56" s="1325"/>
      <c r="AL56" s="1325"/>
      <c r="AM56" s="1325"/>
      <c r="AO56" s="1625"/>
      <c r="AP56" s="1625" t="str">
        <f>IF(T56="","",T56)</f>
        <v>Добавить территорию для дифференциации</v>
      </c>
      <c r="AQ56" s="1625"/>
      <c r="AR56" s="1625"/>
      <c r="AS56" s="1637">
        <v>4</v>
      </c>
    </row>
    <row s="1643" customFormat="1" customHeight="1" ht="4.2">
      <c r="A57" s="1375"/>
      <c r="B57" s="1375"/>
      <c r="C57" s="1375"/>
      <c r="D57" s="1375"/>
      <c r="E57" s="1376"/>
      <c r="F57" s="1375"/>
      <c r="G57" s="1375"/>
      <c r="H57" s="1375"/>
      <c r="I57" s="1375"/>
      <c r="J57" s="1375"/>
      <c r="K57" s="1375"/>
      <c r="L57" s="1378"/>
      <c r="M57" s="1380"/>
      <c r="N57" s="1380"/>
      <c r="O57" s="352"/>
      <c r="P57" s="1317"/>
      <c r="Q57" s="1318"/>
      <c r="R57" s="1317"/>
      <c r="S57" s="1323"/>
      <c r="T57" s="1326" t="s">
        <v>240</v>
      </c>
      <c r="U57" s="1325"/>
      <c r="V57" s="1325"/>
      <c r="W57" s="1325"/>
      <c r="X57" s="1325"/>
      <c r="Y57" s="1325"/>
      <c r="Z57" s="1325"/>
      <c r="AA57" s="1325"/>
      <c r="AB57" s="1325"/>
      <c r="AC57" s="1325"/>
      <c r="AD57" s="1325"/>
      <c r="AE57" s="1325"/>
      <c r="AF57" s="1325"/>
      <c r="AG57" s="1325"/>
      <c r="AH57" s="1325"/>
      <c r="AI57" s="1325"/>
      <c r="AJ57" s="1325"/>
      <c r="AK57" s="1325"/>
      <c r="AL57" s="1325"/>
      <c r="AM57" s="1325"/>
      <c r="AO57" s="1252"/>
      <c r="AP57" s="1252" t="str">
        <f>IF(T57="","",T57)</f>
        <v>Добавить наименование тарифа</v>
      </c>
      <c r="AQ57" s="1252"/>
      <c r="AR57" s="1252"/>
      <c r="AS57" s="1643">
        <v>4</v>
      </c>
    </row>
    <row customHeight="1" ht="11.549999999999999">
      <c r="M58" s="1632"/>
      <c r="N58" s="1632"/>
      <c r="O58" s="1636"/>
      <c r="P58" s="1632"/>
      <c r="Q58" s="1632"/>
      <c r="R58" s="1632"/>
      <c r="S58" s="1632"/>
      <c r="AN58" s="1632"/>
      <c r="AO58" s="1632"/>
      <c r="AP58" s="1632"/>
      <c r="AQ58" s="1632"/>
      <c r="AR58" s="1632"/>
      <c r="AS58" s="1632">
        <v>11</v>
      </c>
    </row>
    <row customHeight="1" ht="28.5">
      <c r="O59" s="1636"/>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632">
        <v>27</v>
      </c>
    </row>
    <row customHeight="1" ht="65.25">
      <c r="O60" s="1636"/>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632">
        <v>62</v>
      </c>
    </row>
    <row customHeight="1" ht="14.699999999999998">
      <c r="O61" s="1636"/>
      <c r="AS61" s="1632">
        <v>14</v>
      </c>
    </row>
    <row customHeight="1" ht="18.75">
      <c r="O62" s="1636"/>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632">
        <v>18</v>
      </c>
    </row>
    <row customHeight="1" ht="18.75">
      <c r="O63" s="1636"/>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632">
        <v>18</v>
      </c>
    </row>
    <row customHeight="1" ht="29.25">
      <c r="O64" s="1636"/>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632">
        <v>28</v>
      </c>
    </row>
    <row customHeight="1" ht="22.5" hidden="1">
      <c r="A65" s="1632" t="s">
        <v>84</v>
      </c>
      <c r="B65" s="1632">
        <v>0</v>
      </c>
      <c r="C65" s="1632">
        <v>0</v>
      </c>
      <c r="D65" s="1632">
        <v>0</v>
      </c>
      <c r="E65" s="1632">
        <v>0</v>
      </c>
      <c r="F65" s="1632">
        <v>0</v>
      </c>
      <c r="G65" s="1632">
        <v>0</v>
      </c>
      <c r="H65" s="1632">
        <v>0</v>
      </c>
      <c r="I65" s="1632">
        <v>0</v>
      </c>
      <c r="J65" s="1632">
        <v>0</v>
      </c>
      <c r="K65" s="1632">
        <v>0</v>
      </c>
      <c r="L65" s="1940">
        <v>0</v>
      </c>
      <c r="M65" s="1966">
        <v>0</v>
      </c>
      <c r="N65" s="1966">
        <v>0</v>
      </c>
      <c r="O65" s="1966">
        <v>0</v>
      </c>
      <c r="P65" s="1966">
        <v>3</v>
      </c>
      <c r="Q65" s="345">
        <v>3</v>
      </c>
      <c r="R65" s="345">
        <v>3</v>
      </c>
      <c r="S65" s="582">
        <v>12</v>
      </c>
      <c r="T65" s="1632">
        <v>31</v>
      </c>
      <c r="U65" s="1632">
        <v>0</v>
      </c>
      <c r="V65" s="1632">
        <v>0</v>
      </c>
      <c r="W65" s="1632">
        <v>0</v>
      </c>
      <c r="X65" s="1632">
        <v>0</v>
      </c>
      <c r="Y65" s="1632">
        <v>0</v>
      </c>
      <c r="Z65" s="1632">
        <v>0</v>
      </c>
      <c r="AA65" s="1632">
        <v>0</v>
      </c>
      <c r="AB65" s="1632">
        <v>0</v>
      </c>
      <c r="AC65" s="1632">
        <v>0</v>
      </c>
      <c r="AD65" s="1632">
        <v>24</v>
      </c>
      <c r="AE65" s="1632">
        <v>0</v>
      </c>
      <c r="AF65" s="1632">
        <v>24</v>
      </c>
      <c r="AG65" s="1632">
        <v>24</v>
      </c>
      <c r="AH65" s="1632">
        <v>11</v>
      </c>
      <c r="AI65" s="1632">
        <v>3</v>
      </c>
      <c r="AJ65" s="1632">
        <v>11</v>
      </c>
      <c r="AK65" s="1632">
        <v>0</v>
      </c>
      <c r="AL65" s="1632">
        <v>4</v>
      </c>
      <c r="AM65" s="1632">
        <v>115</v>
      </c>
      <c r="AN65" s="1637">
        <v>10</v>
      </c>
      <c r="AO65" s="1637">
        <v>10</v>
      </c>
      <c r="AP65" s="1637">
        <v>10</v>
      </c>
      <c r="AQ65" s="1637">
        <v>10</v>
      </c>
      <c r="AR65" s="1637">
        <v>10</v>
      </c>
      <c r="AS65" s="1632">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823E5BE-580B-10C5-7899-0.766D614F}"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1" style="1636" width="11.421875" hidden="1" customWidth="1"/>
    <col min="12" max="12" style="2126" width="19.140625" hidden="1" customWidth="1"/>
    <col min="13" max="14" style="2398" width="12.28125" hidden="1" customWidth="1"/>
    <col min="15" max="15" style="2398"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S1" s="1632" t="s">
        <v>14</v>
      </c>
    </row>
    <row customHeight="1" ht="21" hidden="1">
      <c r="A2" s="1268"/>
      <c r="B2" s="1268"/>
      <c r="C2" s="1268"/>
      <c r="D2" s="1268"/>
      <c r="E2" s="2290">
        <v>1</v>
      </c>
      <c r="F2" s="1268"/>
      <c r="G2" s="1268"/>
      <c r="H2" s="1268"/>
      <c r="I2" s="1268"/>
      <c r="J2" s="1268"/>
      <c r="K2" s="1268"/>
      <c r="L2" s="1311"/>
      <c r="M2" s="1611"/>
      <c r="N2" s="1611"/>
      <c r="O2" s="1611"/>
      <c r="P2" s="1591"/>
      <c r="Q2" s="361"/>
      <c r="R2" s="356"/>
      <c r="S2" s="1959">
        <f>INDEX(PT_DIFFERENTIATION_NUM_NTAR,MATCH(A2,PT_DIFFERENTIATION_NTAR_ID,0))</f>
      </c>
      <c r="T2" s="1526" t="s">
        <v>126</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408</v>
      </c>
      <c r="AO2" s="1625"/>
      <c r="AP2" s="1625" t="str">
        <f>IF(T2="","",T2)</f>
        <v>Наименование тарифа</v>
      </c>
      <c r="AQ2" s="1625"/>
      <c r="AR2" s="1625"/>
      <c r="AS2" s="1632">
        <v>0</v>
      </c>
    </row>
    <row customHeight="1" ht="21" hidden="1">
      <c r="A3" s="1268"/>
      <c r="B3" s="1268"/>
      <c r="C3" s="1268"/>
      <c r="D3" s="1268"/>
      <c r="E3" s="2291"/>
      <c r="F3" s="2290">
        <v>1</v>
      </c>
      <c r="G3" s="1268"/>
      <c r="H3" s="1268"/>
      <c r="I3" s="1268"/>
      <c r="J3" s="1268"/>
      <c r="K3" s="1268"/>
      <c r="L3" s="1311"/>
      <c r="M3" s="1611"/>
      <c r="N3" s="1611"/>
      <c r="O3" s="1611"/>
      <c r="P3" s="1941"/>
      <c r="Q3" s="353"/>
      <c r="R3" s="354"/>
      <c r="S3" s="1959">
        <f>INDEX(PT_DIFFERENTIATION_NUM_TER,MATCH(B3,PT_DIFFERENTIATION_TER_ID,0))</f>
      </c>
      <c r="T3" s="1523" t="s">
        <v>409</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410</v>
      </c>
      <c r="AO3" s="1625"/>
      <c r="AP3" s="1625" t="str">
        <f>IF(T3="","",T3)</f>
        <v>Территория действия тарифа</v>
      </c>
      <c r="AQ3" s="1625"/>
      <c r="AR3" s="1625"/>
      <c r="AS3" s="1632">
        <v>0</v>
      </c>
    </row>
    <row customHeight="1" ht="23.25" hidden="1">
      <c r="A4" s="1268"/>
      <c r="B4" s="1268"/>
      <c r="C4" s="1268"/>
      <c r="D4" s="1268"/>
      <c r="E4" s="2291"/>
      <c r="F4" s="2291"/>
      <c r="G4" s="2290">
        <v>1</v>
      </c>
      <c r="H4" s="1268"/>
      <c r="I4" s="1268"/>
      <c r="J4" s="1268"/>
      <c r="K4" s="1268"/>
      <c r="L4" s="1311"/>
      <c r="M4" s="1611"/>
      <c r="N4" s="1611"/>
      <c r="O4" s="1611"/>
      <c r="P4" s="355"/>
      <c r="Q4" s="353"/>
      <c r="R4" s="354"/>
      <c r="S4" s="1959">
        <f>INDEX(PT_DIFFERENTIATION_NUM_CS,MATCH(C4,PT_DIFFERENTIATION_CS_ID,0))</f>
      </c>
      <c r="T4" s="310" t="s">
        <v>411</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412</v>
      </c>
      <c r="AO4" s="1625"/>
      <c r="AP4" s="1625" t="str">
        <f>IF(T4="","",T4)</f>
        <v>Наименование системы теплоснабжения </v>
      </c>
      <c r="AQ4" s="1625"/>
      <c r="AR4" s="1625"/>
      <c r="AS4" s="1632">
        <v>0</v>
      </c>
    </row>
    <row customHeight="1" ht="21" hidden="1">
      <c r="A5" s="1268"/>
      <c r="B5" s="1268"/>
      <c r="C5" s="1268"/>
      <c r="D5" s="1268"/>
      <c r="E5" s="2291"/>
      <c r="F5" s="2291"/>
      <c r="G5" s="2291"/>
      <c r="H5" s="2290">
        <v>1</v>
      </c>
      <c r="I5" s="1268"/>
      <c r="J5" s="1268"/>
      <c r="K5" s="1268"/>
      <c r="L5" s="1311"/>
      <c r="M5" s="1611"/>
      <c r="N5" s="1611"/>
      <c r="O5" s="1611"/>
      <c r="P5" s="355"/>
      <c r="Q5" s="353"/>
      <c r="R5" s="354"/>
      <c r="S5" s="1959">
        <f>INDEX(PT_DIFFERENTIATION_NUM_IST_TE,MATCH(D5,PT_DIFFERENTIATION_IST_TE_ID,0))</f>
      </c>
      <c r="T5" s="311" t="s">
        <v>413</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414</v>
      </c>
      <c r="AO5" s="1625"/>
      <c r="AP5" s="1625" t="str">
        <f>IF(T5="","",T5)</f>
        <v>Источник тепловой энергии  </v>
      </c>
      <c r="AQ5" s="1625"/>
      <c r="AR5" s="1625"/>
      <c r="AS5" s="1632">
        <v>0</v>
      </c>
    </row>
    <row customHeight="1" ht="47.25" hidden="1">
      <c r="A6" s="1268"/>
      <c r="B6" s="1268"/>
      <c r="C6" s="1268"/>
      <c r="D6" s="1268"/>
      <c r="E6" s="2291"/>
      <c r="F6" s="2291"/>
      <c r="G6" s="2291"/>
      <c r="H6" s="2291"/>
      <c r="I6" s="2128">
        <f>S5&amp;".1"</f>
      </c>
      <c r="J6" s="1268"/>
      <c r="K6" s="1268"/>
      <c r="L6" s="1311" t="s">
        <v>415</v>
      </c>
      <c r="M6" s="1636"/>
      <c r="P6" s="2258">
        <v>1</v>
      </c>
      <c r="Q6" s="1955"/>
      <c r="R6" s="357"/>
      <c r="S6" s="1959">
        <f>$I6</f>
      </c>
      <c r="T6" s="286" t="s">
        <v>416</v>
      </c>
      <c r="U6" s="301"/>
      <c r="V6" s="2246"/>
      <c r="W6" s="2247"/>
      <c r="X6" s="2247"/>
      <c r="Y6" s="2247"/>
      <c r="Z6" s="2247"/>
      <c r="AA6" s="2247"/>
      <c r="AB6" s="2247"/>
      <c r="AC6" s="2248"/>
      <c r="AD6" s="2246"/>
      <c r="AE6" s="2247"/>
      <c r="AF6" s="2247"/>
      <c r="AG6" s="2247"/>
      <c r="AH6" s="2247"/>
      <c r="AI6" s="2247"/>
      <c r="AJ6" s="2247"/>
      <c r="AK6" s="2247"/>
      <c r="AL6" s="2248"/>
      <c r="AM6" s="1259" t="s">
        <v>417</v>
      </c>
      <c r="AO6" s="1625"/>
      <c r="AP6" s="1625" t="str">
        <f>IF(T6="","",T6)</f>
        <v>Схема подключения теплопотребляющей установки к коллектору источника тепловой энергии</v>
      </c>
      <c r="AQ6" s="1625"/>
      <c r="AR6" s="1625"/>
      <c r="AS6" s="1632">
        <v>0</v>
      </c>
    </row>
    <row customHeight="1" ht="21" hidden="1">
      <c r="A7" s="1268"/>
      <c r="B7" s="1268"/>
      <c r="C7" s="1268"/>
      <c r="D7" s="1268"/>
      <c r="E7" s="2291"/>
      <c r="F7" s="2291"/>
      <c r="G7" s="2291"/>
      <c r="H7" s="2291"/>
      <c r="I7" s="2102"/>
      <c r="J7" s="2128">
        <f>I6&amp;".1"</f>
      </c>
      <c r="K7" s="1268"/>
      <c r="L7" s="1311" t="s">
        <v>418</v>
      </c>
      <c r="M7" s="1636"/>
      <c r="N7" s="1632"/>
      <c r="P7" s="2258"/>
      <c r="Q7" s="2258">
        <v>1</v>
      </c>
      <c r="R7" s="358"/>
      <c r="S7" s="1959">
        <f>$J7</f>
      </c>
      <c r="T7" s="287" t="s">
        <v>419</v>
      </c>
      <c r="U7" s="301"/>
      <c r="V7" s="2246"/>
      <c r="W7" s="2247"/>
      <c r="X7" s="2247"/>
      <c r="Y7" s="2247"/>
      <c r="Z7" s="2247"/>
      <c r="AA7" s="2247"/>
      <c r="AB7" s="2247"/>
      <c r="AC7" s="2248"/>
      <c r="AD7" s="2246"/>
      <c r="AE7" s="2247"/>
      <c r="AF7" s="2247"/>
      <c r="AG7" s="2247"/>
      <c r="AH7" s="2247"/>
      <c r="AI7" s="2247"/>
      <c r="AJ7" s="2247"/>
      <c r="AK7" s="2247"/>
      <c r="AL7" s="2248"/>
      <c r="AM7" s="1259" t="s">
        <v>420</v>
      </c>
      <c r="AO7" s="1625"/>
      <c r="AP7" s="1625" t="str">
        <f>IF(T7="","",T7)</f>
        <v>Группа потребителей</v>
      </c>
      <c r="AQ7" s="1625"/>
      <c r="AR7" s="1625"/>
      <c r="AS7" s="1632">
        <v>0</v>
      </c>
    </row>
    <row customHeight="1" ht="21" hidden="1">
      <c r="A8" s="1268"/>
      <c r="B8" s="1268"/>
      <c r="C8" s="1268"/>
      <c r="D8" s="1268"/>
      <c r="E8" s="2291"/>
      <c r="F8" s="2291"/>
      <c r="G8" s="2291"/>
      <c r="H8" s="2291"/>
      <c r="I8" s="2102"/>
      <c r="J8" s="2102"/>
      <c r="K8" s="2128">
        <f>J7&amp;".1"</f>
      </c>
      <c r="L8" s="1311" t="s">
        <v>421</v>
      </c>
      <c r="M8" s="1636"/>
      <c r="N8" s="1632"/>
      <c r="O8" s="1632"/>
      <c r="P8" s="2258"/>
      <c r="Q8" s="2258"/>
      <c r="R8" s="358">
        <v>1</v>
      </c>
      <c r="S8" s="1959">
        <f>$K8</f>
      </c>
      <c r="T8" s="1348"/>
      <c r="U8" s="301"/>
      <c r="V8" s="752"/>
      <c r="W8" s="326"/>
      <c r="X8" s="752"/>
      <c r="Y8" s="1258"/>
      <c r="Z8" s="2266"/>
      <c r="AA8" s="2108" t="s">
        <v>63</v>
      </c>
      <c r="AB8" s="2266"/>
      <c r="AC8" s="2108" t="s">
        <v>63</v>
      </c>
      <c r="AD8" s="752"/>
      <c r="AE8" s="326"/>
      <c r="AF8" s="752"/>
      <c r="AG8" s="1258"/>
      <c r="AH8" s="2266"/>
      <c r="AI8" s="2108" t="s">
        <v>63</v>
      </c>
      <c r="AJ8" s="2266"/>
      <c r="AK8" s="2108" t="s">
        <v>63</v>
      </c>
      <c r="AL8" s="326"/>
      <c r="AM8" s="2254" t="s">
        <v>422</v>
      </c>
      <c r="AN8" s="1637">
        <f>STRCHECKDATE(V9:AL9)</f>
      </c>
      <c r="AO8" s="1625"/>
      <c r="AP8" s="1625" t="str">
        <f>IF(T8="","",T8)</f>
        <v/>
      </c>
      <c r="AQ8" s="1625"/>
      <c r="AR8" s="1625"/>
      <c r="AS8" s="1632">
        <v>0</v>
      </c>
    </row>
    <row customHeight="1" ht="0.75" hidden="1">
      <c r="A9" s="1268"/>
      <c r="B9" s="1268"/>
      <c r="C9" s="1268"/>
      <c r="D9" s="1268"/>
      <c r="E9" s="2291"/>
      <c r="F9" s="2291"/>
      <c r="G9" s="2291"/>
      <c r="H9" s="2291"/>
      <c r="I9" s="2102"/>
      <c r="J9" s="2102"/>
      <c r="K9" s="2128"/>
      <c r="L9" s="1311"/>
      <c r="M9" s="1636"/>
      <c r="N9" s="1632"/>
      <c r="O9" s="1632"/>
      <c r="P9" s="2258"/>
      <c r="Q9" s="2258"/>
      <c r="R9" s="358"/>
      <c r="S9" s="1968"/>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1625"/>
      <c r="AP9" s="1625" t="str">
        <f>IF(T9="","",T9)</f>
        <v/>
      </c>
      <c r="AQ9" s="1625"/>
      <c r="AR9" s="1625"/>
      <c r="AS9" s="1632">
        <v>0</v>
      </c>
    </row>
    <row customHeight="1" ht="15" hidden="1">
      <c r="A10" s="1268"/>
      <c r="B10" s="1268"/>
      <c r="C10" s="1268"/>
      <c r="D10" s="1268"/>
      <c r="E10" s="2291"/>
      <c r="F10" s="2291"/>
      <c r="G10" s="2291"/>
      <c r="H10" s="2291"/>
      <c r="I10" s="2102"/>
      <c r="J10" s="2128"/>
      <c r="K10" s="1268"/>
      <c r="L10" s="1311"/>
      <c r="M10" s="1636"/>
      <c r="N10" s="1632"/>
      <c r="P10" s="2258"/>
      <c r="Q10" s="2258"/>
      <c r="R10" s="357"/>
      <c r="S10" s="1279"/>
      <c r="T10" s="289" t="s">
        <v>423</v>
      </c>
      <c r="U10" s="601"/>
      <c r="V10" s="601"/>
      <c r="W10" s="601"/>
      <c r="X10" s="601"/>
      <c r="Y10" s="601"/>
      <c r="Z10" s="601"/>
      <c r="AA10" s="601"/>
      <c r="AB10" s="601"/>
      <c r="AC10" s="601"/>
      <c r="AD10" s="601"/>
      <c r="AE10" s="601"/>
      <c r="AF10" s="601"/>
      <c r="AG10" s="601"/>
      <c r="AH10" s="601"/>
      <c r="AI10" s="601"/>
      <c r="AJ10" s="601"/>
      <c r="AK10" s="601"/>
      <c r="AL10" s="325"/>
      <c r="AM10" s="2256"/>
      <c r="AO10" s="1625"/>
      <c r="AP10" s="1625" t="str">
        <f>IF(T10="","",T10)</f>
        <v>Добавить вид теплоносителя (параметры теплоносителя)</v>
      </c>
      <c r="AQ10" s="1625"/>
      <c r="AR10" s="1625"/>
      <c r="AS10" s="1632">
        <v>0</v>
      </c>
    </row>
    <row customHeight="1" ht="15" hidden="1">
      <c r="A11" s="1268"/>
      <c r="B11" s="1268"/>
      <c r="C11" s="1268"/>
      <c r="D11" s="1268"/>
      <c r="E11" s="2291"/>
      <c r="F11" s="2291"/>
      <c r="G11" s="2291"/>
      <c r="H11" s="2291"/>
      <c r="I11" s="2128"/>
      <c r="J11" s="1268"/>
      <c r="K11" s="1268"/>
      <c r="L11" s="1311"/>
      <c r="M11" s="1636"/>
      <c r="P11" s="2258"/>
      <c r="Q11" s="1955"/>
      <c r="R11" s="357"/>
      <c r="S11" s="1279"/>
      <c r="T11" s="288" t="s">
        <v>424</v>
      </c>
      <c r="U11" s="601"/>
      <c r="V11" s="601"/>
      <c r="W11" s="601"/>
      <c r="X11" s="601"/>
      <c r="Y11" s="601"/>
      <c r="Z11" s="601"/>
      <c r="AA11" s="601"/>
      <c r="AB11" s="601"/>
      <c r="AC11" s="367"/>
      <c r="AD11" s="601"/>
      <c r="AE11" s="601"/>
      <c r="AF11" s="601"/>
      <c r="AG11" s="601"/>
      <c r="AH11" s="601"/>
      <c r="AI11" s="601"/>
      <c r="AJ11" s="601"/>
      <c r="AK11" s="367"/>
      <c r="AL11" s="601"/>
      <c r="AM11" s="304"/>
      <c r="AO11" s="1625"/>
      <c r="AP11" s="1625" t="str">
        <f>IF(T11="","",T11)</f>
        <v>Добавить группу потребителей</v>
      </c>
      <c r="AQ11" s="1625"/>
      <c r="AR11" s="1625"/>
      <c r="AS11" s="1632">
        <v>0</v>
      </c>
    </row>
    <row customHeight="1" ht="14.25" hidden="1">
      <c r="A12" s="1268"/>
      <c r="B12" s="1268"/>
      <c r="C12" s="1268"/>
      <c r="D12" s="1268"/>
      <c r="E12" s="2291"/>
      <c r="F12" s="2291"/>
      <c r="G12" s="2291"/>
      <c r="H12" s="2290"/>
      <c r="I12" s="1268"/>
      <c r="J12" s="1268"/>
      <c r="K12" s="1268"/>
      <c r="L12" s="1311"/>
      <c r="M12" s="1611"/>
      <c r="N12" s="1611"/>
      <c r="O12" s="1636"/>
      <c r="P12" s="361"/>
      <c r="Q12" s="376"/>
      <c r="R12" s="356"/>
      <c r="S12" s="1279"/>
      <c r="T12" s="366" t="s">
        <v>425</v>
      </c>
      <c r="U12" s="601"/>
      <c r="V12" s="601"/>
      <c r="W12" s="601"/>
      <c r="X12" s="601"/>
      <c r="Y12" s="601"/>
      <c r="Z12" s="601"/>
      <c r="AA12" s="601"/>
      <c r="AB12" s="601"/>
      <c r="AC12" s="367"/>
      <c r="AD12" s="601"/>
      <c r="AE12" s="601"/>
      <c r="AF12" s="601"/>
      <c r="AG12" s="601"/>
      <c r="AH12" s="601"/>
      <c r="AI12" s="601"/>
      <c r="AJ12" s="601"/>
      <c r="AK12" s="367"/>
      <c r="AL12" s="601"/>
      <c r="AM12" s="304"/>
      <c r="AO12" s="1625"/>
      <c r="AP12" s="1625" t="str">
        <f>IF(T12="","",T12)</f>
        <v>Добавить схему подключения</v>
      </c>
      <c r="AQ12" s="1625"/>
      <c r="AR12" s="1625"/>
      <c r="AS12" s="1632">
        <v>0</v>
      </c>
    </row>
    <row s="1643" customFormat="1" customHeight="1" ht="0.75" hidden="1">
      <c r="A13" s="1975"/>
      <c r="B13" s="1975"/>
      <c r="C13" s="1975"/>
      <c r="D13" s="1975"/>
      <c r="E13" s="2291"/>
      <c r="F13" s="2291"/>
      <c r="G13" s="2290"/>
      <c r="H13" s="1975"/>
      <c r="I13" s="1975"/>
      <c r="J13" s="1975"/>
      <c r="K13" s="1975"/>
      <c r="L13" s="1381"/>
      <c r="M13" s="1611"/>
      <c r="N13" s="1611"/>
      <c r="O13" s="1636"/>
      <c r="P13" s="1317"/>
      <c r="Q13" s="1318"/>
      <c r="R13" s="1317"/>
      <c r="S13" s="1319"/>
      <c r="T13" s="1320" t="s">
        <v>426</v>
      </c>
      <c r="U13" s="1321"/>
      <c r="V13" s="1321"/>
      <c r="W13" s="1321"/>
      <c r="X13" s="1321"/>
      <c r="Y13" s="1321"/>
      <c r="Z13" s="1321"/>
      <c r="AA13" s="1321"/>
      <c r="AB13" s="1321"/>
      <c r="AC13" s="1321"/>
      <c r="AD13" s="1321"/>
      <c r="AE13" s="1321"/>
      <c r="AF13" s="1321"/>
      <c r="AG13" s="1321"/>
      <c r="AH13" s="1321"/>
      <c r="AI13" s="1321"/>
      <c r="AJ13" s="1321"/>
      <c r="AK13" s="1321"/>
      <c r="AL13" s="1321"/>
      <c r="AM13" s="1321"/>
      <c r="AO13" s="1252"/>
      <c r="AP13" s="1252" t="str">
        <f>IF(T13="","",T13)</f>
        <v>Добавить источник для дифференциации</v>
      </c>
      <c r="AQ13" s="1252"/>
      <c r="AR13" s="1252"/>
      <c r="AS13" s="1643">
        <v>0</v>
      </c>
    </row>
    <row s="1643" customFormat="1" customHeight="1" ht="0.75" hidden="1">
      <c r="A14" s="1975"/>
      <c r="B14" s="1975"/>
      <c r="C14" s="1975"/>
      <c r="D14" s="1975"/>
      <c r="E14" s="2291"/>
      <c r="F14" s="2290"/>
      <c r="G14" s="1975"/>
      <c r="H14" s="1975"/>
      <c r="I14" s="1975"/>
      <c r="J14" s="1975"/>
      <c r="K14" s="1975"/>
      <c r="L14" s="1381"/>
      <c r="M14" s="1976"/>
      <c r="N14" s="1976"/>
      <c r="O14" s="1636"/>
      <c r="P14" s="1317"/>
      <c r="Q14" s="1318"/>
      <c r="R14" s="1317"/>
      <c r="S14" s="1323"/>
      <c r="T14" s="1324" t="s">
        <v>232</v>
      </c>
      <c r="U14" s="1325"/>
      <c r="V14" s="1325"/>
      <c r="W14" s="1325"/>
      <c r="X14" s="1325"/>
      <c r="Y14" s="1325"/>
      <c r="Z14" s="1325"/>
      <c r="AA14" s="1325"/>
      <c r="AB14" s="1325"/>
      <c r="AC14" s="1325"/>
      <c r="AD14" s="1325"/>
      <c r="AE14" s="1325"/>
      <c r="AF14" s="1325"/>
      <c r="AG14" s="1325"/>
      <c r="AH14" s="1325"/>
      <c r="AI14" s="1325"/>
      <c r="AJ14" s="1325"/>
      <c r="AK14" s="1325"/>
      <c r="AL14" s="1325"/>
      <c r="AM14" s="1325"/>
      <c r="AO14" s="1252"/>
      <c r="AP14" s="1252" t="str">
        <f>IF(T14="","",T14)</f>
        <v>Добавить централизованную систему для дифференциации</v>
      </c>
      <c r="AQ14" s="1252"/>
      <c r="AR14" s="1252"/>
      <c r="AS14" s="1643">
        <v>0</v>
      </c>
    </row>
    <row s="1643" customFormat="1" customHeight="1" ht="0.75" hidden="1">
      <c r="A15" s="1975"/>
      <c r="B15" s="1975"/>
      <c r="C15" s="1975"/>
      <c r="D15" s="1975"/>
      <c r="E15" s="2290"/>
      <c r="F15" s="1975"/>
      <c r="G15" s="1975"/>
      <c r="H15" s="1975"/>
      <c r="I15" s="1975"/>
      <c r="J15" s="1975"/>
      <c r="K15" s="1975"/>
      <c r="L15" s="1381"/>
      <c r="M15" s="1976"/>
      <c r="N15" s="1976"/>
      <c r="O15" s="1636"/>
      <c r="P15" s="1317"/>
      <c r="Q15" s="1318"/>
      <c r="R15" s="1317"/>
      <c r="S15" s="1323"/>
      <c r="T15" s="1326" t="s">
        <v>233</v>
      </c>
      <c r="U15" s="1325"/>
      <c r="V15" s="1325"/>
      <c r="W15" s="1325"/>
      <c r="X15" s="1325"/>
      <c r="Y15" s="1325"/>
      <c r="Z15" s="1325"/>
      <c r="AA15" s="1325"/>
      <c r="AB15" s="1325"/>
      <c r="AC15" s="1325"/>
      <c r="AD15" s="1325"/>
      <c r="AE15" s="1325"/>
      <c r="AF15" s="1325"/>
      <c r="AG15" s="1325"/>
      <c r="AH15" s="1325"/>
      <c r="AI15" s="1325"/>
      <c r="AJ15" s="1325"/>
      <c r="AK15" s="1325"/>
      <c r="AL15" s="1325"/>
      <c r="AM15" s="1325"/>
      <c r="AO15" s="1252"/>
      <c r="AP15" s="1252" t="str">
        <f>IF(T15="","",T15)</f>
        <v>Добавить территорию для дифференциации</v>
      </c>
      <c r="AQ15" s="1252"/>
      <c r="AR15" s="1252"/>
      <c r="AS15" s="1643">
        <v>0</v>
      </c>
    </row>
    <row customHeight="1" ht="14.25" hidden="1">
      <c r="AS16" s="1632">
        <v>0</v>
      </c>
    </row>
    <row customHeight="1" ht="14.25" hidden="1">
      <c r="AD17" s="1361"/>
      <c r="AE17" s="1361"/>
      <c r="AF17" s="1361"/>
      <c r="AG17" s="1362"/>
      <c r="AH17" s="2268"/>
      <c r="AI17" s="2269" t="s">
        <v>63</v>
      </c>
      <c r="AJ17" s="2268"/>
      <c r="AK17" s="2269" t="s">
        <v>63</v>
      </c>
      <c r="AS17" s="1632">
        <v>0</v>
      </c>
    </row>
    <row customHeight="1" ht="14.25" hidden="1">
      <c r="AD18" s="1361"/>
      <c r="AE18" s="1361"/>
      <c r="AF18" s="1361"/>
      <c r="AG18" s="329" t="str">
        <f>AH17&amp;"-"&amp;AJ17</f>
        <v>-</v>
      </c>
      <c r="AH18" s="2269"/>
      <c r="AI18" s="2269"/>
      <c r="AJ18" s="2269"/>
      <c r="AK18" s="2269"/>
      <c r="AS18" s="1632">
        <v>0</v>
      </c>
    </row>
    <row customHeight="1" ht="14.25" hidden="1">
      <c r="AS19" s="1632">
        <v>0</v>
      </c>
    </row>
    <row s="1367" customFormat="1" customHeight="1" ht="14.25" hidden="1">
      <c r="A20" s="1632"/>
      <c r="B20" s="1632"/>
      <c r="C20" s="1632"/>
      <c r="D20" s="1632"/>
      <c r="E20" s="1632"/>
      <c r="F20" s="1632"/>
      <c r="G20" s="1632"/>
      <c r="H20" s="1632"/>
      <c r="I20" s="1632"/>
      <c r="J20" s="1632"/>
      <c r="K20" s="1632"/>
      <c r="L20" s="1940"/>
      <c r="M20" s="1966"/>
      <c r="N20" s="1966"/>
      <c r="O20" s="1346" t="s">
        <v>427</v>
      </c>
      <c r="P20" s="1363"/>
      <c r="Q20" s="1372"/>
      <c r="R20" s="1372"/>
      <c r="S20" s="730"/>
      <c r="Z20" s="1368"/>
      <c r="AB20" s="1368"/>
      <c r="AH20" s="1368"/>
      <c r="AJ20" s="1368"/>
      <c r="AN20" s="1637"/>
      <c r="AO20" s="1637"/>
      <c r="AP20" s="1637"/>
      <c r="AQ20" s="1637"/>
      <c r="AR20" s="1637"/>
      <c r="AS20" s="1367">
        <v>0</v>
      </c>
    </row>
    <row s="1367" customFormat="1" customHeight="1" ht="14.25" hidden="1">
      <c r="A21" s="1632"/>
      <c r="B21" s="1632"/>
      <c r="C21" s="1632"/>
      <c r="D21" s="1632"/>
      <c r="E21" s="1632"/>
      <c r="F21" s="1632"/>
      <c r="G21" s="1632"/>
      <c r="H21" s="1632"/>
      <c r="I21" s="1632"/>
      <c r="J21" s="1632"/>
      <c r="K21" s="1632"/>
      <c r="L21" s="1940"/>
      <c r="M21" s="1966"/>
      <c r="N21" s="1966"/>
      <c r="O21" s="1966"/>
      <c r="P21" s="1363"/>
      <c r="Q21" s="1372"/>
      <c r="R21" s="1372"/>
      <c r="S21" s="730"/>
      <c r="AN21" s="1637"/>
      <c r="AO21" s="1637"/>
      <c r="AP21" s="1637"/>
      <c r="AQ21" s="1637"/>
      <c r="AR21" s="1637"/>
      <c r="AS21" s="1367">
        <v>0</v>
      </c>
    </row>
    <row s="1367" customFormat="1" customHeight="1" ht="14.25" hidden="1">
      <c r="A22" s="1632"/>
      <c r="B22" s="1632"/>
      <c r="C22" s="1632"/>
      <c r="D22" s="1632"/>
      <c r="E22" s="1632"/>
      <c r="F22" s="1632"/>
      <c r="G22" s="1632"/>
      <c r="H22" s="1632"/>
      <c r="I22" s="1632"/>
      <c r="J22" s="1632"/>
      <c r="K22" s="1632"/>
      <c r="L22" s="1940"/>
      <c r="M22" s="1966"/>
      <c r="N22" s="1966"/>
      <c r="O22" s="1311" t="s">
        <v>428</v>
      </c>
      <c r="P22" s="1363"/>
      <c r="Q22" s="1372"/>
      <c r="R22" s="1372"/>
      <c r="S22" s="730"/>
      <c r="T22" s="1367" t="s">
        <v>429</v>
      </c>
      <c r="AA22" s="596" t="s">
        <v>430</v>
      </c>
      <c r="AC22" s="596" t="s">
        <v>431</v>
      </c>
      <c r="AD22" s="1367" t="s">
        <v>429</v>
      </c>
      <c r="AI22" s="596" t="s">
        <v>432</v>
      </c>
      <c r="AK22" s="596" t="s">
        <v>431</v>
      </c>
      <c r="AN22" s="1637"/>
      <c r="AO22" s="1637"/>
      <c r="AP22" s="1637"/>
      <c r="AQ22" s="1637"/>
      <c r="AR22" s="1637"/>
      <c r="AS22" s="1367">
        <v>0</v>
      </c>
    </row>
    <row customHeight="1" ht="14.25" hidden="1">
      <c r="O23" s="1311"/>
      <c r="AS23" s="1632">
        <v>0</v>
      </c>
    </row>
    <row customHeight="1" ht="14.25" hidden="1">
      <c r="O24" s="1311"/>
      <c r="AS24" s="1632">
        <v>0</v>
      </c>
    </row>
    <row customHeight="1" ht="14.699999999999998">
      <c r="Q25" s="377"/>
      <c r="R25" s="377"/>
      <c r="S25" s="1276"/>
      <c r="T25" s="458"/>
      <c r="U25" s="458"/>
      <c r="V25" s="1636"/>
      <c r="W25" s="1636"/>
      <c r="X25" s="1636"/>
      <c r="Y25" s="1636"/>
      <c r="Z25" s="1636"/>
      <c r="AA25" s="1636"/>
      <c r="AB25" s="1636"/>
      <c r="AC25" s="1636"/>
      <c r="AD25" s="1636"/>
      <c r="AE25" s="1636"/>
      <c r="AF25" s="1636"/>
      <c r="AG25" s="1636"/>
      <c r="AH25" s="1636"/>
      <c r="AI25" s="1636"/>
      <c r="AJ25" s="1636"/>
      <c r="AK25" s="1636"/>
      <c r="AS25" s="1632">
        <v>14</v>
      </c>
    </row>
    <row customHeight="1" ht="14.699999999999998">
      <c r="Q26" s="377"/>
      <c r="R26" s="377"/>
      <c r="S26" s="2249"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249"/>
      <c r="U26" s="2249"/>
      <c r="V26" s="2249"/>
      <c r="W26" s="2249"/>
      <c r="X26" s="2249"/>
      <c r="Y26" s="2249"/>
      <c r="Z26" s="2249"/>
      <c r="AA26" s="2249"/>
      <c r="AB26" s="2249"/>
      <c r="AC26" s="2249"/>
      <c r="AD26" s="2249"/>
      <c r="AE26" s="2249"/>
      <c r="AF26" s="2249"/>
      <c r="AG26" s="2249"/>
      <c r="AH26" s="2249"/>
      <c r="AI26" s="2249"/>
      <c r="AJ26" s="2249"/>
      <c r="AK26" s="1244"/>
      <c r="AS26" s="1632">
        <v>14</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632">
        <v>14</v>
      </c>
    </row>
    <row customHeight="1" ht="14.25" hidden="1">
      <c r="Q28" s="377"/>
      <c r="R28" s="377"/>
      <c r="S28" s="1276"/>
      <c r="T28" s="458"/>
      <c r="U28" s="458"/>
      <c r="V28" s="323"/>
      <c r="W28" s="323"/>
      <c r="X28" s="323"/>
      <c r="Y28" s="323"/>
      <c r="Z28" s="323"/>
      <c r="AA28" s="323"/>
      <c r="AB28" s="323"/>
      <c r="AC28" s="323"/>
      <c r="AD28" s="323"/>
      <c r="AE28" s="323"/>
      <c r="AF28" s="323"/>
      <c r="AG28" s="323"/>
      <c r="AH28" s="323"/>
      <c r="AI28" s="323"/>
      <c r="AJ28" s="323"/>
      <c r="AK28" s="323"/>
      <c r="AL28" s="1636"/>
      <c r="AS28" s="1632">
        <v>0</v>
      </c>
    </row>
    <row s="1854" customFormat="1" customHeight="1" ht="25.5" hidden="1">
      <c r="A29" s="1249"/>
      <c r="B29" s="1249"/>
      <c r="C29" s="1249"/>
      <c r="D29" s="1249"/>
      <c r="E29" s="1249"/>
      <c r="F29" s="1249"/>
      <c r="G29" s="1249"/>
      <c r="H29" s="1249"/>
      <c r="I29" s="1249"/>
      <c r="J29" s="1249"/>
      <c r="K29" s="1249"/>
      <c r="L29" s="1381"/>
      <c r="M29" s="1249"/>
      <c r="N29" s="1249"/>
      <c r="O29" s="1249"/>
      <c r="S29" s="2251" t="s">
        <v>42</v>
      </c>
      <c r="T29" s="2251"/>
      <c r="U29" s="1373"/>
      <c r="V29" s="2252" t="str">
        <f>IF(TITLE_NAME_OR_PR_CHANGE="",IF(TITLE_NAME_OR_PR="","",TITLE_NAME_OR_PR),TITLE_NAME_OR_PR_CHANGE)</f>
        <v>Управление по государственному регулированию цен (тарифов) Ненецкого автономного округа</v>
      </c>
      <c r="W29" s="2252"/>
      <c r="X29" s="2252"/>
      <c r="Y29" s="2252"/>
      <c r="Z29" s="2252"/>
      <c r="AA29" s="2252"/>
      <c r="AB29" s="2252"/>
      <c r="AC29" s="1636"/>
      <c r="AD29" s="2252" t="str">
        <f>IF(TITLE_NAME_OR_PR_CHANGE="",IF(TITLE_NAME_OR_PR="","",TITLE_NAME_OR_PR),TITLE_NAME_OR_PR_CHANGE)</f>
        <v>Управление по государственному регулированию цен (тарифов) Ненецкого автономного округа</v>
      </c>
      <c r="AE29" s="2252"/>
      <c r="AF29" s="2252"/>
      <c r="AG29" s="2252"/>
      <c r="AH29" s="2252"/>
      <c r="AI29" s="2252"/>
      <c r="AJ29" s="2252"/>
      <c r="AK29" s="1636"/>
      <c r="AL29" s="1636"/>
      <c r="AM29" s="281"/>
      <c r="AN29" s="369"/>
      <c r="AO29" s="369"/>
      <c r="AP29" s="369"/>
      <c r="AQ29" s="369"/>
      <c r="AR29" s="369"/>
      <c r="AS29" s="419">
        <v>0</v>
      </c>
    </row>
    <row s="1854" customFormat="1" customHeight="1" ht="18.75" hidden="1">
      <c r="A30" s="1249"/>
      <c r="B30" s="1249"/>
      <c r="C30" s="1249"/>
      <c r="D30" s="1249"/>
      <c r="E30" s="1249"/>
      <c r="F30" s="1249"/>
      <c r="G30" s="1249"/>
      <c r="H30" s="1249"/>
      <c r="I30" s="1249"/>
      <c r="J30" s="1249"/>
      <c r="K30" s="1249"/>
      <c r="L30" s="1381"/>
      <c r="M30" s="1249"/>
      <c r="N30" s="1249"/>
      <c r="O30" s="1249"/>
      <c r="S30" s="2251" t="s">
        <v>433</v>
      </c>
      <c r="T30" s="2251"/>
      <c r="U30" s="1373"/>
      <c r="V30" s="2265" t="str">
        <f>IF(TITLE_DATE_PR_CHANGE="",IF(TITLE_DATE_PR="","",TITLE_DATE_PR),TITLE_DATE_PR_CHANGE)</f>
        <v>45642</v>
      </c>
      <c r="W30" s="2265"/>
      <c r="X30" s="2265"/>
      <c r="Y30" s="2265"/>
      <c r="Z30" s="2265"/>
      <c r="AA30" s="2265"/>
      <c r="AB30" s="2265"/>
      <c r="AC30" s="1636"/>
      <c r="AD30" s="2265" t="str">
        <f>IF(TITLE_DATE_PR_CHANGE="",IF(TITLE_DATE_PR="","",TITLE_DATE_PR),TITLE_DATE_PR_CHANGE)</f>
        <v>45642</v>
      </c>
      <c r="AE30" s="2265"/>
      <c r="AF30" s="2265"/>
      <c r="AG30" s="2265"/>
      <c r="AH30" s="2265"/>
      <c r="AI30" s="2265"/>
      <c r="AJ30" s="2265"/>
      <c r="AK30" s="1636"/>
      <c r="AL30" s="1636"/>
      <c r="AM30" s="281"/>
      <c r="AN30" s="369"/>
      <c r="AO30" s="369"/>
      <c r="AP30" s="369"/>
      <c r="AQ30" s="369"/>
      <c r="AR30" s="369"/>
      <c r="AS30" s="419">
        <v>0</v>
      </c>
    </row>
    <row s="1854" customFormat="1" customHeight="1" ht="18.75" hidden="1">
      <c r="A31" s="1249"/>
      <c r="B31" s="1249"/>
      <c r="C31" s="1249"/>
      <c r="D31" s="1249"/>
      <c r="E31" s="1249"/>
      <c r="F31" s="1249"/>
      <c r="G31" s="1249"/>
      <c r="H31" s="1249"/>
      <c r="I31" s="1249"/>
      <c r="J31" s="1249"/>
      <c r="K31" s="1249"/>
      <c r="L31" s="1381"/>
      <c r="M31" s="1249"/>
      <c r="N31" s="1249"/>
      <c r="O31" s="1249"/>
      <c r="S31" s="2251" t="s">
        <v>434</v>
      </c>
      <c r="T31" s="2251"/>
      <c r="U31" s="1373"/>
      <c r="V31" s="2252" t="str">
        <f>IF(TITLE_NUMBER_PR_CHANGE="",IF(TITLE_NUMBER_PR="","",TITLE_NUMBER_PR),TITLE_NUMBER_PR_CHANGE)</f>
        <v>58</v>
      </c>
      <c r="W31" s="2252"/>
      <c r="X31" s="2252"/>
      <c r="Y31" s="2252"/>
      <c r="Z31" s="2252"/>
      <c r="AA31" s="2252"/>
      <c r="AB31" s="2252"/>
      <c r="AC31" s="1636"/>
      <c r="AD31" s="2252" t="str">
        <f>IF(TITLE_NUMBER_PR_CHANGE="",IF(TITLE_NUMBER_PR="","",TITLE_NUMBER_PR),TITLE_NUMBER_PR_CHANGE)</f>
        <v>58</v>
      </c>
      <c r="AE31" s="2252"/>
      <c r="AF31" s="2252"/>
      <c r="AG31" s="2252"/>
      <c r="AH31" s="2252"/>
      <c r="AI31" s="2252"/>
      <c r="AJ31" s="2252"/>
      <c r="AK31" s="1636"/>
      <c r="AL31" s="1636"/>
      <c r="AM31" s="281"/>
      <c r="AN31" s="369"/>
      <c r="AO31" s="369"/>
      <c r="AP31" s="369"/>
      <c r="AQ31" s="369"/>
      <c r="AR31" s="369"/>
      <c r="AS31" s="419">
        <v>0</v>
      </c>
    </row>
    <row s="1854" customFormat="1" customHeight="1" ht="18.75" hidden="1">
      <c r="A32" s="1249"/>
      <c r="B32" s="1249"/>
      <c r="C32" s="1249"/>
      <c r="D32" s="1249"/>
      <c r="E32" s="1249"/>
      <c r="F32" s="1249"/>
      <c r="G32" s="1249"/>
      <c r="H32" s="1249"/>
      <c r="I32" s="1249"/>
      <c r="J32" s="1249"/>
      <c r="K32" s="1249"/>
      <c r="L32" s="1381"/>
      <c r="M32" s="1249"/>
      <c r="N32" s="1249"/>
      <c r="O32" s="1249"/>
      <c r="S32" s="2251" t="s">
        <v>44</v>
      </c>
      <c r="T32" s="2251"/>
      <c r="U32" s="1373"/>
      <c r="V32" s="2252" t="str">
        <f>IF(TITLE_IST_PUB_CHANGE="",IF(TITLE_IST_PUB="","",TITLE_IST_PUB),TITLE_IST_PUB_CHANGE)</f>
        <v>Официальный интернет портал правовой информации http://pravo.gov.ru </v>
      </c>
      <c r="W32" s="2252"/>
      <c r="X32" s="2252"/>
      <c r="Y32" s="2252"/>
      <c r="Z32" s="2252"/>
      <c r="AA32" s="2252"/>
      <c r="AB32" s="2252"/>
      <c r="AC32" s="1636"/>
      <c r="AD32" s="2252" t="str">
        <f>IF(TITLE_IST_PUB_CHANGE="",IF(TITLE_IST_PUB="","",TITLE_IST_PUB),TITLE_IST_PUB_CHANGE)</f>
        <v>Официальный интернет портал правовой информации http://pravo.gov.ru </v>
      </c>
      <c r="AE32" s="2252"/>
      <c r="AF32" s="2252"/>
      <c r="AG32" s="2252"/>
      <c r="AH32" s="2252"/>
      <c r="AI32" s="2252"/>
      <c r="AJ32" s="2252"/>
      <c r="AK32" s="1636"/>
      <c r="AL32" s="1636"/>
      <c r="AM32" s="281"/>
      <c r="AN32" s="369"/>
      <c r="AO32" s="369"/>
      <c r="AP32" s="369"/>
      <c r="AQ32" s="369"/>
      <c r="AR32" s="369"/>
      <c r="AS32" s="419">
        <v>0</v>
      </c>
    </row>
    <row customHeight="1" ht="14.25" hidden="1">
      <c r="Q33" s="377"/>
      <c r="R33" s="377"/>
      <c r="S33" s="1276"/>
      <c r="T33" s="458"/>
      <c r="U33" s="458"/>
      <c r="V33" s="323"/>
      <c r="W33" s="323"/>
      <c r="X33" s="323"/>
      <c r="Y33" s="323"/>
      <c r="Z33" s="323"/>
      <c r="AA33" s="323"/>
      <c r="AB33" s="323"/>
      <c r="AC33" s="323"/>
      <c r="AD33" s="323"/>
      <c r="AE33" s="323"/>
      <c r="AF33" s="323"/>
      <c r="AG33" s="323"/>
      <c r="AH33" s="323"/>
      <c r="AI33" s="323"/>
      <c r="AJ33" s="323"/>
      <c r="AK33" s="323"/>
      <c r="AL33" s="1636"/>
      <c r="AS33" s="1632">
        <v>0</v>
      </c>
    </row>
    <row s="1854" customFormat="1" customHeight="1" ht="18.75" hidden="1">
      <c r="A34" s="1249"/>
      <c r="B34" s="1249"/>
      <c r="C34" s="1249"/>
      <c r="D34" s="1249"/>
      <c r="E34" s="1249"/>
      <c r="F34" s="1249"/>
      <c r="G34" s="1249"/>
      <c r="H34" s="1249"/>
      <c r="I34" s="1249"/>
      <c r="J34" s="1249"/>
      <c r="K34" s="1249"/>
      <c r="L34" s="1381"/>
      <c r="M34" s="1249"/>
      <c r="N34" s="1249"/>
      <c r="O34" s="1249"/>
      <c r="S34" s="2251" t="s">
        <v>435</v>
      </c>
      <c r="T34" s="2251"/>
      <c r="U34" s="1373"/>
      <c r="V34" s="2265" t="str">
        <f>IF(TITLE_DATE_PR_CHANGE="",IF(TITLE_DATE_PR="","",TITLE_DATE_PR),TITLE_DATE_PR_CHANGE)</f>
        <v>45642</v>
      </c>
      <c r="W34" s="2265"/>
      <c r="X34" s="2265"/>
      <c r="Y34" s="2265"/>
      <c r="Z34" s="2265"/>
      <c r="AA34" s="2265"/>
      <c r="AB34" s="2265"/>
      <c r="AC34" s="1636"/>
      <c r="AD34" s="2265" t="str">
        <f>IF(TITLE_DATE_PR_CHANGE="",IF(TITLE_DATE_PR="","",TITLE_DATE_PR),TITLE_DATE_PR_CHANGE)</f>
        <v>45642</v>
      </c>
      <c r="AE34" s="2265"/>
      <c r="AF34" s="2265"/>
      <c r="AG34" s="2265"/>
      <c r="AH34" s="2265"/>
      <c r="AI34" s="2265"/>
      <c r="AJ34" s="2265"/>
      <c r="AK34" s="1636"/>
      <c r="AL34" s="1636"/>
      <c r="AM34" s="281"/>
      <c r="AN34" s="369"/>
      <c r="AO34" s="369"/>
      <c r="AP34" s="369"/>
      <c r="AQ34" s="369"/>
      <c r="AR34" s="369"/>
      <c r="AS34" s="419">
        <v>0</v>
      </c>
    </row>
    <row s="1854" customFormat="1" customHeight="1" ht="18.75" hidden="1">
      <c r="A35" s="1249"/>
      <c r="B35" s="1249"/>
      <c r="C35" s="1249"/>
      <c r="D35" s="1249"/>
      <c r="E35" s="1249"/>
      <c r="F35" s="1249"/>
      <c r="G35" s="1249"/>
      <c r="H35" s="1249"/>
      <c r="I35" s="1249"/>
      <c r="J35" s="1249"/>
      <c r="K35" s="1249"/>
      <c r="L35" s="1381"/>
      <c r="M35" s="1249"/>
      <c r="N35" s="1249"/>
      <c r="O35" s="1249"/>
      <c r="S35" s="2251" t="s">
        <v>436</v>
      </c>
      <c r="T35" s="2251"/>
      <c r="U35" s="1373"/>
      <c r="V35" s="2252" t="str">
        <f>IF(TITLE_NUMBER_PR_CHANGE="",IF(TITLE_NUMBER_PR="","",TITLE_NUMBER_PR),TITLE_NUMBER_PR_CHANGE)</f>
        <v>58</v>
      </c>
      <c r="W35" s="2252"/>
      <c r="X35" s="2252"/>
      <c r="Y35" s="2252"/>
      <c r="Z35" s="2252"/>
      <c r="AA35" s="2252"/>
      <c r="AB35" s="2252"/>
      <c r="AC35" s="1636"/>
      <c r="AD35" s="2252" t="str">
        <f>IF(TITLE_NUMBER_PR_CHANGE="",IF(TITLE_NUMBER_PR="","",TITLE_NUMBER_PR),TITLE_NUMBER_PR_CHANGE)</f>
        <v>58</v>
      </c>
      <c r="AE35" s="2252"/>
      <c r="AF35" s="2252"/>
      <c r="AG35" s="2252"/>
      <c r="AH35" s="2252"/>
      <c r="AI35" s="2252"/>
      <c r="AJ35" s="2252"/>
      <c r="AK35" s="1636"/>
      <c r="AL35" s="1636"/>
      <c r="AM35" s="281"/>
      <c r="AN35" s="369"/>
      <c r="AO35" s="369"/>
      <c r="AP35" s="369"/>
      <c r="AQ35" s="369"/>
      <c r="AR35" s="369"/>
      <c r="AS35" s="419">
        <v>0</v>
      </c>
    </row>
    <row s="1854" customFormat="1" customHeight="1" ht="0">
      <c r="A36" s="1249"/>
      <c r="B36" s="1249"/>
      <c r="C36" s="1249"/>
      <c r="D36" s="1249"/>
      <c r="E36" s="1249"/>
      <c r="F36" s="1249"/>
      <c r="G36" s="1249"/>
      <c r="H36" s="1249"/>
      <c r="I36" s="1249"/>
      <c r="J36" s="1249"/>
      <c r="K36" s="1249"/>
      <c r="L36" s="1381"/>
      <c r="M36" s="1249"/>
      <c r="N36" s="1249"/>
      <c r="O36" s="1249"/>
      <c r="S36" s="1636"/>
      <c r="T36" s="1636"/>
      <c r="U36" s="1971"/>
      <c r="V36" s="1636"/>
      <c r="W36" s="1636"/>
      <c r="X36" s="1636"/>
      <c r="Y36" s="1636"/>
      <c r="Z36" s="1636"/>
      <c r="AA36" s="1636"/>
      <c r="AB36" s="1636"/>
      <c r="AC36" s="1643" t="s">
        <v>437</v>
      </c>
      <c r="AD36" s="1636"/>
      <c r="AE36" s="1636"/>
      <c r="AF36" s="1636"/>
      <c r="AG36" s="1636"/>
      <c r="AH36" s="1636"/>
      <c r="AI36" s="1636"/>
      <c r="AJ36" s="1636"/>
      <c r="AK36" s="1643" t="s">
        <v>437</v>
      </c>
      <c r="AN36" s="369"/>
      <c r="AO36" s="369"/>
      <c r="AP36" s="369"/>
      <c r="AQ36" s="369"/>
      <c r="AR36" s="369"/>
      <c r="AS36" s="419">
        <v>0</v>
      </c>
    </row>
    <row customHeight="1" ht="14.699999999999998">
      <c r="Q37" s="377"/>
      <c r="R37" s="377"/>
      <c r="S37" s="1276"/>
      <c r="T37" s="458"/>
      <c r="U37" s="1245"/>
      <c r="V37" s="2253"/>
      <c r="W37" s="2253"/>
      <c r="X37" s="2253"/>
      <c r="Y37" s="2253"/>
      <c r="Z37" s="2253"/>
      <c r="AA37" s="2253"/>
      <c r="AB37" s="2253"/>
      <c r="AC37" s="2253"/>
      <c r="AD37" s="2253"/>
      <c r="AE37" s="2253"/>
      <c r="AF37" s="2253"/>
      <c r="AG37" s="2253"/>
      <c r="AH37" s="2253"/>
      <c r="AI37" s="2253"/>
      <c r="AJ37" s="2253"/>
      <c r="AK37" s="2253"/>
      <c r="AS37" s="1632">
        <v>14</v>
      </c>
    </row>
    <row customHeight="1" ht="14.699999999999998">
      <c r="Q38" s="377"/>
      <c r="R38" s="377"/>
      <c r="S38" s="2128" t="s">
        <v>312</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313</v>
      </c>
      <c r="AS38" s="1632">
        <v>14</v>
      </c>
    </row>
    <row customHeight="1" ht="14.699999999999998">
      <c r="Q39" s="377"/>
      <c r="R39" s="377"/>
      <c r="S39" s="2274" t="s">
        <v>90</v>
      </c>
      <c r="T39" s="2210" t="s">
        <v>438</v>
      </c>
      <c r="U39" s="338"/>
      <c r="V39" s="2275" t="s">
        <v>439</v>
      </c>
      <c r="W39" s="2276"/>
      <c r="X39" s="2276"/>
      <c r="Y39" s="2276"/>
      <c r="Z39" s="2276"/>
      <c r="AA39" s="2276"/>
      <c r="AB39" s="2277"/>
      <c r="AC39" s="2278" t="s">
        <v>440</v>
      </c>
      <c r="AD39" s="2275" t="s">
        <v>439</v>
      </c>
      <c r="AE39" s="2276"/>
      <c r="AF39" s="2276"/>
      <c r="AG39" s="2276"/>
      <c r="AH39" s="2276"/>
      <c r="AI39" s="2276"/>
      <c r="AJ39" s="2277"/>
      <c r="AK39" s="2278" t="s">
        <v>441</v>
      </c>
      <c r="AL39" s="2281" t="s">
        <v>442</v>
      </c>
      <c r="AM39" s="2128"/>
      <c r="AS39" s="1632">
        <v>14</v>
      </c>
    </row>
    <row customHeight="1" ht="35.699999999999996">
      <c r="Q40" s="377"/>
      <c r="R40" s="377"/>
      <c r="S40" s="2274"/>
      <c r="T40" s="2210"/>
      <c r="U40" s="1032"/>
      <c r="V40" s="2261" t="s">
        <v>443</v>
      </c>
      <c r="W40" s="2284" t="s">
        <v>444</v>
      </c>
      <c r="X40" s="2263" t="s">
        <v>445</v>
      </c>
      <c r="Y40" s="2264"/>
      <c r="Z40" s="2263" t="s">
        <v>458</v>
      </c>
      <c r="AA40" s="2270"/>
      <c r="AB40" s="2264"/>
      <c r="AC40" s="2279"/>
      <c r="AD40" s="2261" t="s">
        <v>443</v>
      </c>
      <c r="AE40" s="2284" t="s">
        <v>444</v>
      </c>
      <c r="AF40" s="2263" t="s">
        <v>445</v>
      </c>
      <c r="AG40" s="2264"/>
      <c r="AH40" s="2263" t="s">
        <v>446</v>
      </c>
      <c r="AI40" s="2270"/>
      <c r="AJ40" s="2264"/>
      <c r="AK40" s="2279"/>
      <c r="AL40" s="2282"/>
      <c r="AM40" s="2128"/>
      <c r="AS40" s="1632">
        <v>34</v>
      </c>
    </row>
    <row customHeight="1" ht="35.699999999999996">
      <c r="A41" s="1267"/>
      <c r="B41" s="1267" t="s">
        <v>138</v>
      </c>
      <c r="C41" s="1267" t="s">
        <v>139</v>
      </c>
      <c r="D41" s="1267" t="s">
        <v>140</v>
      </c>
      <c r="E41" s="1311" t="s">
        <v>447</v>
      </c>
      <c r="F41" s="1311" t="s">
        <v>448</v>
      </c>
      <c r="G41" s="1311" t="s">
        <v>449</v>
      </c>
      <c r="H41" s="1311" t="s">
        <v>450</v>
      </c>
      <c r="I41" s="1311" t="s">
        <v>451</v>
      </c>
      <c r="J41" s="1311" t="s">
        <v>452</v>
      </c>
      <c r="K41" s="1311" t="s">
        <v>453</v>
      </c>
      <c r="L41" s="1311" t="s">
        <v>428</v>
      </c>
      <c r="Q41" s="377"/>
      <c r="R41" s="377"/>
      <c r="S41" s="2274"/>
      <c r="T41" s="2210"/>
      <c r="U41" s="303"/>
      <c r="V41" s="2262"/>
      <c r="W41" s="2285"/>
      <c r="X41" s="1939" t="s">
        <v>454</v>
      </c>
      <c r="Y41" s="1939" t="s">
        <v>455</v>
      </c>
      <c r="Z41" s="1939" t="s">
        <v>456</v>
      </c>
      <c r="AA41" s="2271" t="s">
        <v>457</v>
      </c>
      <c r="AB41" s="2272"/>
      <c r="AC41" s="2280"/>
      <c r="AD41" s="2262"/>
      <c r="AE41" s="2285"/>
      <c r="AF41" s="1939" t="s">
        <v>454</v>
      </c>
      <c r="AG41" s="1939" t="s">
        <v>455</v>
      </c>
      <c r="AH41" s="1939" t="s">
        <v>456</v>
      </c>
      <c r="AI41" s="2271" t="s">
        <v>457</v>
      </c>
      <c r="AJ41" s="2272"/>
      <c r="AK41" s="2280"/>
      <c r="AL41" s="2283"/>
      <c r="AM41" s="2128"/>
      <c r="AS41" s="1632">
        <v>34</v>
      </c>
    </row>
    <row s="1642" customFormat="1" customHeight="1" ht="11.25" hidden="1">
      <c r="A42" s="1267"/>
      <c r="B42" s="1267"/>
      <c r="C42" s="1267"/>
      <c r="D42" s="1267"/>
      <c r="E42" s="1267"/>
      <c r="F42" s="1267"/>
      <c r="G42" s="1267"/>
      <c r="H42" s="1267"/>
      <c r="I42" s="1267"/>
      <c r="J42" s="1267"/>
      <c r="K42" s="1267"/>
      <c r="L42" s="1311"/>
      <c r="M42" s="1966"/>
      <c r="N42" s="1966"/>
      <c r="O42" s="1966"/>
      <c r="P42" s="1247"/>
      <c r="Q42" s="1248"/>
      <c r="R42" s="1255">
        <v>1</v>
      </c>
      <c r="S42" s="1278" t="s">
        <v>112</v>
      </c>
      <c r="T42" s="1256" t="s">
        <v>113</v>
      </c>
      <c r="U42" s="1246" t="str">
        <f>OFFSET(U42,0,-1)</f>
        <v>2</v>
      </c>
      <c r="V42" s="1957">
        <f>OFFSET(V42,0,-1)+1</f>
        <v>3</v>
      </c>
      <c r="W42" s="1957"/>
      <c r="X42" s="1957">
        <f>OFFSET(X42,0,-1)+1</f>
        <v>1</v>
      </c>
      <c r="Y42" s="1957">
        <f>OFFSET(Y42,0,-1)+1</f>
        <v>2</v>
      </c>
      <c r="Z42" s="1957">
        <f>OFFSET(Z42,0,-1)+1</f>
        <v>3</v>
      </c>
      <c r="AA42" s="2273">
        <f>OFFSET(AA42,0,-1)+1</f>
        <v>4</v>
      </c>
      <c r="AB42" s="2273"/>
      <c r="AC42" s="1957">
        <f>OFFSET(AC42,0,-2)+1</f>
        <v>5</v>
      </c>
      <c r="AD42" s="1957">
        <f>OFFSET(AD42,0,-1)+1</f>
        <v>6</v>
      </c>
      <c r="AE42" s="1957"/>
      <c r="AF42" s="1957">
        <f>OFFSET(AF42,0,-1)+1</f>
        <v>1</v>
      </c>
      <c r="AG42" s="1957">
        <f>OFFSET(AG42,0,-1)+1</f>
        <v>2</v>
      </c>
      <c r="AH42" s="1957">
        <f>OFFSET(AH42,0,-1)+1</f>
        <v>3</v>
      </c>
      <c r="AI42" s="2273">
        <f>OFFSET(AI42,0,-1)+1</f>
        <v>4</v>
      </c>
      <c r="AJ42" s="2273"/>
      <c r="AK42" s="1957">
        <f>OFFSET(AK42,0,-2)+1</f>
        <v>5</v>
      </c>
      <c r="AL42" s="1246">
        <f>OFFSET(AL42,0,-1)</f>
        <v>5</v>
      </c>
      <c r="AM42" s="1957">
        <f>OFFSET(AM42,0,-1)+1</f>
        <v>6</v>
      </c>
      <c r="AN42" s="1637"/>
      <c r="AO42" s="1637"/>
      <c r="AP42" s="1637"/>
      <c r="AQ42" s="1637"/>
      <c r="AR42" s="1637"/>
      <c r="AS42" s="1642">
        <v>0</v>
      </c>
    </row>
    <row customHeight="1" ht="22.049999999999997">
      <c r="A43" s="1268" t="s">
        <v>213</v>
      </c>
      <c r="B43" s="1268"/>
      <c r="C43" s="1268"/>
      <c r="D43" s="1268"/>
      <c r="E43" s="2290">
        <v>1</v>
      </c>
      <c r="F43" s="1268"/>
      <c r="G43" s="1268"/>
      <c r="H43" s="1268"/>
      <c r="I43" s="1268"/>
      <c r="J43" s="1268"/>
      <c r="K43" s="1268"/>
      <c r="L43" s="1311"/>
      <c r="M43" s="1611"/>
      <c r="N43" s="1611"/>
      <c r="O43" s="1611"/>
      <c r="P43" s="1591"/>
      <c r="Q43" s="361"/>
      <c r="R43" s="356"/>
      <c r="S43" s="1959">
        <f>INDEX(PT_DIFFERENTIATION_NUM_NTAR,MATCH(A43,PT_DIFFERENTIATION_NTAR_ID,0))</f>
        <v>0</v>
      </c>
      <c r="T43" s="1526" t="s">
        <v>126</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1625"/>
      <c r="AP43" s="1625" t="str">
        <f>IF(T43="","",T43)</f>
        <v>Наименование тарифа</v>
      </c>
      <c r="AQ43" s="1625"/>
      <c r="AR43" s="1625"/>
      <c r="AS43" s="1632">
        <v>21</v>
      </c>
    </row>
    <row customHeight="1" ht="22.049999999999997">
      <c r="A44" s="1268" t="s">
        <v>213</v>
      </c>
      <c r="B44" s="1268" t="s">
        <v>214</v>
      </c>
      <c r="C44" s="1268"/>
      <c r="D44" s="1268"/>
      <c r="E44" s="2291"/>
      <c r="F44" s="2290">
        <v>1</v>
      </c>
      <c r="G44" s="1268"/>
      <c r="H44" s="1268"/>
      <c r="I44" s="1268"/>
      <c r="J44" s="1268"/>
      <c r="K44" s="1268"/>
      <c r="L44" s="1311"/>
      <c r="M44" s="1611"/>
      <c r="N44" s="1611"/>
      <c r="O44" s="1611"/>
      <c r="P44" s="1941"/>
      <c r="Q44" s="353"/>
      <c r="R44" s="354"/>
      <c r="S44" s="1959" t="str">
        <f>INDEX(PT_DIFFERENTIATION_NUM_TER,MATCH(B44,PT_DIFFERENTIATION_TER_ID,0))</f>
        <v>.</v>
      </c>
      <c r="T44" s="1523" t="s">
        <v>409</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410</v>
      </c>
      <c r="AO44" s="1625"/>
      <c r="AP44" s="1625" t="str">
        <f>IF(T44="","",T44)</f>
        <v>Территория действия тарифа</v>
      </c>
      <c r="AQ44" s="1625"/>
      <c r="AR44" s="1625"/>
      <c r="AS44" s="1632">
        <v>21</v>
      </c>
    </row>
    <row customHeight="1" ht="24">
      <c r="A45" s="1268" t="s">
        <v>213</v>
      </c>
      <c r="B45" s="1268" t="s">
        <v>214</v>
      </c>
      <c r="C45" s="1268" t="s">
        <v>215</v>
      </c>
      <c r="D45" s="1268"/>
      <c r="E45" s="2291"/>
      <c r="F45" s="2291"/>
      <c r="G45" s="2290">
        <v>1</v>
      </c>
      <c r="H45" s="1268"/>
      <c r="I45" s="1268"/>
      <c r="J45" s="1268"/>
      <c r="K45" s="1268"/>
      <c r="L45" s="1311"/>
      <c r="M45" s="1611"/>
      <c r="N45" s="1611"/>
      <c r="O45" s="1611"/>
      <c r="P45" s="355"/>
      <c r="Q45" s="353"/>
      <c r="R45" s="354"/>
      <c r="S45" s="1959" t="str">
        <f>INDEX(PT_DIFFERENTIATION_NUM_CS,MATCH(C45,PT_DIFFERENTIATION_CS_ID,0))</f>
        <v>..</v>
      </c>
      <c r="T45" s="310" t="s">
        <v>411</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412</v>
      </c>
      <c r="AO45" s="1625"/>
      <c r="AP45" s="1625" t="str">
        <f>IF(T45="","",T45)</f>
        <v>Наименование системы теплоснабжения </v>
      </c>
      <c r="AQ45" s="1625"/>
      <c r="AR45" s="1625"/>
      <c r="AS45" s="1632">
        <v>23</v>
      </c>
    </row>
    <row customHeight="1" ht="22.049999999999997">
      <c r="A46" s="1268" t="s">
        <v>213</v>
      </c>
      <c r="B46" s="1268" t="s">
        <v>214</v>
      </c>
      <c r="C46" s="1268" t="s">
        <v>215</v>
      </c>
      <c r="D46" s="1268" t="s">
        <v>216</v>
      </c>
      <c r="E46" s="2291"/>
      <c r="F46" s="2291"/>
      <c r="G46" s="2291"/>
      <c r="H46" s="2290">
        <v>1</v>
      </c>
      <c r="I46" s="1268"/>
      <c r="J46" s="1268"/>
      <c r="K46" s="1268"/>
      <c r="L46" s="1311"/>
      <c r="M46" s="1611"/>
      <c r="N46" s="1611"/>
      <c r="O46" s="1611"/>
      <c r="P46" s="355"/>
      <c r="Q46" s="353"/>
      <c r="R46" s="354"/>
      <c r="S46" s="1959" t="str">
        <f>INDEX(PT_DIFFERENTIATION_NUM_IST_TE,MATCH(D46,PT_DIFFERENTIATION_IST_TE_ID,0))</f>
        <v>...</v>
      </c>
      <c r="T46" s="311" t="s">
        <v>413</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414</v>
      </c>
      <c r="AO46" s="1625"/>
      <c r="AP46" s="1625" t="str">
        <f>IF(T46="","",T46)</f>
        <v>Источник тепловой энергии  </v>
      </c>
      <c r="AQ46" s="1625"/>
      <c r="AR46" s="1625"/>
      <c r="AS46" s="1632">
        <v>21</v>
      </c>
    </row>
    <row customHeight="1" ht="49.5">
      <c r="A47" s="1268" t="s">
        <v>213</v>
      </c>
      <c r="B47" s="1268" t="s">
        <v>214</v>
      </c>
      <c r="C47" s="1268" t="s">
        <v>215</v>
      </c>
      <c r="D47" s="1268" t="s">
        <v>216</v>
      </c>
      <c r="E47" s="2291"/>
      <c r="F47" s="2291"/>
      <c r="G47" s="2291"/>
      <c r="H47" s="2291"/>
      <c r="I47" s="2128" t="str">
        <f>S46&amp;".1"</f>
        <v>....1</v>
      </c>
      <c r="J47" s="1268"/>
      <c r="K47" s="1268"/>
      <c r="L47" s="1311" t="s">
        <v>415</v>
      </c>
      <c r="P47" s="2258">
        <v>1</v>
      </c>
      <c r="Q47" s="1955"/>
      <c r="R47" s="357"/>
      <c r="S47" s="1959" t="str">
        <f>$I47</f>
        <v>....1</v>
      </c>
      <c r="T47" s="286" t="s">
        <v>416</v>
      </c>
      <c r="U47" s="301"/>
      <c r="V47" s="2246"/>
      <c r="W47" s="2247"/>
      <c r="X47" s="2247"/>
      <c r="Y47" s="2247"/>
      <c r="Z47" s="2247"/>
      <c r="AA47" s="2247"/>
      <c r="AB47" s="2247"/>
      <c r="AC47" s="2248"/>
      <c r="AD47" s="2246"/>
      <c r="AE47" s="2247"/>
      <c r="AF47" s="2247"/>
      <c r="AG47" s="2247"/>
      <c r="AH47" s="2247"/>
      <c r="AI47" s="2247"/>
      <c r="AJ47" s="2247"/>
      <c r="AK47" s="2247"/>
      <c r="AL47" s="2248"/>
      <c r="AM47" s="1259" t="s">
        <v>417</v>
      </c>
      <c r="AO47" s="1625"/>
      <c r="AP47" s="1625" t="str">
        <f>IF(T47="","",T47)</f>
        <v>Схема подключения теплопотребляющей установки к коллектору источника тепловой энергии</v>
      </c>
      <c r="AQ47" s="1625"/>
      <c r="AR47" s="1625"/>
      <c r="AS47" s="1632">
        <v>47</v>
      </c>
    </row>
    <row customHeight="1" ht="22.049999999999997">
      <c r="A48" s="1268" t="s">
        <v>213</v>
      </c>
      <c r="B48" s="1268" t="s">
        <v>214</v>
      </c>
      <c r="C48" s="1268" t="s">
        <v>215</v>
      </c>
      <c r="D48" s="1268" t="s">
        <v>216</v>
      </c>
      <c r="E48" s="2291"/>
      <c r="F48" s="2291"/>
      <c r="G48" s="2291"/>
      <c r="H48" s="2291"/>
      <c r="I48" s="2102"/>
      <c r="J48" s="2128" t="str">
        <f>I47&amp;".1"</f>
        <v>....1.1</v>
      </c>
      <c r="K48" s="1268"/>
      <c r="L48" s="1311" t="s">
        <v>418</v>
      </c>
      <c r="P48" s="2258"/>
      <c r="Q48" s="2258">
        <v>1</v>
      </c>
      <c r="R48" s="358"/>
      <c r="S48" s="1959" t="str">
        <f>$J48</f>
        <v>....1.1</v>
      </c>
      <c r="T48" s="287" t="s">
        <v>419</v>
      </c>
      <c r="U48" s="301"/>
      <c r="V48" s="2246"/>
      <c r="W48" s="2247"/>
      <c r="X48" s="2247"/>
      <c r="Y48" s="2247"/>
      <c r="Z48" s="2247"/>
      <c r="AA48" s="2247"/>
      <c r="AB48" s="2247"/>
      <c r="AC48" s="2248"/>
      <c r="AD48" s="2246"/>
      <c r="AE48" s="2247"/>
      <c r="AF48" s="2247"/>
      <c r="AG48" s="2247"/>
      <c r="AH48" s="2247"/>
      <c r="AI48" s="2247"/>
      <c r="AJ48" s="2247"/>
      <c r="AK48" s="2247"/>
      <c r="AL48" s="2248"/>
      <c r="AM48" s="1259" t="s">
        <v>420</v>
      </c>
      <c r="AO48" s="1625"/>
      <c r="AP48" s="1625" t="str">
        <f>IF(T48="","",T48)</f>
        <v>Группа потребителей</v>
      </c>
      <c r="AQ48" s="1625"/>
      <c r="AR48" s="1625"/>
      <c r="AS48" s="1632">
        <v>21</v>
      </c>
    </row>
    <row customHeight="1" ht="22.049999999999997">
      <c r="A49" s="1268" t="s">
        <v>213</v>
      </c>
      <c r="B49" s="1268" t="s">
        <v>214</v>
      </c>
      <c r="C49" s="1268" t="s">
        <v>215</v>
      </c>
      <c r="D49" s="1268" t="s">
        <v>216</v>
      </c>
      <c r="E49" s="2291"/>
      <c r="F49" s="2291"/>
      <c r="G49" s="2291"/>
      <c r="H49" s="2291"/>
      <c r="I49" s="2102"/>
      <c r="J49" s="2102"/>
      <c r="K49" s="2128" t="str">
        <f>J48&amp;".1"</f>
        <v>....1.1.1</v>
      </c>
      <c r="L49" s="1311" t="s">
        <v>421</v>
      </c>
      <c r="P49" s="2258"/>
      <c r="Q49" s="2258"/>
      <c r="R49" s="358">
        <v>1</v>
      </c>
      <c r="S49" s="1959" t="str">
        <f>$K49</f>
        <v>....1.1.1</v>
      </c>
      <c r="T49" s="1348"/>
      <c r="U49" s="301"/>
      <c r="V49" s="752"/>
      <c r="W49" s="326"/>
      <c r="X49" s="752"/>
      <c r="Y49" s="1258"/>
      <c r="Z49" s="2266"/>
      <c r="AA49" s="2108" t="s">
        <v>63</v>
      </c>
      <c r="AB49" s="2266"/>
      <c r="AC49" s="2108" t="s">
        <v>63</v>
      </c>
      <c r="AD49" s="752"/>
      <c r="AE49" s="326"/>
      <c r="AF49" s="752"/>
      <c r="AG49" s="1258"/>
      <c r="AH49" s="2266"/>
      <c r="AI49" s="2108" t="s">
        <v>63</v>
      </c>
      <c r="AJ49" s="2288"/>
      <c r="AK49" s="2108" t="s">
        <v>63</v>
      </c>
      <c r="AL49" s="1349"/>
      <c r="AM49" s="2254" t="s">
        <v>422</v>
      </c>
      <c r="AN49" s="1637">
        <f>STRCHECKDATE(V50:AL50)</f>
      </c>
      <c r="AO49" s="1625"/>
      <c r="AP49" s="1625" t="str">
        <f>IF(T49="","",T49)</f>
        <v/>
      </c>
      <c r="AQ49" s="1625"/>
      <c r="AR49" s="1625"/>
      <c r="AS49" s="1632">
        <v>21</v>
      </c>
    </row>
    <row customHeight="1" ht="1.05">
      <c r="A50" s="1268" t="s">
        <v>213</v>
      </c>
      <c r="B50" s="1268" t="s">
        <v>214</v>
      </c>
      <c r="C50" s="1268" t="s">
        <v>215</v>
      </c>
      <c r="D50" s="1268" t="s">
        <v>216</v>
      </c>
      <c r="E50" s="2291"/>
      <c r="F50" s="2291"/>
      <c r="G50" s="2291"/>
      <c r="H50" s="2291"/>
      <c r="I50" s="2102"/>
      <c r="J50" s="2102"/>
      <c r="K50" s="2128"/>
      <c r="L50" s="1311"/>
      <c r="P50" s="2258"/>
      <c r="Q50" s="2258"/>
      <c r="R50" s="358"/>
      <c r="S50" s="1968"/>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1625"/>
      <c r="AP50" s="1625" t="str">
        <f>IF(T50="","",T50)</f>
        <v/>
      </c>
      <c r="AQ50" s="1625"/>
      <c r="AR50" s="1625"/>
      <c r="AS50" s="1632">
        <v>1</v>
      </c>
    </row>
    <row customHeight="1" ht="11.549999999999999">
      <c r="A51" s="1268" t="s">
        <v>213</v>
      </c>
      <c r="B51" s="1268" t="s">
        <v>214</v>
      </c>
      <c r="C51" s="1268" t="s">
        <v>215</v>
      </c>
      <c r="D51" s="1268" t="s">
        <v>216</v>
      </c>
      <c r="E51" s="2291"/>
      <c r="F51" s="2291"/>
      <c r="G51" s="2291"/>
      <c r="H51" s="2291"/>
      <c r="I51" s="2102"/>
      <c r="J51" s="2128"/>
      <c r="K51" s="1268"/>
      <c r="L51" s="1311"/>
      <c r="P51" s="2258"/>
      <c r="Q51" s="2258"/>
      <c r="R51" s="357"/>
      <c r="S51" s="1279"/>
      <c r="T51" s="289" t="s">
        <v>423</v>
      </c>
      <c r="U51" s="601"/>
      <c r="V51" s="601"/>
      <c r="W51" s="601"/>
      <c r="X51" s="601"/>
      <c r="Y51" s="601"/>
      <c r="Z51" s="601"/>
      <c r="AA51" s="601"/>
      <c r="AB51" s="601"/>
      <c r="AC51" s="601"/>
      <c r="AD51" s="601"/>
      <c r="AE51" s="601"/>
      <c r="AF51" s="601"/>
      <c r="AG51" s="601"/>
      <c r="AH51" s="601"/>
      <c r="AI51" s="601"/>
      <c r="AJ51" s="601"/>
      <c r="AK51" s="601"/>
      <c r="AL51" s="325"/>
      <c r="AM51" s="2256"/>
      <c r="AO51" s="1625"/>
      <c r="AP51" s="1625" t="str">
        <f>IF(T51="","",T51)</f>
        <v>Добавить вид теплоносителя (параметры теплоносителя)</v>
      </c>
      <c r="AQ51" s="1625"/>
      <c r="AR51" s="1625"/>
      <c r="AS51" s="1632">
        <v>11</v>
      </c>
    </row>
    <row customHeight="1" ht="11.549999999999999">
      <c r="A52" s="1268" t="s">
        <v>213</v>
      </c>
      <c r="B52" s="1268" t="s">
        <v>214</v>
      </c>
      <c r="C52" s="1268" t="s">
        <v>215</v>
      </c>
      <c r="D52" s="1268" t="s">
        <v>216</v>
      </c>
      <c r="E52" s="2291"/>
      <c r="F52" s="2291"/>
      <c r="G52" s="2291"/>
      <c r="H52" s="2291"/>
      <c r="I52" s="2128"/>
      <c r="J52" s="1268"/>
      <c r="K52" s="1268"/>
      <c r="L52" s="1311"/>
      <c r="P52" s="2258"/>
      <c r="Q52" s="1955"/>
      <c r="R52" s="357"/>
      <c r="S52" s="1279"/>
      <c r="T52" s="288" t="s">
        <v>424</v>
      </c>
      <c r="U52" s="601"/>
      <c r="V52" s="601"/>
      <c r="W52" s="601"/>
      <c r="X52" s="601"/>
      <c r="Y52" s="601"/>
      <c r="Z52" s="601"/>
      <c r="AA52" s="601"/>
      <c r="AB52" s="601"/>
      <c r="AC52" s="367"/>
      <c r="AD52" s="601"/>
      <c r="AE52" s="601"/>
      <c r="AF52" s="601"/>
      <c r="AG52" s="601"/>
      <c r="AH52" s="601"/>
      <c r="AI52" s="601"/>
      <c r="AJ52" s="601"/>
      <c r="AK52" s="367"/>
      <c r="AL52" s="601"/>
      <c r="AM52" s="304"/>
      <c r="AO52" s="1625"/>
      <c r="AP52" s="1625" t="str">
        <f>IF(T52="","",T52)</f>
        <v>Добавить группу потребителей</v>
      </c>
      <c r="AQ52" s="1625"/>
      <c r="AR52" s="1625"/>
      <c r="AS52" s="1632">
        <v>11</v>
      </c>
    </row>
    <row customHeight="1" ht="14.699999999999998">
      <c r="A53" s="1268" t="s">
        <v>213</v>
      </c>
      <c r="B53" s="1268" t="s">
        <v>214</v>
      </c>
      <c r="C53" s="1268" t="s">
        <v>215</v>
      </c>
      <c r="D53" s="1268" t="s">
        <v>216</v>
      </c>
      <c r="E53" s="2291"/>
      <c r="F53" s="2291"/>
      <c r="G53" s="2291"/>
      <c r="H53" s="2290"/>
      <c r="I53" s="1268"/>
      <c r="J53" s="1268"/>
      <c r="K53" s="1268"/>
      <c r="L53" s="1311"/>
      <c r="M53" s="1611"/>
      <c r="N53" s="1611"/>
      <c r="O53" s="1636"/>
      <c r="P53" s="361"/>
      <c r="Q53" s="376"/>
      <c r="R53" s="356"/>
      <c r="S53" s="1279"/>
      <c r="T53" s="366" t="s">
        <v>425</v>
      </c>
      <c r="U53" s="601"/>
      <c r="V53" s="601"/>
      <c r="W53" s="601"/>
      <c r="X53" s="601"/>
      <c r="Y53" s="601"/>
      <c r="Z53" s="601"/>
      <c r="AA53" s="601"/>
      <c r="AB53" s="601"/>
      <c r="AC53" s="367"/>
      <c r="AD53" s="601"/>
      <c r="AE53" s="601"/>
      <c r="AF53" s="601"/>
      <c r="AG53" s="601"/>
      <c r="AH53" s="601"/>
      <c r="AI53" s="601"/>
      <c r="AJ53" s="601"/>
      <c r="AK53" s="367"/>
      <c r="AL53" s="601"/>
      <c r="AM53" s="304"/>
      <c r="AO53" s="1625"/>
      <c r="AP53" s="1625" t="str">
        <f>IF(T53="","",T53)</f>
        <v>Добавить схему подключения</v>
      </c>
      <c r="AQ53" s="1625"/>
      <c r="AR53" s="1625"/>
      <c r="AS53" s="1632">
        <v>14</v>
      </c>
    </row>
    <row s="1643" customFormat="1" customHeight="1" ht="1.05">
      <c r="A54" s="1268" t="s">
        <v>213</v>
      </c>
      <c r="B54" s="1268" t="s">
        <v>214</v>
      </c>
      <c r="C54" s="1268" t="s">
        <v>215</v>
      </c>
      <c r="D54" s="1975"/>
      <c r="E54" s="2291"/>
      <c r="F54" s="2291"/>
      <c r="G54" s="2290"/>
      <c r="H54" s="1975"/>
      <c r="I54" s="1975"/>
      <c r="J54" s="1975"/>
      <c r="K54" s="1975"/>
      <c r="L54" s="1381"/>
      <c r="M54" s="1611"/>
      <c r="N54" s="1611"/>
      <c r="O54" s="1636"/>
      <c r="P54" s="1317"/>
      <c r="Q54" s="1318"/>
      <c r="R54" s="1317"/>
      <c r="S54" s="1323"/>
      <c r="T54" s="1326" t="s">
        <v>426</v>
      </c>
      <c r="U54" s="1325"/>
      <c r="V54" s="1325"/>
      <c r="W54" s="1325"/>
      <c r="X54" s="1325"/>
      <c r="Y54" s="1325"/>
      <c r="Z54" s="1325"/>
      <c r="AA54" s="1325"/>
      <c r="AB54" s="1325"/>
      <c r="AC54" s="1325"/>
      <c r="AD54" s="1325"/>
      <c r="AE54" s="1325"/>
      <c r="AF54" s="1325"/>
      <c r="AG54" s="1325"/>
      <c r="AH54" s="1325"/>
      <c r="AI54" s="1325"/>
      <c r="AJ54" s="1325"/>
      <c r="AK54" s="1325"/>
      <c r="AL54" s="1325"/>
      <c r="AM54" s="1325"/>
      <c r="AO54" s="1252"/>
      <c r="AP54" s="1252" t="str">
        <f>IF(T54="","",T54)</f>
        <v>Добавить источник для дифференциации</v>
      </c>
      <c r="AQ54" s="1252"/>
      <c r="AR54" s="1252"/>
      <c r="AS54" s="1643">
        <v>1</v>
      </c>
    </row>
    <row s="1643" customFormat="1" customHeight="1" ht="1.05">
      <c r="A55" s="1268" t="s">
        <v>213</v>
      </c>
      <c r="B55" s="1268" t="s">
        <v>214</v>
      </c>
      <c r="C55" s="1975"/>
      <c r="D55" s="1975"/>
      <c r="E55" s="2291"/>
      <c r="F55" s="2290"/>
      <c r="G55" s="1975"/>
      <c r="H55" s="1975"/>
      <c r="I55" s="1975"/>
      <c r="J55" s="1975"/>
      <c r="K55" s="1975"/>
      <c r="L55" s="1381"/>
      <c r="M55" s="1976"/>
      <c r="N55" s="1976"/>
      <c r="O55" s="1636"/>
      <c r="P55" s="1317"/>
      <c r="Q55" s="1318"/>
      <c r="R55" s="1317"/>
      <c r="S55" s="1323"/>
      <c r="T55" s="1326" t="s">
        <v>232</v>
      </c>
      <c r="U55" s="1325"/>
      <c r="V55" s="1325"/>
      <c r="W55" s="1325"/>
      <c r="X55" s="1325"/>
      <c r="Y55" s="1325"/>
      <c r="Z55" s="1325"/>
      <c r="AA55" s="1325"/>
      <c r="AB55" s="1325"/>
      <c r="AC55" s="1325"/>
      <c r="AD55" s="1325"/>
      <c r="AE55" s="1325"/>
      <c r="AF55" s="1325"/>
      <c r="AG55" s="1325"/>
      <c r="AH55" s="1325"/>
      <c r="AI55" s="1325"/>
      <c r="AJ55" s="1325"/>
      <c r="AK55" s="1325"/>
      <c r="AL55" s="1325"/>
      <c r="AM55" s="1325"/>
      <c r="AO55" s="1252"/>
      <c r="AP55" s="1252" t="str">
        <f>IF(T55="","",T55)</f>
        <v>Добавить централизованную систему для дифференциации</v>
      </c>
      <c r="AQ55" s="1252"/>
      <c r="AR55" s="1252"/>
      <c r="AS55" s="1643">
        <v>1</v>
      </c>
    </row>
    <row s="1643" customFormat="1" customHeight="1" ht="1.05">
      <c r="A56" s="1268" t="s">
        <v>213</v>
      </c>
      <c r="B56" s="1268"/>
      <c r="C56" s="1268"/>
      <c r="D56" s="1268"/>
      <c r="E56" s="2290"/>
      <c r="F56" s="1268"/>
      <c r="G56" s="1268"/>
      <c r="H56" s="1268"/>
      <c r="I56" s="1268"/>
      <c r="J56" s="1268"/>
      <c r="K56" s="1268"/>
      <c r="L56" s="1311"/>
      <c r="M56" s="1976"/>
      <c r="N56" s="1976"/>
      <c r="O56" s="1636"/>
      <c r="P56" s="381"/>
      <c r="Q56" s="1345"/>
      <c r="R56" s="381"/>
      <c r="S56" s="1323"/>
      <c r="T56" s="1326" t="s">
        <v>233</v>
      </c>
      <c r="U56" s="1325"/>
      <c r="V56" s="1325"/>
      <c r="W56" s="1325"/>
      <c r="X56" s="1325"/>
      <c r="Y56" s="1325"/>
      <c r="Z56" s="1325"/>
      <c r="AA56" s="1325"/>
      <c r="AB56" s="1325"/>
      <c r="AC56" s="1325"/>
      <c r="AD56" s="1325"/>
      <c r="AE56" s="1325"/>
      <c r="AF56" s="1325"/>
      <c r="AG56" s="1325"/>
      <c r="AH56" s="1325"/>
      <c r="AI56" s="1325"/>
      <c r="AJ56" s="1325"/>
      <c r="AK56" s="1325"/>
      <c r="AL56" s="1325"/>
      <c r="AM56" s="1325"/>
      <c r="AO56" s="1625"/>
      <c r="AP56" s="1625" t="str">
        <f>IF(T56="","",T56)</f>
        <v>Добавить территорию для дифференциации</v>
      </c>
      <c r="AQ56" s="1625"/>
      <c r="AR56" s="1625"/>
      <c r="AS56" s="1637">
        <v>1</v>
      </c>
    </row>
    <row s="1643" customFormat="1" customHeight="1" ht="1.05">
      <c r="A57" s="1975"/>
      <c r="B57" s="1975"/>
      <c r="C57" s="1975"/>
      <c r="D57" s="1975"/>
      <c r="E57" s="1268"/>
      <c r="F57" s="1975"/>
      <c r="G57" s="1975"/>
      <c r="H57" s="1975"/>
      <c r="I57" s="1975"/>
      <c r="J57" s="1975"/>
      <c r="K57" s="1975"/>
      <c r="L57" s="1381"/>
      <c r="M57" s="1976"/>
      <c r="N57" s="1976"/>
      <c r="O57" s="1636"/>
      <c r="P57" s="1317"/>
      <c r="Q57" s="1318"/>
      <c r="R57" s="1317"/>
      <c r="S57" s="1323"/>
      <c r="T57" s="1326" t="s">
        <v>240</v>
      </c>
      <c r="U57" s="1325"/>
      <c r="V57" s="1325"/>
      <c r="W57" s="1325"/>
      <c r="X57" s="1325"/>
      <c r="Y57" s="1325"/>
      <c r="Z57" s="1325"/>
      <c r="AA57" s="1325"/>
      <c r="AB57" s="1325"/>
      <c r="AC57" s="1325"/>
      <c r="AD57" s="1325"/>
      <c r="AE57" s="1325"/>
      <c r="AF57" s="1325"/>
      <c r="AG57" s="1325"/>
      <c r="AH57" s="1325"/>
      <c r="AI57" s="1325"/>
      <c r="AJ57" s="1325"/>
      <c r="AK57" s="1325"/>
      <c r="AL57" s="1325"/>
      <c r="AM57" s="1325"/>
      <c r="AO57" s="1252"/>
      <c r="AP57" s="1252" t="str">
        <f>IF(T57="","",T57)</f>
        <v>Добавить наименование тарифа</v>
      </c>
      <c r="AQ57" s="1252"/>
      <c r="AR57" s="1252"/>
      <c r="AS57" s="1643">
        <v>1</v>
      </c>
    </row>
    <row customHeight="1" ht="11.549999999999999">
      <c r="M58" s="1632"/>
      <c r="N58" s="1632"/>
      <c r="O58" s="1636"/>
      <c r="P58" s="1632"/>
      <c r="Q58" s="1632"/>
      <c r="R58" s="1632"/>
      <c r="S58" s="1632"/>
      <c r="AN58" s="1632"/>
      <c r="AO58" s="1632"/>
      <c r="AP58" s="1632"/>
      <c r="AQ58" s="1632"/>
      <c r="AR58" s="1632"/>
      <c r="AS58" s="1632">
        <v>11</v>
      </c>
    </row>
    <row customHeight="1" ht="28.5">
      <c r="O59" s="1636"/>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632">
        <v>27</v>
      </c>
    </row>
    <row customHeight="1" ht="65.25">
      <c r="O60" s="1636"/>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632">
        <v>62</v>
      </c>
    </row>
    <row customHeight="1" ht="14.699999999999998">
      <c r="O61" s="1636"/>
      <c r="AS61" s="1632">
        <v>14</v>
      </c>
    </row>
    <row customHeight="1" ht="18.75">
      <c r="O62" s="1636"/>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632">
        <v>18</v>
      </c>
    </row>
    <row customHeight="1" ht="18.75">
      <c r="O63" s="1636"/>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632">
        <v>18</v>
      </c>
    </row>
    <row customHeight="1" ht="29.25">
      <c r="O64" s="1636"/>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632">
        <v>28</v>
      </c>
    </row>
    <row customHeight="1" ht="22.5" hidden="1">
      <c r="A65" s="1632" t="s">
        <v>84</v>
      </c>
      <c r="B65" s="1632">
        <v>0</v>
      </c>
      <c r="C65" s="1632">
        <v>0</v>
      </c>
      <c r="D65" s="1632">
        <v>0</v>
      </c>
      <c r="E65" s="1632">
        <v>0</v>
      </c>
      <c r="F65" s="1632">
        <v>0</v>
      </c>
      <c r="G65" s="1632">
        <v>0</v>
      </c>
      <c r="H65" s="1632">
        <v>0</v>
      </c>
      <c r="I65" s="1632">
        <v>0</v>
      </c>
      <c r="J65" s="1632">
        <v>0</v>
      </c>
      <c r="K65" s="1632">
        <v>0</v>
      </c>
      <c r="L65" s="1940">
        <v>0</v>
      </c>
      <c r="M65" s="1966">
        <v>0</v>
      </c>
      <c r="N65" s="1966">
        <v>0</v>
      </c>
      <c r="O65" s="1966">
        <v>0</v>
      </c>
      <c r="P65" s="1966">
        <v>3</v>
      </c>
      <c r="Q65" s="345">
        <v>3</v>
      </c>
      <c r="R65" s="345">
        <v>3</v>
      </c>
      <c r="S65" s="582">
        <v>12</v>
      </c>
      <c r="T65" s="1632">
        <v>31</v>
      </c>
      <c r="U65" s="1632">
        <v>0</v>
      </c>
      <c r="V65" s="1632">
        <v>0</v>
      </c>
      <c r="W65" s="1632">
        <v>0</v>
      </c>
      <c r="X65" s="1632">
        <v>0</v>
      </c>
      <c r="Y65" s="1632">
        <v>0</v>
      </c>
      <c r="Z65" s="1632">
        <v>0</v>
      </c>
      <c r="AA65" s="1632">
        <v>0</v>
      </c>
      <c r="AB65" s="1632">
        <v>0</v>
      </c>
      <c r="AC65" s="1632">
        <v>0</v>
      </c>
      <c r="AD65" s="1632">
        <v>24</v>
      </c>
      <c r="AE65" s="1632">
        <v>0</v>
      </c>
      <c r="AF65" s="1632">
        <v>24</v>
      </c>
      <c r="AG65" s="1632">
        <v>24</v>
      </c>
      <c r="AH65" s="1632">
        <v>11</v>
      </c>
      <c r="AI65" s="1632">
        <v>3</v>
      </c>
      <c r="AJ65" s="1632">
        <v>11</v>
      </c>
      <c r="AK65" s="1632">
        <v>0</v>
      </c>
      <c r="AL65" s="1632">
        <v>4</v>
      </c>
      <c r="AM65" s="1632">
        <v>115</v>
      </c>
      <c r="AN65" s="1637">
        <v>10</v>
      </c>
      <c r="AO65" s="1637">
        <v>10</v>
      </c>
      <c r="AP65" s="1637">
        <v>10</v>
      </c>
      <c r="AQ65" s="1637">
        <v>10</v>
      </c>
      <c r="AR65" s="1637">
        <v>10</v>
      </c>
      <c r="AS65" s="1632">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D1EA188-BB6D-30A5-C92F-0.972FEC7C}"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7109375" hidden="1" customWidth="1"/>
    <col min="22" max="22" style="1636" width="1.7109375" hidden="1" customWidth="1"/>
    <col min="23" max="23" style="1636" width="24.7109375" hidden="1" customWidth="1"/>
    <col min="24" max="25" style="1636" width="0.14062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0.140625" customWidth="1"/>
    <col min="31" max="31" style="1636" width="24.00390625" customWidth="1"/>
    <col min="32" max="33" style="1636" width="0.14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126</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408</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409</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410</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411</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412</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413</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414</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415</v>
      </c>
      <c r="M6" s="538"/>
      <c r="P6" s="2258">
        <v>1</v>
      </c>
      <c r="Q6" s="1332"/>
      <c r="R6" s="357"/>
      <c r="S6" s="1337">
        <f>$I6</f>
      </c>
      <c r="T6" s="286" t="s">
        <v>416</v>
      </c>
      <c r="U6" s="301"/>
      <c r="V6" s="2246"/>
      <c r="W6" s="2247"/>
      <c r="X6" s="2247"/>
      <c r="Y6" s="2247"/>
      <c r="Z6" s="2247"/>
      <c r="AA6" s="2247"/>
      <c r="AB6" s="2247"/>
      <c r="AC6" s="2248"/>
      <c r="AD6" s="2246"/>
      <c r="AE6" s="2247"/>
      <c r="AF6" s="2247"/>
      <c r="AG6" s="2247"/>
      <c r="AH6" s="2247"/>
      <c r="AI6" s="2247"/>
      <c r="AJ6" s="2247"/>
      <c r="AK6" s="2247"/>
      <c r="AL6" s="2248"/>
      <c r="AM6" s="1259" t="s">
        <v>417</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418</v>
      </c>
      <c r="M7" s="538"/>
      <c r="N7" s="1367"/>
      <c r="P7" s="2258"/>
      <c r="Q7" s="2258">
        <v>1</v>
      </c>
      <c r="R7" s="358"/>
      <c r="S7" s="1337">
        <f>$J7</f>
      </c>
      <c r="T7" s="287" t="s">
        <v>419</v>
      </c>
      <c r="U7" s="301"/>
      <c r="V7" s="2246"/>
      <c r="W7" s="2247"/>
      <c r="X7" s="2247"/>
      <c r="Y7" s="2247"/>
      <c r="Z7" s="2247"/>
      <c r="AA7" s="2247"/>
      <c r="AB7" s="2247"/>
      <c r="AC7" s="2248"/>
      <c r="AD7" s="2246"/>
      <c r="AE7" s="2247"/>
      <c r="AF7" s="2247"/>
      <c r="AG7" s="2247"/>
      <c r="AH7" s="2247"/>
      <c r="AI7" s="2247"/>
      <c r="AJ7" s="2247"/>
      <c r="AK7" s="2247"/>
      <c r="AL7" s="2248"/>
      <c r="AM7" s="1259" t="s">
        <v>420</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421</v>
      </c>
      <c r="M8" s="538"/>
      <c r="N8" s="1367"/>
      <c r="O8" s="1367"/>
      <c r="P8" s="2258"/>
      <c r="Q8" s="2258"/>
      <c r="R8" s="358">
        <v>1</v>
      </c>
      <c r="S8" s="1337">
        <f>$K8</f>
      </c>
      <c r="T8" s="1348"/>
      <c r="U8" s="301"/>
      <c r="V8" s="326"/>
      <c r="W8" s="752"/>
      <c r="X8" s="326"/>
      <c r="Y8" s="385"/>
      <c r="Z8" s="2266"/>
      <c r="AA8" s="2108" t="s">
        <v>63</v>
      </c>
      <c r="AB8" s="2266"/>
      <c r="AC8" s="2108" t="s">
        <v>63</v>
      </c>
      <c r="AD8" s="326"/>
      <c r="AE8" s="752"/>
      <c r="AF8" s="326"/>
      <c r="AG8" s="385"/>
      <c r="AH8" s="2266"/>
      <c r="AI8" s="2108" t="s">
        <v>63</v>
      </c>
      <c r="AJ8" s="2266"/>
      <c r="AK8" s="2108" t="s">
        <v>63</v>
      </c>
      <c r="AL8" s="326"/>
      <c r="AM8" s="2254" t="s">
        <v>422</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423</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288" t="s">
        <v>424</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425</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426</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232</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233</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63</v>
      </c>
      <c r="AJ17" s="2268"/>
      <c r="AK17" s="2269" t="s">
        <v>63</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427</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33.75" hidden="1">
      <c r="L22" s="1330"/>
      <c r="M22" s="1363"/>
      <c r="N22" s="1363"/>
      <c r="O22" s="1365" t="s">
        <v>428</v>
      </c>
      <c r="P22" s="1363"/>
      <c r="Q22" s="1372"/>
      <c r="R22" s="1372"/>
      <c r="S22" s="730"/>
      <c r="T22" s="1161" t="s">
        <v>429</v>
      </c>
      <c r="AA22" s="187" t="s">
        <v>430</v>
      </c>
      <c r="AC22" s="187" t="s">
        <v>431</v>
      </c>
      <c r="AD22" s="1161" t="s">
        <v>429</v>
      </c>
      <c r="AI22" s="187" t="s">
        <v>432</v>
      </c>
      <c r="AK22" s="187" t="s">
        <v>431</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29.25">
      <c r="Q26" s="377"/>
      <c r="R26" s="377"/>
      <c r="S26" s="2249"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249"/>
      <c r="U26" s="2249"/>
      <c r="V26" s="2249"/>
      <c r="W26" s="2249"/>
      <c r="X26" s="2249"/>
      <c r="Y26" s="2249"/>
      <c r="Z26" s="2249"/>
      <c r="AA26" s="2249"/>
      <c r="AB26" s="2249"/>
      <c r="AC26" s="2249"/>
      <c r="AD26" s="2249"/>
      <c r="AE26" s="2249"/>
      <c r="AF26" s="2249"/>
      <c r="AG26" s="2249"/>
      <c r="AH26" s="2249"/>
      <c r="AI26" s="2249"/>
      <c r="AJ26" s="2249"/>
      <c r="AK26" s="1244"/>
      <c r="AS26" s="1156">
        <v>28</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Управление по государственному регулированию цен (тарифов) Ненецкого автономного округа</v>
      </c>
      <c r="W29" s="2252"/>
      <c r="X29" s="2252"/>
      <c r="Y29" s="2252"/>
      <c r="Z29" s="2252"/>
      <c r="AA29" s="2252"/>
      <c r="AB29" s="2252"/>
      <c r="AC29" s="327"/>
      <c r="AD29" s="2252" t="str">
        <f>IF(TITLE_NAME_OR_PR_CHANGE="",IF(TITLE_NAME_OR_PR="","",TITLE_NAME_OR_PR),TITLE_NAME_OR_PR_CHANGE)</f>
        <v>Управление по государственному регулированию цен (тарифов) Ненецкого автономного округа</v>
      </c>
      <c r="AE29" s="2252"/>
      <c r="AF29" s="2252"/>
      <c r="AG29" s="2252"/>
      <c r="AH29" s="2252"/>
      <c r="AI29" s="2252"/>
      <c r="AJ29" s="2252"/>
      <c r="AK29" s="327"/>
      <c r="AL29" s="327"/>
      <c r="AM29" s="281"/>
      <c r="AN29" s="369"/>
      <c r="AO29" s="369"/>
      <c r="AP29" s="369"/>
      <c r="AQ29" s="369"/>
      <c r="AR29" s="369"/>
      <c r="AS29" s="419">
        <v>0</v>
      </c>
    </row>
    <row s="1854" customFormat="1" customHeight="1" ht="18.75">
      <c r="A30" s="1369"/>
      <c r="B30" s="1369"/>
      <c r="C30" s="1369"/>
      <c r="D30" s="1369"/>
      <c r="E30" s="1369"/>
      <c r="F30" s="1369"/>
      <c r="G30" s="1369"/>
      <c r="H30" s="1369"/>
      <c r="I30" s="1369"/>
      <c r="J30" s="1369"/>
      <c r="K30" s="1369"/>
      <c r="L30" s="1370"/>
      <c r="M30" s="1369"/>
      <c r="N30" s="1369"/>
      <c r="O30" s="1369"/>
      <c r="S30" s="2251" t="s">
        <v>433</v>
      </c>
      <c r="T30" s="2251"/>
      <c r="U30" s="1373"/>
      <c r="V30" s="2265" t="str">
        <f>IF(TITLE_DATE_PR_CHANGE="",IF(TITLE_DATE_PR="","",TITLE_DATE_PR),TITLE_DATE_PR_CHANGE)</f>
        <v>45642</v>
      </c>
      <c r="W30" s="2265"/>
      <c r="X30" s="2265"/>
      <c r="Y30" s="2265"/>
      <c r="Z30" s="2265"/>
      <c r="AA30" s="2265"/>
      <c r="AB30" s="2265"/>
      <c r="AC30" s="327"/>
      <c r="AD30" s="2265" t="str">
        <f>IF(TITLE_DATE_PR_CHANGE="",IF(TITLE_DATE_PR="","",TITLE_DATE_PR),TITLE_DATE_PR_CHANGE)</f>
        <v>45642</v>
      </c>
      <c r="AE30" s="2265"/>
      <c r="AF30" s="2265"/>
      <c r="AG30" s="2265"/>
      <c r="AH30" s="2265"/>
      <c r="AI30" s="2265"/>
      <c r="AJ30" s="2265"/>
      <c r="AK30" s="327"/>
      <c r="AL30" s="327"/>
      <c r="AM30" s="281"/>
      <c r="AN30" s="369"/>
      <c r="AO30" s="369"/>
      <c r="AP30" s="369"/>
      <c r="AQ30" s="369"/>
      <c r="AR30" s="369"/>
      <c r="AS30" s="419">
        <v>0</v>
      </c>
    </row>
    <row s="1854" customFormat="1" customHeight="1" ht="18.75">
      <c r="A31" s="1369"/>
      <c r="B31" s="1369"/>
      <c r="C31" s="1369"/>
      <c r="D31" s="1369"/>
      <c r="E31" s="1369"/>
      <c r="F31" s="1369"/>
      <c r="G31" s="1369"/>
      <c r="H31" s="1369"/>
      <c r="I31" s="1369"/>
      <c r="J31" s="1369"/>
      <c r="K31" s="1369"/>
      <c r="L31" s="1370"/>
      <c r="M31" s="1369"/>
      <c r="N31" s="1369"/>
      <c r="O31" s="1369"/>
      <c r="S31" s="2251" t="s">
        <v>434</v>
      </c>
      <c r="T31" s="2251"/>
      <c r="U31" s="1373"/>
      <c r="V31" s="2252" t="str">
        <f>IF(TITLE_NUMBER_PR_CHANGE="",IF(TITLE_NUMBER_PR="","",TITLE_NUMBER_PR),TITLE_NUMBER_PR_CHANGE)</f>
        <v>58</v>
      </c>
      <c r="W31" s="2252"/>
      <c r="X31" s="2252"/>
      <c r="Y31" s="2252"/>
      <c r="Z31" s="2252"/>
      <c r="AA31" s="2252"/>
      <c r="AB31" s="2252"/>
      <c r="AC31" s="327"/>
      <c r="AD31" s="2252" t="str">
        <f>IF(TITLE_NUMBER_PR_CHANGE="",IF(TITLE_NUMBER_PR="","",TITLE_NUMBER_PR),TITLE_NUMBER_PR_CHANGE)</f>
        <v>58</v>
      </c>
      <c r="AE31" s="2252"/>
      <c r="AF31" s="2252"/>
      <c r="AG31" s="2252"/>
      <c r="AH31" s="2252"/>
      <c r="AI31" s="2252"/>
      <c r="AJ31" s="2252"/>
      <c r="AK31" s="327"/>
      <c r="AL31" s="327"/>
      <c r="AM31" s="281"/>
      <c r="AN31" s="369"/>
      <c r="AO31" s="369"/>
      <c r="AP31" s="369"/>
      <c r="AQ31" s="369"/>
      <c r="AR31" s="369"/>
      <c r="AS31" s="419">
        <v>0</v>
      </c>
    </row>
    <row s="1854" customFormat="1" customHeight="1" ht="18.75">
      <c r="A32" s="1369"/>
      <c r="B32" s="1369"/>
      <c r="C32" s="1369"/>
      <c r="D32" s="1369"/>
      <c r="E32" s="1369"/>
      <c r="F32" s="1369"/>
      <c r="G32" s="1369"/>
      <c r="H32" s="1369"/>
      <c r="I32" s="1369"/>
      <c r="J32" s="1369"/>
      <c r="K32" s="1369"/>
      <c r="L32" s="1370"/>
      <c r="M32" s="1369"/>
      <c r="N32" s="1369"/>
      <c r="O32" s="1369"/>
      <c r="S32" s="2251" t="s">
        <v>44</v>
      </c>
      <c r="T32" s="2251"/>
      <c r="U32" s="1373"/>
      <c r="V32" s="2252" t="str">
        <f>IF(TITLE_IST_PUB_CHANGE="",IF(TITLE_IST_PUB="","",TITLE_IST_PUB),TITLE_IST_PUB_CHANGE)</f>
        <v>Официальный интернет портал правовой информации http://pravo.gov.ru </v>
      </c>
      <c r="W32" s="2252"/>
      <c r="X32" s="2252"/>
      <c r="Y32" s="2252"/>
      <c r="Z32" s="2252"/>
      <c r="AA32" s="2252"/>
      <c r="AB32" s="2252"/>
      <c r="AC32" s="327"/>
      <c r="AD32" s="2252" t="str">
        <f>IF(TITLE_IST_PUB_CHANGE="",IF(TITLE_IST_PUB="","",TITLE_IST_PUB),TITLE_IST_PUB_CHANGE)</f>
        <v>Официальный интернет портал правовой информации http://pravo.gov.ru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435</v>
      </c>
      <c r="T34" s="2251"/>
      <c r="U34" s="1373"/>
      <c r="V34" s="2265" t="str">
        <f>IF(TITLE_DATE_PR_CHANGE="",IF(TITLE_DATE_PR="","",TITLE_DATE_PR),TITLE_DATE_PR_CHANGE)</f>
        <v>45642</v>
      </c>
      <c r="W34" s="2265"/>
      <c r="X34" s="2265"/>
      <c r="Y34" s="2265"/>
      <c r="Z34" s="2265"/>
      <c r="AA34" s="2265"/>
      <c r="AB34" s="2265"/>
      <c r="AC34" s="327"/>
      <c r="AD34" s="2265" t="str">
        <f>IF(TITLE_DATE_PR_CHANGE="",IF(TITLE_DATE_PR="","",TITLE_DATE_PR),TITLE_DATE_PR_CHANGE)</f>
        <v>45642</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436</v>
      </c>
      <c r="T35" s="2251"/>
      <c r="U35" s="1373"/>
      <c r="V35" s="2252" t="str">
        <f>IF(TITLE_NUMBER_PR_CHANGE="",IF(TITLE_NUMBER_PR="","",TITLE_NUMBER_PR),TITLE_NUMBER_PR_CHANGE)</f>
        <v>58</v>
      </c>
      <c r="W35" s="2252"/>
      <c r="X35" s="2252"/>
      <c r="Y35" s="2252"/>
      <c r="Z35" s="2252"/>
      <c r="AA35" s="2252"/>
      <c r="AB35" s="2252"/>
      <c r="AC35" s="327"/>
      <c r="AD35" s="2252" t="str">
        <f>IF(TITLE_NUMBER_PR_CHANGE="",IF(TITLE_NUMBER_PR="","",TITLE_NUMBER_PR),TITLE_NUMBER_PR_CHANGE)</f>
        <v>58</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437</v>
      </c>
      <c r="AD36" s="327"/>
      <c r="AE36" s="327"/>
      <c r="AF36" s="327"/>
      <c r="AG36" s="327"/>
      <c r="AH36" s="327"/>
      <c r="AI36" s="327"/>
      <c r="AJ36" s="327"/>
      <c r="AK36" s="279" t="s">
        <v>437</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312</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313</v>
      </c>
      <c r="AS38" s="1156">
        <v>14</v>
      </c>
    </row>
    <row customHeight="1" ht="14.699999999999998">
      <c r="Q39" s="377"/>
      <c r="R39" s="377"/>
      <c r="S39" s="2274" t="s">
        <v>90</v>
      </c>
      <c r="T39" s="2210" t="s">
        <v>438</v>
      </c>
      <c r="U39" s="302"/>
      <c r="V39" s="2275" t="s">
        <v>439</v>
      </c>
      <c r="W39" s="2276"/>
      <c r="X39" s="2292"/>
      <c r="Y39" s="2292"/>
      <c r="Z39" s="2276"/>
      <c r="AA39" s="2276"/>
      <c r="AB39" s="2277"/>
      <c r="AC39" s="2278" t="s">
        <v>440</v>
      </c>
      <c r="AD39" s="2275" t="s">
        <v>439</v>
      </c>
      <c r="AE39" s="2276"/>
      <c r="AF39" s="2292"/>
      <c r="AG39" s="2292"/>
      <c r="AH39" s="2276"/>
      <c r="AI39" s="2276"/>
      <c r="AJ39" s="2277"/>
      <c r="AK39" s="2278" t="s">
        <v>441</v>
      </c>
      <c r="AL39" s="2281" t="s">
        <v>442</v>
      </c>
      <c r="AM39" s="2128"/>
      <c r="AS39" s="1156">
        <v>14</v>
      </c>
    </row>
    <row customHeight="1" ht="24">
      <c r="Q40" s="377"/>
      <c r="R40" s="377"/>
      <c r="S40" s="2274"/>
      <c r="T40" s="2210"/>
      <c r="U40" s="1032"/>
      <c r="V40" s="2293" t="s">
        <v>443</v>
      </c>
      <c r="W40" s="2295" t="s">
        <v>444</v>
      </c>
      <c r="X40" s="1377" t="s">
        <v>445</v>
      </c>
      <c r="Y40" s="1377"/>
      <c r="Z40" s="2270" t="s">
        <v>446</v>
      </c>
      <c r="AA40" s="2270"/>
      <c r="AB40" s="2264"/>
      <c r="AC40" s="2279"/>
      <c r="AD40" s="2293" t="s">
        <v>443</v>
      </c>
      <c r="AE40" s="2295" t="s">
        <v>444</v>
      </c>
      <c r="AF40" s="1377" t="s">
        <v>445</v>
      </c>
      <c r="AG40" s="1377"/>
      <c r="AH40" s="2270" t="s">
        <v>446</v>
      </c>
      <c r="AI40" s="2270"/>
      <c r="AJ40" s="2264"/>
      <c r="AK40" s="2279"/>
      <c r="AL40" s="2282"/>
      <c r="AM40" s="2128"/>
      <c r="AS40" s="1156">
        <v>23</v>
      </c>
    </row>
    <row s="1267" customFormat="1" customHeight="1" ht="24">
      <c r="A41" s="1371"/>
      <c r="B41" s="1371" t="s">
        <v>138</v>
      </c>
      <c r="C41" s="1371" t="s">
        <v>139</v>
      </c>
      <c r="D41" s="1371" t="s">
        <v>140</v>
      </c>
      <c r="E41" s="1365" t="s">
        <v>447</v>
      </c>
      <c r="F41" s="1365" t="s">
        <v>448</v>
      </c>
      <c r="G41" s="1365" t="s">
        <v>449</v>
      </c>
      <c r="H41" s="1365" t="s">
        <v>450</v>
      </c>
      <c r="I41" s="1365" t="s">
        <v>451</v>
      </c>
      <c r="J41" s="1365" t="s">
        <v>452</v>
      </c>
      <c r="K41" s="1365" t="s">
        <v>453</v>
      </c>
      <c r="L41" s="1365" t="s">
        <v>428</v>
      </c>
      <c r="M41" s="1363"/>
      <c r="N41" s="1363"/>
      <c r="O41" s="1363"/>
      <c r="P41" s="1329"/>
      <c r="Q41" s="377"/>
      <c r="R41" s="377"/>
      <c r="S41" s="2274"/>
      <c r="T41" s="2210"/>
      <c r="U41" s="303"/>
      <c r="V41" s="2294"/>
      <c r="W41" s="2296"/>
      <c r="X41" s="1374" t="s">
        <v>454</v>
      </c>
      <c r="Y41" s="1374" t="s">
        <v>455</v>
      </c>
      <c r="Z41" s="1335" t="s">
        <v>456</v>
      </c>
      <c r="AA41" s="2271" t="s">
        <v>457</v>
      </c>
      <c r="AB41" s="2272"/>
      <c r="AC41" s="2280"/>
      <c r="AD41" s="2294"/>
      <c r="AE41" s="2296"/>
      <c r="AF41" s="1374" t="s">
        <v>454</v>
      </c>
      <c r="AG41" s="1374" t="s">
        <v>455</v>
      </c>
      <c r="AH41" s="1335" t="s">
        <v>456</v>
      </c>
      <c r="AI41" s="2271" t="s">
        <v>457</v>
      </c>
      <c r="AJ41" s="2272"/>
      <c r="AK41" s="2280"/>
      <c r="AL41" s="2283"/>
      <c r="AM41" s="2128"/>
      <c r="AN41" s="512"/>
      <c r="AO41" s="501"/>
      <c r="AP41" s="501"/>
      <c r="AQ41" s="501"/>
      <c r="AR41" s="501"/>
      <c r="AS41" s="583">
        <v>23</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112</v>
      </c>
      <c r="T42" s="1256" t="s">
        <v>113</v>
      </c>
      <c r="U42" s="1246" t="str">
        <f>OFFSET(U42,0,-1)</f>
        <v>2</v>
      </c>
      <c r="V42" s="1336">
        <f>OFFSET(V42,0,-1)+1</f>
        <v>3</v>
      </c>
      <c r="W42" s="1336"/>
      <c r="X42" s="1342">
        <f>OFFSET(X42,0,-1)+1</f>
        <v>1</v>
      </c>
      <c r="Y42" s="1342">
        <f>OFFSET(Y42,0,-1)+1</f>
        <v>2</v>
      </c>
      <c r="Z42" s="1336">
        <f>OFFSET(Z42,0,-1)+1</f>
        <v>3</v>
      </c>
      <c r="AA42" s="2273">
        <f>OFFSET(AA42,0,-1)+1</f>
        <v>4</v>
      </c>
      <c r="AB42" s="2273"/>
      <c r="AC42" s="1336">
        <f>OFFSET(AC42,0,-2)+1</f>
        <v>5</v>
      </c>
      <c r="AD42" s="1336">
        <f>OFFSET(AD42,0,-1)+1</f>
        <v>6</v>
      </c>
      <c r="AE42" s="1336"/>
      <c r="AF42" s="1342">
        <f>OFFSET(AF42,0,-1)+1</f>
        <v>1</v>
      </c>
      <c r="AG42" s="1342">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195</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126</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1"/>
      <c r="AP43" s="501" t="str">
        <f>IF(T43="","",T43)</f>
        <v>Наименование тарифа</v>
      </c>
      <c r="AQ43" s="501"/>
      <c r="AR43" s="501"/>
      <c r="AS43" s="1156">
        <v>21</v>
      </c>
    </row>
    <row customHeight="1" ht="22.049999999999997">
      <c r="A44" s="1364" t="s">
        <v>195</v>
      </c>
      <c r="B44" s="1364" t="s">
        <v>196</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409</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410</v>
      </c>
      <c r="AO44" s="501"/>
      <c r="AP44" s="501" t="str">
        <f>IF(T44="","",T44)</f>
        <v>Территория действия тарифа</v>
      </c>
      <c r="AQ44" s="501"/>
      <c r="AR44" s="501"/>
      <c r="AS44" s="1156">
        <v>21</v>
      </c>
    </row>
    <row customHeight="1" ht="24">
      <c r="A45" s="1364" t="s">
        <v>195</v>
      </c>
      <c r="B45" s="1364" t="s">
        <v>196</v>
      </c>
      <c r="C45" s="1364" t="s">
        <v>197</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411</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412</v>
      </c>
      <c r="AO45" s="501"/>
      <c r="AP45" s="501" t="str">
        <f>IF(T45="","",T45)</f>
        <v>Наименование системы теплоснабжения </v>
      </c>
      <c r="AQ45" s="501"/>
      <c r="AR45" s="501"/>
      <c r="AS45" s="1156">
        <v>23</v>
      </c>
    </row>
    <row customHeight="1" ht="22.049999999999997">
      <c r="A46" s="1364" t="s">
        <v>195</v>
      </c>
      <c r="B46" s="1364" t="s">
        <v>196</v>
      </c>
      <c r="C46" s="1364" t="s">
        <v>197</v>
      </c>
      <c r="D46" s="1364" t="s">
        <v>198</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413</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414</v>
      </c>
      <c r="AO46" s="501"/>
      <c r="AP46" s="501" t="str">
        <f>IF(T46="","",T46)</f>
        <v>Источник тепловой энергии  </v>
      </c>
      <c r="AQ46" s="501"/>
      <c r="AR46" s="501"/>
      <c r="AS46" s="1156">
        <v>21</v>
      </c>
    </row>
    <row customHeight="1" ht="49.5">
      <c r="A47" s="1364" t="s">
        <v>195</v>
      </c>
      <c r="B47" s="1364" t="s">
        <v>196</v>
      </c>
      <c r="C47" s="1364" t="s">
        <v>197</v>
      </c>
      <c r="D47" s="1364" t="s">
        <v>198</v>
      </c>
      <c r="E47" s="2260"/>
      <c r="F47" s="2260"/>
      <c r="G47" s="2260"/>
      <c r="H47" s="2260"/>
      <c r="I47" s="2257" t="str">
        <f>S46&amp;".1"</f>
        <v>....1</v>
      </c>
      <c r="J47" s="1364"/>
      <c r="K47" s="1364"/>
      <c r="L47" s="1365" t="s">
        <v>415</v>
      </c>
      <c r="P47" s="2258">
        <v>1</v>
      </c>
      <c r="Q47" s="1332"/>
      <c r="R47" s="357"/>
      <c r="S47" s="1337" t="str">
        <f>$I47</f>
        <v>....1</v>
      </c>
      <c r="T47" s="286" t="s">
        <v>416</v>
      </c>
      <c r="U47" s="301"/>
      <c r="V47" s="2246"/>
      <c r="W47" s="2247"/>
      <c r="X47" s="2247"/>
      <c r="Y47" s="2247"/>
      <c r="Z47" s="2247"/>
      <c r="AA47" s="2247"/>
      <c r="AB47" s="2247"/>
      <c r="AC47" s="2248"/>
      <c r="AD47" s="2246"/>
      <c r="AE47" s="2247"/>
      <c r="AF47" s="2247"/>
      <c r="AG47" s="2247"/>
      <c r="AH47" s="2247"/>
      <c r="AI47" s="2247"/>
      <c r="AJ47" s="2247"/>
      <c r="AK47" s="2247"/>
      <c r="AL47" s="2248"/>
      <c r="AM47" s="1259" t="s">
        <v>417</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2.049999999999997">
      <c r="A48" s="1364" t="s">
        <v>195</v>
      </c>
      <c r="B48" s="1364" t="s">
        <v>196</v>
      </c>
      <c r="C48" s="1364" t="s">
        <v>197</v>
      </c>
      <c r="D48" s="1364" t="s">
        <v>198</v>
      </c>
      <c r="E48" s="2260"/>
      <c r="F48" s="2260"/>
      <c r="G48" s="2260"/>
      <c r="H48" s="2260"/>
      <c r="I48" s="2287"/>
      <c r="J48" s="2257" t="str">
        <f>I47&amp;".1"</f>
        <v>....1.1</v>
      </c>
      <c r="K48" s="1364"/>
      <c r="L48" s="1365" t="s">
        <v>418</v>
      </c>
      <c r="P48" s="2258"/>
      <c r="Q48" s="2258">
        <v>1</v>
      </c>
      <c r="R48" s="358"/>
      <c r="S48" s="1337" t="str">
        <f>$J48</f>
        <v>....1.1</v>
      </c>
      <c r="T48" s="287" t="s">
        <v>419</v>
      </c>
      <c r="U48" s="301"/>
      <c r="V48" s="2246"/>
      <c r="W48" s="2247"/>
      <c r="X48" s="2247"/>
      <c r="Y48" s="2247"/>
      <c r="Z48" s="2247"/>
      <c r="AA48" s="2247"/>
      <c r="AB48" s="2247"/>
      <c r="AC48" s="2248"/>
      <c r="AD48" s="2246"/>
      <c r="AE48" s="2247"/>
      <c r="AF48" s="2247"/>
      <c r="AG48" s="2247"/>
      <c r="AH48" s="2247"/>
      <c r="AI48" s="2247"/>
      <c r="AJ48" s="2247"/>
      <c r="AK48" s="2247"/>
      <c r="AL48" s="2248"/>
      <c r="AM48" s="1259" t="s">
        <v>420</v>
      </c>
      <c r="AO48" s="501"/>
      <c r="AP48" s="501" t="str">
        <f>IF(T48="","",T48)</f>
        <v>Группа потребителей</v>
      </c>
      <c r="AQ48" s="501"/>
      <c r="AR48" s="501"/>
      <c r="AS48" s="1156">
        <v>21</v>
      </c>
    </row>
    <row customHeight="1" ht="22.049999999999997">
      <c r="A49" s="1364" t="s">
        <v>195</v>
      </c>
      <c r="B49" s="1364" t="s">
        <v>196</v>
      </c>
      <c r="C49" s="1364" t="s">
        <v>197</v>
      </c>
      <c r="D49" s="1364" t="s">
        <v>198</v>
      </c>
      <c r="E49" s="2260"/>
      <c r="F49" s="2260"/>
      <c r="G49" s="2260"/>
      <c r="H49" s="2260"/>
      <c r="I49" s="2287"/>
      <c r="J49" s="2287"/>
      <c r="K49" s="2257" t="str">
        <f>J48&amp;".1"</f>
        <v>....1.1.1</v>
      </c>
      <c r="L49" s="1365" t="s">
        <v>421</v>
      </c>
      <c r="P49" s="2258"/>
      <c r="Q49" s="2258"/>
      <c r="R49" s="358">
        <v>1</v>
      </c>
      <c r="S49" s="1337" t="str">
        <f>$K49</f>
        <v>....1.1.1</v>
      </c>
      <c r="T49" s="1348"/>
      <c r="U49" s="301"/>
      <c r="V49" s="326"/>
      <c r="W49" s="752"/>
      <c r="X49" s="326"/>
      <c r="Y49" s="385"/>
      <c r="Z49" s="2266"/>
      <c r="AA49" s="2108" t="s">
        <v>63</v>
      </c>
      <c r="AB49" s="2266"/>
      <c r="AC49" s="2108" t="s">
        <v>63</v>
      </c>
      <c r="AD49" s="326"/>
      <c r="AE49" s="752"/>
      <c r="AF49" s="326"/>
      <c r="AG49" s="385"/>
      <c r="AH49" s="2266"/>
      <c r="AI49" s="2108" t="s">
        <v>63</v>
      </c>
      <c r="AJ49" s="2288"/>
      <c r="AK49" s="2108" t="s">
        <v>63</v>
      </c>
      <c r="AL49" s="1349"/>
      <c r="AM49" s="2254" t="s">
        <v>422</v>
      </c>
      <c r="AN49" s="512">
        <f>STRCHECKDATE(V50:AL50)</f>
      </c>
      <c r="AO49" s="501"/>
      <c r="AP49" s="501" t="str">
        <f>IF(T49="","",T49)</f>
        <v/>
      </c>
      <c r="AQ49" s="501"/>
      <c r="AR49" s="501"/>
      <c r="AS49" s="1156">
        <v>21</v>
      </c>
    </row>
    <row customHeight="1" ht="1.05">
      <c r="A50" s="1364" t="s">
        <v>195</v>
      </c>
      <c r="B50" s="1364" t="s">
        <v>196</v>
      </c>
      <c r="C50" s="1364" t="s">
        <v>197</v>
      </c>
      <c r="D50" s="1364" t="s">
        <v>198</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195</v>
      </c>
      <c r="B51" s="1364" t="s">
        <v>196</v>
      </c>
      <c r="C51" s="1364" t="s">
        <v>197</v>
      </c>
      <c r="D51" s="1364" t="s">
        <v>198</v>
      </c>
      <c r="E51" s="2260"/>
      <c r="F51" s="2260"/>
      <c r="G51" s="2260"/>
      <c r="H51" s="2260"/>
      <c r="I51" s="2287"/>
      <c r="J51" s="2257"/>
      <c r="K51" s="1364"/>
      <c r="L51" s="1365"/>
      <c r="P51" s="2258"/>
      <c r="Q51" s="2258"/>
      <c r="R51" s="357"/>
      <c r="S51" s="1279"/>
      <c r="T51" s="289" t="s">
        <v>423</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195</v>
      </c>
      <c r="B52" s="1364" t="s">
        <v>196</v>
      </c>
      <c r="C52" s="1364" t="s">
        <v>197</v>
      </c>
      <c r="D52" s="1364" t="s">
        <v>198</v>
      </c>
      <c r="E52" s="2260"/>
      <c r="F52" s="2260"/>
      <c r="G52" s="2260"/>
      <c r="H52" s="2260"/>
      <c r="I52" s="2257"/>
      <c r="J52" s="1364"/>
      <c r="K52" s="1364"/>
      <c r="L52" s="1365"/>
      <c r="P52" s="2258"/>
      <c r="Q52" s="1332"/>
      <c r="R52" s="357"/>
      <c r="S52" s="1279"/>
      <c r="T52" s="288" t="s">
        <v>424</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195</v>
      </c>
      <c r="B53" s="1364" t="s">
        <v>196</v>
      </c>
      <c r="C53" s="1364" t="s">
        <v>197</v>
      </c>
      <c r="D53" s="1364" t="s">
        <v>198</v>
      </c>
      <c r="E53" s="2260"/>
      <c r="F53" s="2260"/>
      <c r="G53" s="2260"/>
      <c r="H53" s="2259"/>
      <c r="I53" s="1364"/>
      <c r="J53" s="1364"/>
      <c r="K53" s="1364"/>
      <c r="L53" s="1365"/>
      <c r="M53" s="1366"/>
      <c r="N53" s="1366"/>
      <c r="O53" s="538"/>
      <c r="P53" s="361"/>
      <c r="Q53" s="376"/>
      <c r="R53" s="356"/>
      <c r="S53" s="1279"/>
      <c r="T53" s="366" t="s">
        <v>425</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195</v>
      </c>
      <c r="B54" s="1344" t="s">
        <v>196</v>
      </c>
      <c r="C54" s="1344" t="s">
        <v>197</v>
      </c>
      <c r="D54" s="1315"/>
      <c r="E54" s="2260"/>
      <c r="F54" s="2260"/>
      <c r="G54" s="2259"/>
      <c r="H54" s="1315"/>
      <c r="I54" s="1315"/>
      <c r="J54" s="1315"/>
      <c r="K54" s="1315"/>
      <c r="L54" s="1340"/>
      <c r="M54" s="1316"/>
      <c r="N54" s="1316"/>
      <c r="P54" s="1317"/>
      <c r="Q54" s="1318"/>
      <c r="R54" s="1317"/>
      <c r="S54" s="1323"/>
      <c r="T54" s="1326" t="s">
        <v>426</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195</v>
      </c>
      <c r="B55" s="1344" t="s">
        <v>196</v>
      </c>
      <c r="C55" s="1315"/>
      <c r="D55" s="1315"/>
      <c r="E55" s="2260"/>
      <c r="F55" s="2259"/>
      <c r="G55" s="1315"/>
      <c r="H55" s="1315"/>
      <c r="I55" s="1315"/>
      <c r="J55" s="1315"/>
      <c r="K55" s="1315"/>
      <c r="L55" s="1340"/>
      <c r="M55" s="1322"/>
      <c r="N55" s="1322"/>
      <c r="P55" s="1317"/>
      <c r="Q55" s="1318"/>
      <c r="R55" s="1317"/>
      <c r="S55" s="1323"/>
      <c r="T55" s="1326" t="s">
        <v>232</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195</v>
      </c>
      <c r="B56" s="1344"/>
      <c r="C56" s="1344"/>
      <c r="D56" s="1344"/>
      <c r="E56" s="2259"/>
      <c r="F56" s="1344"/>
      <c r="G56" s="1344"/>
      <c r="H56" s="1344"/>
      <c r="I56" s="1344"/>
      <c r="J56" s="1344"/>
      <c r="K56" s="1344"/>
      <c r="L56" s="1347"/>
      <c r="M56" s="1322"/>
      <c r="N56" s="1322"/>
      <c r="O56" s="519"/>
      <c r="P56" s="381"/>
      <c r="Q56" s="1345"/>
      <c r="R56" s="381"/>
      <c r="S56" s="1323"/>
      <c r="T56" s="1326" t="s">
        <v>233</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240</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78.7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75</v>
      </c>
    </row>
    <row customHeight="1" ht="14.699999999999998">
      <c r="O61" s="538"/>
      <c r="AS61" s="1156">
        <v>14</v>
      </c>
    </row>
    <row customHeight="1" ht="18.75">
      <c r="O62" s="538"/>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39.7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38</v>
      </c>
    </row>
    <row customHeight="1" ht="22.5" hidden="1">
      <c r="A65" s="1161" t="s">
        <v>84</v>
      </c>
      <c r="B65" s="1161">
        <v>0</v>
      </c>
      <c r="C65" s="1161">
        <v>0</v>
      </c>
      <c r="D65" s="1161">
        <v>0</v>
      </c>
      <c r="E65" s="1161">
        <v>0</v>
      </c>
      <c r="F65" s="1161">
        <v>0</v>
      </c>
      <c r="G65" s="1161">
        <v>0</v>
      </c>
      <c r="H65" s="1161">
        <v>0</v>
      </c>
      <c r="I65" s="1161">
        <v>0</v>
      </c>
      <c r="J65" s="1161">
        <v>0</v>
      </c>
      <c r="K65" s="1161">
        <v>0</v>
      </c>
      <c r="L65" s="1330">
        <v>0</v>
      </c>
      <c r="M65" s="1363">
        <v>0</v>
      </c>
      <c r="N65" s="1363">
        <v>0</v>
      </c>
      <c r="O65" s="1363">
        <v>0</v>
      </c>
      <c r="P65" s="1329">
        <v>3</v>
      </c>
      <c r="Q65" s="345">
        <v>3</v>
      </c>
      <c r="R65" s="345">
        <v>3</v>
      </c>
      <c r="S65" s="582">
        <v>12</v>
      </c>
      <c r="T65" s="1156">
        <v>31</v>
      </c>
      <c r="U65" s="1156">
        <v>0</v>
      </c>
      <c r="V65" s="1156">
        <v>0</v>
      </c>
      <c r="W65" s="1156">
        <v>0</v>
      </c>
      <c r="X65" s="1156">
        <v>0</v>
      </c>
      <c r="Y65" s="1156">
        <v>0</v>
      </c>
      <c r="Z65" s="1156">
        <v>0</v>
      </c>
      <c r="AA65" s="1156">
        <v>0</v>
      </c>
      <c r="AB65" s="1156">
        <v>0</v>
      </c>
      <c r="AC65" s="1156">
        <v>0</v>
      </c>
      <c r="AD65" s="1156">
        <v>0</v>
      </c>
      <c r="AE65" s="1156">
        <v>24</v>
      </c>
      <c r="AF65" s="1156">
        <v>0</v>
      </c>
      <c r="AG65" s="1156">
        <v>0</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D68B45F-5946-2F67-7F61-0.A3B56064}"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8.421875" hidden="1" customWidth="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126</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408</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409</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410</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411</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412</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413</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414</v>
      </c>
      <c r="AO5" s="501"/>
      <c r="AP5" s="501" t="str">
        <f>IF(T5="","",T5)</f>
        <v>Источник тепловой энергии  </v>
      </c>
      <c r="AQ5" s="501"/>
      <c r="AR5" s="501"/>
      <c r="AS5" s="1156">
        <v>0</v>
      </c>
    </row>
    <row customHeight="1" ht="14.25" hidden="1">
      <c r="A6" s="1364"/>
      <c r="B6" s="1364"/>
      <c r="C6" s="1364"/>
      <c r="D6" s="1364"/>
      <c r="E6" s="2260"/>
      <c r="F6" s="2260"/>
      <c r="G6" s="2260"/>
      <c r="H6" s="2260"/>
      <c r="I6" s="2257">
        <f>S5&amp;".1"</f>
      </c>
      <c r="J6" s="1364"/>
      <c r="K6" s="1364"/>
      <c r="L6" s="1365" t="s">
        <v>415</v>
      </c>
      <c r="M6" s="538"/>
      <c r="P6" s="2258">
        <v>1</v>
      </c>
      <c r="Q6" s="1332"/>
      <c r="R6" s="357"/>
      <c r="S6" s="1043"/>
      <c r="T6" s="1384"/>
      <c r="U6" s="1385"/>
      <c r="V6" s="2297"/>
      <c r="W6" s="2298"/>
      <c r="X6" s="2298"/>
      <c r="Y6" s="2298"/>
      <c r="Z6" s="2298"/>
      <c r="AA6" s="2298"/>
      <c r="AB6" s="2298"/>
      <c r="AC6" s="2299"/>
      <c r="AD6" s="2297"/>
      <c r="AE6" s="2298"/>
      <c r="AF6" s="2298"/>
      <c r="AG6" s="2298"/>
      <c r="AH6" s="2298"/>
      <c r="AI6" s="2298"/>
      <c r="AJ6" s="2298"/>
      <c r="AK6" s="2298"/>
      <c r="AL6" s="2299"/>
      <c r="AM6" s="1386"/>
      <c r="AO6" s="501"/>
      <c r="AP6" s="501" t="str">
        <f>IF(T6="","",T6)</f>
        <v/>
      </c>
      <c r="AQ6" s="501"/>
      <c r="AR6" s="501"/>
      <c r="AS6" s="1156">
        <v>0</v>
      </c>
    </row>
    <row customHeight="1" ht="21" hidden="1">
      <c r="A7" s="1364"/>
      <c r="B7" s="1364"/>
      <c r="C7" s="1364"/>
      <c r="D7" s="1364"/>
      <c r="E7" s="2260"/>
      <c r="F7" s="2260"/>
      <c r="G7" s="2260"/>
      <c r="H7" s="2260"/>
      <c r="I7" s="2287"/>
      <c r="J7" s="2257">
        <f>I6&amp;".1"</f>
      </c>
      <c r="K7" s="1364"/>
      <c r="L7" s="1365" t="s">
        <v>418</v>
      </c>
      <c r="M7" s="538"/>
      <c r="N7" s="1367"/>
      <c r="P7" s="2258"/>
      <c r="Q7" s="2258">
        <v>1</v>
      </c>
      <c r="R7" s="358"/>
      <c r="S7" s="1337">
        <f>$J7</f>
      </c>
      <c r="T7" s="287" t="s">
        <v>419</v>
      </c>
      <c r="U7" s="301"/>
      <c r="V7" s="2246"/>
      <c r="W7" s="2247"/>
      <c r="X7" s="2247"/>
      <c r="Y7" s="2247"/>
      <c r="Z7" s="2247"/>
      <c r="AA7" s="2247"/>
      <c r="AB7" s="2247"/>
      <c r="AC7" s="2248"/>
      <c r="AD7" s="2246"/>
      <c r="AE7" s="2247"/>
      <c r="AF7" s="2247"/>
      <c r="AG7" s="2247"/>
      <c r="AH7" s="2247"/>
      <c r="AI7" s="2247"/>
      <c r="AJ7" s="2247"/>
      <c r="AK7" s="2247"/>
      <c r="AL7" s="2248"/>
      <c r="AM7" s="1259" t="s">
        <v>420</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421</v>
      </c>
      <c r="M8" s="538"/>
      <c r="N8" s="1367"/>
      <c r="O8" s="1367"/>
      <c r="P8" s="2258"/>
      <c r="Q8" s="2258"/>
      <c r="R8" s="358">
        <v>1</v>
      </c>
      <c r="S8" s="1337">
        <f>$K8</f>
      </c>
      <c r="T8" s="1348"/>
      <c r="U8" s="301"/>
      <c r="V8" s="752"/>
      <c r="W8" s="326"/>
      <c r="X8" s="752"/>
      <c r="Y8" s="1258"/>
      <c r="Z8" s="2266"/>
      <c r="AA8" s="2108" t="s">
        <v>63</v>
      </c>
      <c r="AB8" s="2266"/>
      <c r="AC8" s="2108" t="s">
        <v>63</v>
      </c>
      <c r="AD8" s="752"/>
      <c r="AE8" s="326"/>
      <c r="AF8" s="752"/>
      <c r="AG8" s="1258"/>
      <c r="AH8" s="2266"/>
      <c r="AI8" s="2108" t="s">
        <v>63</v>
      </c>
      <c r="AJ8" s="2266"/>
      <c r="AK8" s="2108" t="s">
        <v>63</v>
      </c>
      <c r="AL8" s="326"/>
      <c r="AM8" s="2254" t="s">
        <v>422</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8" t="s">
        <v>423</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366" t="s">
        <v>424</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426</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232</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233</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63</v>
      </c>
      <c r="AJ17" s="2268"/>
      <c r="AK17" s="2269" t="s">
        <v>63</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427</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428</v>
      </c>
      <c r="P22" s="1363"/>
      <c r="Q22" s="1372"/>
      <c r="R22" s="1372"/>
      <c r="S22" s="730"/>
      <c r="T22" s="1161" t="s">
        <v>429</v>
      </c>
      <c r="AA22" s="187" t="s">
        <v>430</v>
      </c>
      <c r="AC22" s="187" t="s">
        <v>431</v>
      </c>
      <c r="AD22" s="1161" t="s">
        <v>429</v>
      </c>
      <c r="AI22" s="187" t="s">
        <v>432</v>
      </c>
      <c r="AK22" s="187" t="s">
        <v>431</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63">
      <c r="Q26" s="377"/>
      <c r="R26" s="377"/>
      <c r="S26" s="2249"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9"/>
      <c r="U26" s="2249"/>
      <c r="V26" s="2249"/>
      <c r="W26" s="2249"/>
      <c r="X26" s="2249"/>
      <c r="Y26" s="2249"/>
      <c r="Z26" s="2249"/>
      <c r="AA26" s="2249"/>
      <c r="AB26" s="2249"/>
      <c r="AC26" s="2249"/>
      <c r="AD26" s="2249"/>
      <c r="AE26" s="2249"/>
      <c r="AF26" s="2249"/>
      <c r="AG26" s="2249"/>
      <c r="AH26" s="2249"/>
      <c r="AI26" s="2249"/>
      <c r="AJ26" s="2249"/>
      <c r="AK26" s="1244"/>
      <c r="AS26" s="1156">
        <v>60</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Управление по государственному регулированию цен (тарифов) Ненецкого автономного округа</v>
      </c>
      <c r="W29" s="2252"/>
      <c r="X29" s="2252"/>
      <c r="Y29" s="2252"/>
      <c r="Z29" s="2252"/>
      <c r="AA29" s="2252"/>
      <c r="AB29" s="2252"/>
      <c r="AC29" s="327"/>
      <c r="AD29" s="2252" t="str">
        <f>IF(TITLE_NAME_OR_PR_CHANGE="",IF(TITLE_NAME_OR_PR="","",TITLE_NAME_OR_PR),TITLE_NAME_OR_PR_CHANGE)</f>
        <v>Управление по государственному регулированию цен (тарифов) Ненецкого автономного округа</v>
      </c>
      <c r="AE29" s="2252"/>
      <c r="AF29" s="2252"/>
      <c r="AG29" s="2252"/>
      <c r="AH29" s="2252"/>
      <c r="AI29" s="2252"/>
      <c r="AJ29" s="2252"/>
      <c r="AK29" s="327"/>
      <c r="AL29" s="327"/>
      <c r="AM29" s="281"/>
      <c r="AN29" s="369"/>
      <c r="AO29" s="369"/>
      <c r="AP29" s="369"/>
      <c r="AQ29" s="369"/>
      <c r="AR29" s="369"/>
      <c r="AS29" s="419">
        <v>0</v>
      </c>
    </row>
    <row s="1854" customFormat="1" customHeight="1" ht="18.75">
      <c r="A30" s="1369"/>
      <c r="B30" s="1369"/>
      <c r="C30" s="1369"/>
      <c r="D30" s="1369"/>
      <c r="E30" s="1369"/>
      <c r="F30" s="1369"/>
      <c r="G30" s="1369"/>
      <c r="H30" s="1369"/>
      <c r="I30" s="1369"/>
      <c r="J30" s="1369"/>
      <c r="K30" s="1369"/>
      <c r="L30" s="1370"/>
      <c r="M30" s="1369"/>
      <c r="N30" s="1369"/>
      <c r="O30" s="1369"/>
      <c r="S30" s="2251" t="s">
        <v>433</v>
      </c>
      <c r="T30" s="2251"/>
      <c r="U30" s="1373"/>
      <c r="V30" s="2265" t="str">
        <f>IF(TITLE_DATE_PR_CHANGE="",IF(TITLE_DATE_PR="","",TITLE_DATE_PR),TITLE_DATE_PR_CHANGE)</f>
        <v>45642</v>
      </c>
      <c r="W30" s="2265"/>
      <c r="X30" s="2265"/>
      <c r="Y30" s="2265"/>
      <c r="Z30" s="2265"/>
      <c r="AA30" s="2265"/>
      <c r="AB30" s="2265"/>
      <c r="AC30" s="327"/>
      <c r="AD30" s="2265" t="str">
        <f>IF(TITLE_DATE_PR_CHANGE="",IF(TITLE_DATE_PR="","",TITLE_DATE_PR),TITLE_DATE_PR_CHANGE)</f>
        <v>45642</v>
      </c>
      <c r="AE30" s="2265"/>
      <c r="AF30" s="2265"/>
      <c r="AG30" s="2265"/>
      <c r="AH30" s="2265"/>
      <c r="AI30" s="2265"/>
      <c r="AJ30" s="2265"/>
      <c r="AK30" s="327"/>
      <c r="AL30" s="327"/>
      <c r="AM30" s="281"/>
      <c r="AN30" s="369"/>
      <c r="AO30" s="369"/>
      <c r="AP30" s="369"/>
      <c r="AQ30" s="369"/>
      <c r="AR30" s="369"/>
      <c r="AS30" s="419">
        <v>0</v>
      </c>
    </row>
    <row s="1854" customFormat="1" customHeight="1" ht="18.75">
      <c r="A31" s="1369"/>
      <c r="B31" s="1369"/>
      <c r="C31" s="1369"/>
      <c r="D31" s="1369"/>
      <c r="E31" s="1369"/>
      <c r="F31" s="1369"/>
      <c r="G31" s="1369"/>
      <c r="H31" s="1369"/>
      <c r="I31" s="1369"/>
      <c r="J31" s="1369"/>
      <c r="K31" s="1369"/>
      <c r="L31" s="1370"/>
      <c r="M31" s="1369"/>
      <c r="N31" s="1369"/>
      <c r="O31" s="1369"/>
      <c r="S31" s="2251" t="s">
        <v>434</v>
      </c>
      <c r="T31" s="2251"/>
      <c r="U31" s="1373"/>
      <c r="V31" s="2252" t="str">
        <f>IF(TITLE_NUMBER_PR_CHANGE="",IF(TITLE_NUMBER_PR="","",TITLE_NUMBER_PR),TITLE_NUMBER_PR_CHANGE)</f>
        <v>58</v>
      </c>
      <c r="W31" s="2252"/>
      <c r="X31" s="2252"/>
      <c r="Y31" s="2252"/>
      <c r="Z31" s="2252"/>
      <c r="AA31" s="2252"/>
      <c r="AB31" s="2252"/>
      <c r="AC31" s="327"/>
      <c r="AD31" s="2252" t="str">
        <f>IF(TITLE_NUMBER_PR_CHANGE="",IF(TITLE_NUMBER_PR="","",TITLE_NUMBER_PR),TITLE_NUMBER_PR_CHANGE)</f>
        <v>58</v>
      </c>
      <c r="AE31" s="2252"/>
      <c r="AF31" s="2252"/>
      <c r="AG31" s="2252"/>
      <c r="AH31" s="2252"/>
      <c r="AI31" s="2252"/>
      <c r="AJ31" s="2252"/>
      <c r="AK31" s="327"/>
      <c r="AL31" s="327"/>
      <c r="AM31" s="281"/>
      <c r="AN31" s="369"/>
      <c r="AO31" s="369"/>
      <c r="AP31" s="369"/>
      <c r="AQ31" s="369"/>
      <c r="AR31" s="369"/>
      <c r="AS31" s="419">
        <v>0</v>
      </c>
    </row>
    <row s="1854" customFormat="1" customHeight="1" ht="18.75">
      <c r="A32" s="1369"/>
      <c r="B32" s="1369"/>
      <c r="C32" s="1369"/>
      <c r="D32" s="1369"/>
      <c r="E32" s="1369"/>
      <c r="F32" s="1369"/>
      <c r="G32" s="1369"/>
      <c r="H32" s="1369"/>
      <c r="I32" s="1369"/>
      <c r="J32" s="1369"/>
      <c r="K32" s="1369"/>
      <c r="L32" s="1370"/>
      <c r="M32" s="1369"/>
      <c r="N32" s="1369"/>
      <c r="O32" s="1369"/>
      <c r="S32" s="2251" t="s">
        <v>44</v>
      </c>
      <c r="T32" s="2251"/>
      <c r="U32" s="1373"/>
      <c r="V32" s="2252" t="str">
        <f>IF(TITLE_IST_PUB_CHANGE="",IF(TITLE_IST_PUB="","",TITLE_IST_PUB),TITLE_IST_PUB_CHANGE)</f>
        <v>Официальный интернет портал правовой информации http://pravo.gov.ru </v>
      </c>
      <c r="W32" s="2252"/>
      <c r="X32" s="2252"/>
      <c r="Y32" s="2252"/>
      <c r="Z32" s="2252"/>
      <c r="AA32" s="2252"/>
      <c r="AB32" s="2252"/>
      <c r="AC32" s="327"/>
      <c r="AD32" s="2252" t="str">
        <f>IF(TITLE_IST_PUB_CHANGE="",IF(TITLE_IST_PUB="","",TITLE_IST_PUB),TITLE_IST_PUB_CHANGE)</f>
        <v>Официальный интернет портал правовой информации http://pravo.gov.ru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435</v>
      </c>
      <c r="T34" s="2251"/>
      <c r="U34" s="1373"/>
      <c r="V34" s="2265" t="str">
        <f>IF(TITLE_DATE_PR_CHANGE="",IF(TITLE_DATE_PR="","",TITLE_DATE_PR),TITLE_DATE_PR_CHANGE)</f>
        <v>45642</v>
      </c>
      <c r="W34" s="2265"/>
      <c r="X34" s="2265"/>
      <c r="Y34" s="2265"/>
      <c r="Z34" s="2265"/>
      <c r="AA34" s="2265"/>
      <c r="AB34" s="2265"/>
      <c r="AC34" s="327"/>
      <c r="AD34" s="2265" t="str">
        <f>IF(TITLE_DATE_PR_CHANGE="",IF(TITLE_DATE_PR="","",TITLE_DATE_PR),TITLE_DATE_PR_CHANGE)</f>
        <v>45642</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436</v>
      </c>
      <c r="T35" s="2251"/>
      <c r="U35" s="1373"/>
      <c r="V35" s="2252" t="str">
        <f>IF(TITLE_NUMBER_PR_CHANGE="",IF(TITLE_NUMBER_PR="","",TITLE_NUMBER_PR),TITLE_NUMBER_PR_CHANGE)</f>
        <v>58</v>
      </c>
      <c r="W35" s="2252"/>
      <c r="X35" s="2252"/>
      <c r="Y35" s="2252"/>
      <c r="Z35" s="2252"/>
      <c r="AA35" s="2252"/>
      <c r="AB35" s="2252"/>
      <c r="AC35" s="327"/>
      <c r="AD35" s="2252" t="str">
        <f>IF(TITLE_NUMBER_PR_CHANGE="",IF(TITLE_NUMBER_PR="","",TITLE_NUMBER_PR),TITLE_NUMBER_PR_CHANGE)</f>
        <v>58</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437</v>
      </c>
      <c r="AD36" s="327"/>
      <c r="AE36" s="327"/>
      <c r="AF36" s="327"/>
      <c r="AG36" s="327"/>
      <c r="AH36" s="327"/>
      <c r="AI36" s="327"/>
      <c r="AJ36" s="327"/>
      <c r="AK36" s="279" t="s">
        <v>437</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312</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313</v>
      </c>
      <c r="AS38" s="1156">
        <v>14</v>
      </c>
    </row>
    <row customHeight="1" ht="14.699999999999998">
      <c r="Q39" s="377"/>
      <c r="R39" s="377"/>
      <c r="S39" s="2274" t="s">
        <v>90</v>
      </c>
      <c r="T39" s="2210" t="s">
        <v>438</v>
      </c>
      <c r="U39" s="302"/>
      <c r="V39" s="2275" t="s">
        <v>439</v>
      </c>
      <c r="W39" s="2276"/>
      <c r="X39" s="2276"/>
      <c r="Y39" s="2276"/>
      <c r="Z39" s="2276"/>
      <c r="AA39" s="2276"/>
      <c r="AB39" s="2277"/>
      <c r="AC39" s="2278" t="s">
        <v>440</v>
      </c>
      <c r="AD39" s="2275" t="s">
        <v>439</v>
      </c>
      <c r="AE39" s="2276"/>
      <c r="AF39" s="2276"/>
      <c r="AG39" s="2276"/>
      <c r="AH39" s="2276"/>
      <c r="AI39" s="2276"/>
      <c r="AJ39" s="2277"/>
      <c r="AK39" s="2278" t="s">
        <v>441</v>
      </c>
      <c r="AL39" s="2281" t="s">
        <v>442</v>
      </c>
      <c r="AM39" s="2128"/>
      <c r="AS39" s="1156">
        <v>14</v>
      </c>
    </row>
    <row customHeight="1" ht="35.699999999999996">
      <c r="Q40" s="377"/>
      <c r="R40" s="377"/>
      <c r="S40" s="2274"/>
      <c r="T40" s="2210"/>
      <c r="U40" s="1032"/>
      <c r="V40" s="2261" t="s">
        <v>443</v>
      </c>
      <c r="W40" s="2284"/>
      <c r="X40" s="2263" t="s">
        <v>445</v>
      </c>
      <c r="Y40" s="2264"/>
      <c r="Z40" s="2263" t="s">
        <v>446</v>
      </c>
      <c r="AA40" s="2270"/>
      <c r="AB40" s="2264"/>
      <c r="AC40" s="2279"/>
      <c r="AD40" s="2261" t="s">
        <v>459</v>
      </c>
      <c r="AE40" s="2284"/>
      <c r="AF40" s="2263" t="s">
        <v>445</v>
      </c>
      <c r="AG40" s="2264"/>
      <c r="AH40" s="2263" t="s">
        <v>446</v>
      </c>
      <c r="AI40" s="2270"/>
      <c r="AJ40" s="2264"/>
      <c r="AK40" s="2279"/>
      <c r="AL40" s="2282"/>
      <c r="AM40" s="2128"/>
      <c r="AS40" s="1156">
        <v>34</v>
      </c>
    </row>
    <row customHeight="1" ht="35.699999999999996">
      <c r="A41" s="1371"/>
      <c r="B41" s="1371" t="s">
        <v>138</v>
      </c>
      <c r="C41" s="1371" t="s">
        <v>139</v>
      </c>
      <c r="D41" s="1371" t="s">
        <v>140</v>
      </c>
      <c r="E41" s="1365" t="s">
        <v>447</v>
      </c>
      <c r="F41" s="1365" t="s">
        <v>448</v>
      </c>
      <c r="G41" s="1365" t="s">
        <v>449</v>
      </c>
      <c r="H41" s="1365" t="s">
        <v>450</v>
      </c>
      <c r="I41" s="1365" t="s">
        <v>451</v>
      </c>
      <c r="J41" s="1365" t="s">
        <v>452</v>
      </c>
      <c r="K41" s="1365" t="s">
        <v>453</v>
      </c>
      <c r="L41" s="1365" t="s">
        <v>428</v>
      </c>
      <c r="Q41" s="377"/>
      <c r="R41" s="377"/>
      <c r="S41" s="2274"/>
      <c r="T41" s="2210"/>
      <c r="U41" s="303"/>
      <c r="V41" s="2262"/>
      <c r="W41" s="2285"/>
      <c r="X41" s="1223" t="s">
        <v>454</v>
      </c>
      <c r="Y41" s="1223" t="s">
        <v>455</v>
      </c>
      <c r="Z41" s="1339" t="s">
        <v>456</v>
      </c>
      <c r="AA41" s="2271" t="s">
        <v>457</v>
      </c>
      <c r="AB41" s="2272"/>
      <c r="AC41" s="2280"/>
      <c r="AD41" s="2262"/>
      <c r="AE41" s="2285"/>
      <c r="AF41" s="1223" t="s">
        <v>454</v>
      </c>
      <c r="AG41" s="1223" t="s">
        <v>455</v>
      </c>
      <c r="AH41" s="1339" t="s">
        <v>456</v>
      </c>
      <c r="AI41" s="2271" t="s">
        <v>457</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112</v>
      </c>
      <c r="T42" s="1256" t="s">
        <v>113</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171</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126</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1"/>
      <c r="AP43" s="501" t="str">
        <f>IF(T43="","",T43)</f>
        <v>Наименование тарифа</v>
      </c>
      <c r="AQ43" s="501"/>
      <c r="AR43" s="501"/>
      <c r="AS43" s="1156">
        <v>21</v>
      </c>
    </row>
    <row customHeight="1" ht="22.049999999999997">
      <c r="A44" s="1364" t="s">
        <v>171</v>
      </c>
      <c r="B44" s="1364" t="s">
        <v>172</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409</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410</v>
      </c>
      <c r="AO44" s="501"/>
      <c r="AP44" s="501" t="str">
        <f>IF(T44="","",T44)</f>
        <v>Территория действия тарифа</v>
      </c>
      <c r="AQ44" s="501"/>
      <c r="AR44" s="501"/>
      <c r="AS44" s="1156">
        <v>21</v>
      </c>
    </row>
    <row customHeight="1" ht="24">
      <c r="A45" s="1364" t="s">
        <v>171</v>
      </c>
      <c r="B45" s="1364" t="s">
        <v>172</v>
      </c>
      <c r="C45" s="1364" t="s">
        <v>173</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411</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412</v>
      </c>
      <c r="AO45" s="501"/>
      <c r="AP45" s="501" t="str">
        <f>IF(T45="","",T45)</f>
        <v>Наименование системы теплоснабжения </v>
      </c>
      <c r="AQ45" s="501"/>
      <c r="AR45" s="501"/>
      <c r="AS45" s="1156">
        <v>23</v>
      </c>
    </row>
    <row customHeight="1" ht="22.049999999999997">
      <c r="A46" s="1364" t="s">
        <v>171</v>
      </c>
      <c r="B46" s="1364" t="s">
        <v>172</v>
      </c>
      <c r="C46" s="1364" t="s">
        <v>173</v>
      </c>
      <c r="D46" s="1364" t="s">
        <v>174</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413</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414</v>
      </c>
      <c r="AO46" s="501"/>
      <c r="AP46" s="501" t="str">
        <f>IF(T46="","",T46)</f>
        <v>Источник тепловой энергии  </v>
      </c>
      <c r="AQ46" s="501"/>
      <c r="AR46" s="501"/>
      <c r="AS46" s="1156">
        <v>21</v>
      </c>
    </row>
    <row s="1643" customFormat="1" customHeight="1" ht="0">
      <c r="A47" s="1344" t="s">
        <v>171</v>
      </c>
      <c r="B47" s="1344" t="s">
        <v>172</v>
      </c>
      <c r="C47" s="1344" t="s">
        <v>173</v>
      </c>
      <c r="D47" s="1344" t="s">
        <v>174</v>
      </c>
      <c r="E47" s="2260"/>
      <c r="F47" s="2260"/>
      <c r="G47" s="2260"/>
      <c r="H47" s="2260"/>
      <c r="I47" s="2257" t="str">
        <f>S46&amp;".1"</f>
        <v>....1</v>
      </c>
      <c r="J47" s="1344"/>
      <c r="K47" s="1344"/>
      <c r="L47" s="1347" t="s">
        <v>415</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171</v>
      </c>
      <c r="B48" s="1364" t="s">
        <v>172</v>
      </c>
      <c r="C48" s="1364" t="s">
        <v>173</v>
      </c>
      <c r="D48" s="1364" t="s">
        <v>174</v>
      </c>
      <c r="E48" s="2260"/>
      <c r="F48" s="2260"/>
      <c r="G48" s="2260"/>
      <c r="H48" s="2260"/>
      <c r="I48" s="2287"/>
      <c r="J48" s="2257" t="str">
        <f>S46&amp;".1"</f>
        <v>....1</v>
      </c>
      <c r="K48" s="1364"/>
      <c r="L48" s="1365" t="s">
        <v>418</v>
      </c>
      <c r="P48" s="2258"/>
      <c r="Q48" s="2258">
        <v>1</v>
      </c>
      <c r="R48" s="358"/>
      <c r="S48" s="1337" t="str">
        <f>$J48</f>
        <v>....1</v>
      </c>
      <c r="T48" s="287" t="s">
        <v>419</v>
      </c>
      <c r="U48" s="301"/>
      <c r="V48" s="2246"/>
      <c r="W48" s="2247"/>
      <c r="X48" s="2247"/>
      <c r="Y48" s="2247"/>
      <c r="Z48" s="2247"/>
      <c r="AA48" s="2247"/>
      <c r="AB48" s="2247"/>
      <c r="AC48" s="2248"/>
      <c r="AD48" s="2246"/>
      <c r="AE48" s="2247"/>
      <c r="AF48" s="2247"/>
      <c r="AG48" s="2247"/>
      <c r="AH48" s="2247"/>
      <c r="AI48" s="2247"/>
      <c r="AJ48" s="2247"/>
      <c r="AK48" s="2247"/>
      <c r="AL48" s="2248"/>
      <c r="AM48" s="1259" t="s">
        <v>420</v>
      </c>
      <c r="AO48" s="501"/>
      <c r="AP48" s="501" t="str">
        <f>IF(T48="","",T48)</f>
        <v>Группа потребителей</v>
      </c>
      <c r="AQ48" s="501"/>
      <c r="AR48" s="501"/>
      <c r="AS48" s="1156">
        <v>21</v>
      </c>
    </row>
    <row customHeight="1" ht="22.049999999999997">
      <c r="A49" s="1364" t="s">
        <v>171</v>
      </c>
      <c r="B49" s="1364" t="s">
        <v>172</v>
      </c>
      <c r="C49" s="1364" t="s">
        <v>173</v>
      </c>
      <c r="D49" s="1364" t="s">
        <v>174</v>
      </c>
      <c r="E49" s="2260"/>
      <c r="F49" s="2260"/>
      <c r="G49" s="2260"/>
      <c r="H49" s="2260"/>
      <c r="I49" s="2287"/>
      <c r="J49" s="2287"/>
      <c r="K49" s="2257" t="str">
        <f>J48&amp;".1"</f>
        <v>....1.1</v>
      </c>
      <c r="L49" s="1365" t="s">
        <v>421</v>
      </c>
      <c r="P49" s="2258"/>
      <c r="Q49" s="2258"/>
      <c r="R49" s="358">
        <v>1</v>
      </c>
      <c r="S49" s="1337" t="str">
        <f>$K49</f>
        <v>....1.1</v>
      </c>
      <c r="T49" s="1348"/>
      <c r="U49" s="301"/>
      <c r="V49" s="752"/>
      <c r="W49" s="326"/>
      <c r="X49" s="752"/>
      <c r="Y49" s="1258"/>
      <c r="Z49" s="2266"/>
      <c r="AA49" s="2108" t="s">
        <v>63</v>
      </c>
      <c r="AB49" s="2266"/>
      <c r="AC49" s="2108" t="s">
        <v>63</v>
      </c>
      <c r="AD49" s="752"/>
      <c r="AE49" s="326"/>
      <c r="AF49" s="752"/>
      <c r="AG49" s="1258"/>
      <c r="AH49" s="2266"/>
      <c r="AI49" s="2108" t="s">
        <v>63</v>
      </c>
      <c r="AJ49" s="2288"/>
      <c r="AK49" s="2108" t="s">
        <v>63</v>
      </c>
      <c r="AL49" s="1349"/>
      <c r="AM49" s="2254" t="s">
        <v>460</v>
      </c>
      <c r="AN49" s="512">
        <f>STRCHECKDATE(V50:AL50)</f>
      </c>
      <c r="AO49" s="501"/>
      <c r="AP49" s="501" t="str">
        <f>IF(T49="","",T49)</f>
        <v/>
      </c>
      <c r="AQ49" s="501"/>
      <c r="AR49" s="501"/>
      <c r="AS49" s="1156">
        <v>21</v>
      </c>
    </row>
    <row customHeight="1" ht="1.05">
      <c r="A50" s="1364" t="s">
        <v>171</v>
      </c>
      <c r="B50" s="1364" t="s">
        <v>172</v>
      </c>
      <c r="C50" s="1364" t="s">
        <v>173</v>
      </c>
      <c r="D50" s="1364" t="s">
        <v>174</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171</v>
      </c>
      <c r="B51" s="1364" t="s">
        <v>172</v>
      </c>
      <c r="C51" s="1364" t="s">
        <v>173</v>
      </c>
      <c r="D51" s="1364" t="s">
        <v>174</v>
      </c>
      <c r="E51" s="2260"/>
      <c r="F51" s="2260"/>
      <c r="G51" s="2260"/>
      <c r="H51" s="2260"/>
      <c r="I51" s="2287"/>
      <c r="J51" s="2257"/>
      <c r="K51" s="1364"/>
      <c r="L51" s="1365"/>
      <c r="P51" s="2258"/>
      <c r="Q51" s="2258"/>
      <c r="R51" s="357"/>
      <c r="S51" s="1279"/>
      <c r="T51" s="288" t="s">
        <v>423</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171</v>
      </c>
      <c r="B52" s="1364" t="s">
        <v>172</v>
      </c>
      <c r="C52" s="1364" t="s">
        <v>173</v>
      </c>
      <c r="D52" s="1364" t="s">
        <v>174</v>
      </c>
      <c r="E52" s="2260"/>
      <c r="F52" s="2260"/>
      <c r="G52" s="2260"/>
      <c r="H52" s="2260"/>
      <c r="I52" s="2257"/>
      <c r="J52" s="1364"/>
      <c r="K52" s="1364"/>
      <c r="L52" s="1365"/>
      <c r="P52" s="2258"/>
      <c r="Q52" s="1332"/>
      <c r="R52" s="357"/>
      <c r="S52" s="1279"/>
      <c r="T52" s="366" t="s">
        <v>424</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171</v>
      </c>
      <c r="B53" s="1364" t="s">
        <v>172</v>
      </c>
      <c r="C53" s="1364" t="s">
        <v>173</v>
      </c>
      <c r="D53" s="1364" t="s">
        <v>174</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1.05">
      <c r="A54" s="1344" t="s">
        <v>171</v>
      </c>
      <c r="B54" s="1344" t="s">
        <v>172</v>
      </c>
      <c r="C54" s="1344" t="s">
        <v>173</v>
      </c>
      <c r="D54" s="1315"/>
      <c r="E54" s="2260"/>
      <c r="F54" s="2260"/>
      <c r="G54" s="2259"/>
      <c r="H54" s="1315"/>
      <c r="I54" s="1315"/>
      <c r="J54" s="1315"/>
      <c r="K54" s="1315"/>
      <c r="L54" s="1340"/>
      <c r="M54" s="1316"/>
      <c r="N54" s="1316"/>
      <c r="P54" s="1317"/>
      <c r="Q54" s="1318"/>
      <c r="R54" s="1317"/>
      <c r="S54" s="1323"/>
      <c r="T54" s="1326" t="s">
        <v>426</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171</v>
      </c>
      <c r="B55" s="1344" t="s">
        <v>172</v>
      </c>
      <c r="C55" s="1315"/>
      <c r="D55" s="1315"/>
      <c r="E55" s="2260"/>
      <c r="F55" s="2259"/>
      <c r="G55" s="1315"/>
      <c r="H55" s="1315"/>
      <c r="I55" s="1315"/>
      <c r="J55" s="1315"/>
      <c r="K55" s="1315"/>
      <c r="L55" s="1340"/>
      <c r="M55" s="1322"/>
      <c r="N55" s="1322"/>
      <c r="P55" s="1317"/>
      <c r="Q55" s="1318"/>
      <c r="R55" s="1317"/>
      <c r="S55" s="1323"/>
      <c r="T55" s="1326" t="s">
        <v>232</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171</v>
      </c>
      <c r="B56" s="1344"/>
      <c r="C56" s="1344"/>
      <c r="D56" s="1344"/>
      <c r="E56" s="2259"/>
      <c r="F56" s="1344"/>
      <c r="G56" s="1344"/>
      <c r="H56" s="1344"/>
      <c r="I56" s="1344"/>
      <c r="J56" s="1344"/>
      <c r="K56" s="1344"/>
      <c r="L56" s="1347"/>
      <c r="M56" s="1322"/>
      <c r="N56" s="1322"/>
      <c r="O56" s="519"/>
      <c r="P56" s="381"/>
      <c r="Q56" s="1345"/>
      <c r="R56" s="381"/>
      <c r="S56" s="1323"/>
      <c r="T56" s="1326" t="s">
        <v>233</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240</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19.9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19</v>
      </c>
    </row>
    <row customHeight="1" ht="29.2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28</v>
      </c>
    </row>
    <row customHeight="1" ht="42">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40</v>
      </c>
    </row>
    <row customHeight="1" ht="14.699999999999998">
      <c r="O62" s="538"/>
      <c r="AS62" s="1156">
        <v>14</v>
      </c>
    </row>
    <row customHeight="1" ht="21">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20</v>
      </c>
    </row>
    <row customHeight="1" ht="29.25">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35.699999999999996">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34</v>
      </c>
    </row>
    <row customHeight="1" ht="22.5" hidden="1">
      <c r="A66" s="1161" t="s">
        <v>84</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9839565-B9B4-E207-4B93-0.0D73295D}"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1" s="1872"/>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126</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408</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409</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410</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2009">
        <f>INDEX(PT_DIFFERENTIATION_NUM_CS,MATCH(C4,PT_DIFFERENTIATION_CS_ID,0))</f>
      </c>
      <c r="T4" s="2013" t="s">
        <v>411</v>
      </c>
      <c r="U4" s="2014"/>
      <c r="V4" s="2301"/>
      <c r="W4" s="2302"/>
      <c r="X4" s="2302"/>
      <c r="Y4" s="2302"/>
      <c r="Z4" s="2302"/>
      <c r="AA4" s="2302"/>
      <c r="AB4" s="2302"/>
      <c r="AC4" s="2303"/>
      <c r="AD4" s="2301">
        <f>INDEX(PT_DIFFERENTIATION_CS,MATCH(C4,PT_DIFFERENTIATION_CS_ID,0))</f>
      </c>
      <c r="AE4" s="2302"/>
      <c r="AF4" s="2302"/>
      <c r="AG4" s="2302"/>
      <c r="AH4" s="2302"/>
      <c r="AI4" s="2302"/>
      <c r="AJ4" s="2302"/>
      <c r="AK4" s="2302"/>
      <c r="AL4" s="2303"/>
      <c r="AM4" s="1259" t="s">
        <v>412</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1636"/>
      <c r="S5" s="2008">
        <f>INDEX(PT_DIFFERENTIATION_NUM_IST_TE,MATCH(D5,PT_DIFFERENTIATION_IST_TE_ID,0))</f>
      </c>
      <c r="T5" s="311" t="s">
        <v>413</v>
      </c>
      <c r="U5" s="301"/>
      <c r="V5" s="2304"/>
      <c r="W5" s="2304"/>
      <c r="X5" s="2304"/>
      <c r="Y5" s="2304"/>
      <c r="Z5" s="2304"/>
      <c r="AA5" s="2304"/>
      <c r="AB5" s="2304"/>
      <c r="AC5" s="2304"/>
      <c r="AD5" s="2304">
        <f>INDEX(PT_DIFFERENTIATION_IST_TE,MATCH(D5,PT_DIFFERENTIATION_IST_TE_ID,0))</f>
      </c>
      <c r="AE5" s="2304"/>
      <c r="AF5" s="2304"/>
      <c r="AG5" s="2304"/>
      <c r="AH5" s="2304"/>
      <c r="AI5" s="2304"/>
      <c r="AJ5" s="2304"/>
      <c r="AK5" s="2304"/>
      <c r="AL5" s="2304"/>
      <c r="AM5" s="2011" t="s">
        <v>414</v>
      </c>
      <c r="AO5" s="501"/>
      <c r="AP5" s="501" t="str">
        <f>IF(T5="","",T5)</f>
        <v>Источник тепловой энергии  </v>
      </c>
      <c r="AQ5" s="501"/>
      <c r="AR5" s="501"/>
      <c r="AS5" s="1156">
        <v>0</v>
      </c>
    </row>
    <row customHeight="1" ht="0.75" hidden="1">
      <c r="A6" s="1364"/>
      <c r="B6" s="1364"/>
      <c r="C6" s="1364"/>
      <c r="D6" s="1364"/>
      <c r="E6" s="2260"/>
      <c r="F6" s="2260"/>
      <c r="G6" s="2260"/>
      <c r="H6" s="2260"/>
      <c r="I6" s="2257">
        <f>S5&amp;".1"</f>
      </c>
      <c r="J6" s="1364"/>
      <c r="K6" s="1364"/>
      <c r="L6" s="1365" t="s">
        <v>415</v>
      </c>
      <c r="M6" s="538"/>
      <c r="P6" s="2258">
        <v>1</v>
      </c>
      <c r="Q6" s="1332"/>
      <c r="R6" s="2007"/>
      <c r="S6" s="1043"/>
      <c r="T6" s="1384"/>
      <c r="U6" s="1385"/>
      <c r="V6" s="2305"/>
      <c r="W6" s="2305"/>
      <c r="X6" s="2305"/>
      <c r="Y6" s="2305"/>
      <c r="Z6" s="2305"/>
      <c r="AA6" s="2305"/>
      <c r="AB6" s="2305"/>
      <c r="AC6" s="2305"/>
      <c r="AD6" s="2305"/>
      <c r="AE6" s="2305"/>
      <c r="AF6" s="2305"/>
      <c r="AG6" s="2305"/>
      <c r="AH6" s="2305"/>
      <c r="AI6" s="2305"/>
      <c r="AJ6" s="2305"/>
      <c r="AK6" s="2305"/>
      <c r="AL6" s="2305"/>
      <c r="AM6" s="2012"/>
      <c r="AO6" s="501"/>
      <c r="AP6" s="501" t="str">
        <f>IF(T6="","",T6)</f>
        <v/>
      </c>
      <c r="AQ6" s="501"/>
      <c r="AR6" s="501"/>
      <c r="AS6" s="1156">
        <v>0</v>
      </c>
    </row>
    <row customHeight="1" ht="84" hidden="1">
      <c r="A7" s="1364"/>
      <c r="B7" s="1364"/>
      <c r="C7" s="1364"/>
      <c r="D7" s="1364"/>
      <c r="E7" s="2260"/>
      <c r="F7" s="2260"/>
      <c r="G7" s="2260"/>
      <c r="H7" s="2260"/>
      <c r="I7" s="2287"/>
      <c r="J7" s="2257">
        <f>I6&amp;".1"</f>
      </c>
      <c r="K7" s="1364"/>
      <c r="L7" s="1365" t="s">
        <v>418</v>
      </c>
      <c r="M7" s="538"/>
      <c r="N7" s="1367"/>
      <c r="P7" s="2258"/>
      <c r="Q7" s="2258">
        <v>1</v>
      </c>
      <c r="R7" s="1643"/>
      <c r="S7" s="2008">
        <f>$J7</f>
      </c>
      <c r="T7" s="287" t="s">
        <v>419</v>
      </c>
      <c r="U7" s="301"/>
      <c r="V7" s="2306"/>
      <c r="W7" s="2306"/>
      <c r="X7" s="2306"/>
      <c r="Y7" s="2306"/>
      <c r="Z7" s="2306"/>
      <c r="AA7" s="2306"/>
      <c r="AB7" s="2306"/>
      <c r="AC7" s="2306"/>
      <c r="AD7" s="2306"/>
      <c r="AE7" s="2306"/>
      <c r="AF7" s="2306"/>
      <c r="AG7" s="2306"/>
      <c r="AH7" s="2306"/>
      <c r="AI7" s="2306"/>
      <c r="AJ7" s="2306"/>
      <c r="AK7" s="2306"/>
      <c r="AL7" s="2306"/>
      <c r="AM7" s="2011" t="s">
        <v>420</v>
      </c>
      <c r="AO7" s="501"/>
      <c r="AP7" s="501" t="str">
        <f>IF(T7="","",T7)</f>
        <v>Группа потребителей</v>
      </c>
      <c r="AQ7" s="501"/>
      <c r="AR7" s="501"/>
      <c r="AS7" s="1156">
        <v>0</v>
      </c>
    </row>
    <row customHeight="1" ht="11.25" hidden="1">
      <c r="A8" s="1364"/>
      <c r="B8" s="1364"/>
      <c r="C8" s="1364"/>
      <c r="D8" s="1364"/>
      <c r="E8" s="2260"/>
      <c r="F8" s="2260"/>
      <c r="G8" s="2260"/>
      <c r="H8" s="2260"/>
      <c r="I8" s="2287"/>
      <c r="J8" s="2287"/>
      <c r="K8" s="2257">
        <f>J7&amp;".1"</f>
      </c>
      <c r="L8" s="1365" t="s">
        <v>421</v>
      </c>
      <c r="M8" s="538"/>
      <c r="N8" s="1367"/>
      <c r="O8" s="1367"/>
      <c r="P8" s="2258"/>
      <c r="Q8" s="2258"/>
      <c r="R8" s="358">
        <v>1</v>
      </c>
      <c r="S8" s="2010">
        <f>$K8</f>
      </c>
      <c r="T8" s="2015"/>
      <c r="U8" s="2016"/>
      <c r="V8" s="2017"/>
      <c r="W8" s="1350"/>
      <c r="X8" s="2017"/>
      <c r="Y8" s="2018"/>
      <c r="Z8" s="2307"/>
      <c r="AA8" s="2113" t="s">
        <v>63</v>
      </c>
      <c r="AB8" s="2307"/>
      <c r="AC8" s="2113" t="s">
        <v>63</v>
      </c>
      <c r="AD8" s="2017"/>
      <c r="AE8" s="1350"/>
      <c r="AF8" s="2017"/>
      <c r="AG8" s="2018"/>
      <c r="AH8" s="2307"/>
      <c r="AI8" s="2113" t="s">
        <v>63</v>
      </c>
      <c r="AJ8" s="2307"/>
      <c r="AK8" s="2113" t="s">
        <v>63</v>
      </c>
      <c r="AL8" s="1350"/>
      <c r="AM8" s="2254" t="s">
        <v>422</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1.25" hidden="1">
      <c r="A10" s="1364"/>
      <c r="B10" s="1364"/>
      <c r="C10" s="1364"/>
      <c r="D10" s="1364"/>
      <c r="E10" s="2260"/>
      <c r="F10" s="2260"/>
      <c r="G10" s="2260"/>
      <c r="H10" s="2260"/>
      <c r="I10" s="2287"/>
      <c r="J10" s="2257"/>
      <c r="K10" s="1364"/>
      <c r="L10" s="1365"/>
      <c r="M10" s="538"/>
      <c r="N10" s="1367"/>
      <c r="P10" s="2258"/>
      <c r="Q10" s="2258"/>
      <c r="R10" s="357"/>
      <c r="S10" s="1279"/>
      <c r="T10" s="288" t="s">
        <v>423</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1.25" hidden="1">
      <c r="A11" s="1364"/>
      <c r="B11" s="1364"/>
      <c r="C11" s="1364"/>
      <c r="D11" s="1364"/>
      <c r="E11" s="2260"/>
      <c r="F11" s="2260"/>
      <c r="G11" s="2260"/>
      <c r="H11" s="2260"/>
      <c r="I11" s="2257"/>
      <c r="J11" s="1364"/>
      <c r="K11" s="1364"/>
      <c r="L11" s="1365"/>
      <c r="M11" s="538"/>
      <c r="P11" s="2258"/>
      <c r="Q11" s="1332"/>
      <c r="R11" s="357"/>
      <c r="S11" s="1279"/>
      <c r="T11" s="366" t="s">
        <v>424</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0.7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426</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232</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233</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63</v>
      </c>
      <c r="AJ17" s="2268"/>
      <c r="AK17" s="2269" t="s">
        <v>63</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427</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428</v>
      </c>
      <c r="P22" s="1363"/>
      <c r="Q22" s="1372"/>
      <c r="R22" s="1372"/>
      <c r="S22" s="730"/>
      <c r="T22" s="1161" t="s">
        <v>429</v>
      </c>
      <c r="AA22" s="187" t="s">
        <v>430</v>
      </c>
      <c r="AC22" s="187" t="s">
        <v>431</v>
      </c>
      <c r="AD22" s="1161" t="s">
        <v>429</v>
      </c>
      <c r="AI22" s="187" t="s">
        <v>432</v>
      </c>
      <c r="AK22" s="187" t="s">
        <v>431</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54.75">
      <c r="Q26" s="377"/>
      <c r="R26" s="377"/>
      <c r="S26" s="2308"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08"/>
      <c r="U26" s="2308"/>
      <c r="V26" s="2308"/>
      <c r="W26" s="2308"/>
      <c r="X26" s="2308"/>
      <c r="Y26" s="2308"/>
      <c r="Z26" s="2308"/>
      <c r="AA26" s="2308"/>
      <c r="AB26" s="2308"/>
      <c r="AC26" s="2308"/>
      <c r="AD26" s="2308"/>
      <c r="AE26" s="2308"/>
      <c r="AF26" s="2308"/>
      <c r="AG26" s="2308"/>
      <c r="AH26" s="2308"/>
      <c r="AI26" s="2308"/>
      <c r="AJ26" s="2308"/>
      <c r="AK26" s="1244"/>
      <c r="AS26" s="1156">
        <v>52</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Управление по государственному регулированию цен (тарифов) Ненецкого автономного округа</v>
      </c>
      <c r="W29" s="2252"/>
      <c r="X29" s="2252"/>
      <c r="Y29" s="2252"/>
      <c r="Z29" s="2252"/>
      <c r="AA29" s="2252"/>
      <c r="AB29" s="2252"/>
      <c r="AC29" s="327"/>
      <c r="AD29" s="2252" t="str">
        <f>IF(TITLE_NAME_OR_PR_CHANGE="",IF(TITLE_NAME_OR_PR="","",TITLE_NAME_OR_PR),TITLE_NAME_OR_PR_CHANGE)</f>
        <v>Управление по государственному регулированию цен (тарифов) Ненецкого автономного округа</v>
      </c>
      <c r="AE29" s="2252"/>
      <c r="AF29" s="2252"/>
      <c r="AG29" s="2252"/>
      <c r="AH29" s="2252"/>
      <c r="AI29" s="2252"/>
      <c r="AJ29" s="2252"/>
      <c r="AK29" s="327"/>
      <c r="AL29" s="327"/>
      <c r="AM29" s="281"/>
      <c r="AN29" s="369"/>
      <c r="AO29" s="369"/>
      <c r="AP29" s="369"/>
      <c r="AQ29" s="369"/>
      <c r="AR29" s="369"/>
      <c r="AS29" s="419">
        <v>0</v>
      </c>
    </row>
    <row s="1854" customFormat="1" customHeight="1" ht="18.75">
      <c r="A30" s="1369"/>
      <c r="B30" s="1369"/>
      <c r="C30" s="1369"/>
      <c r="D30" s="1369"/>
      <c r="E30" s="1369"/>
      <c r="F30" s="1369"/>
      <c r="G30" s="1369"/>
      <c r="H30" s="1369"/>
      <c r="I30" s="1369"/>
      <c r="J30" s="1369"/>
      <c r="K30" s="1369"/>
      <c r="L30" s="1370"/>
      <c r="M30" s="1369"/>
      <c r="N30" s="1369"/>
      <c r="O30" s="1369"/>
      <c r="S30" s="2251" t="s">
        <v>433</v>
      </c>
      <c r="T30" s="2251"/>
      <c r="U30" s="1373"/>
      <c r="V30" s="2265" t="str">
        <f>IF(TITLE_DATE_PR_CHANGE="",IF(TITLE_DATE_PR="","",TITLE_DATE_PR),TITLE_DATE_PR_CHANGE)</f>
        <v>45642</v>
      </c>
      <c r="W30" s="2265"/>
      <c r="X30" s="2265"/>
      <c r="Y30" s="2265"/>
      <c r="Z30" s="2265"/>
      <c r="AA30" s="2265"/>
      <c r="AB30" s="2265"/>
      <c r="AC30" s="327"/>
      <c r="AD30" s="2265" t="str">
        <f>IF(TITLE_DATE_PR_CHANGE="",IF(TITLE_DATE_PR="","",TITLE_DATE_PR),TITLE_DATE_PR_CHANGE)</f>
        <v>45642</v>
      </c>
      <c r="AE30" s="2265"/>
      <c r="AF30" s="2265"/>
      <c r="AG30" s="2265"/>
      <c r="AH30" s="2265"/>
      <c r="AI30" s="2265"/>
      <c r="AJ30" s="2265"/>
      <c r="AK30" s="327"/>
      <c r="AL30" s="327"/>
      <c r="AM30" s="281"/>
      <c r="AN30" s="369"/>
      <c r="AO30" s="369"/>
      <c r="AP30" s="369"/>
      <c r="AQ30" s="369"/>
      <c r="AR30" s="369"/>
      <c r="AS30" s="419">
        <v>0</v>
      </c>
    </row>
    <row s="1854" customFormat="1" customHeight="1" ht="18.75">
      <c r="A31" s="1369"/>
      <c r="B31" s="1369"/>
      <c r="C31" s="1369"/>
      <c r="D31" s="1369"/>
      <c r="E31" s="1369"/>
      <c r="F31" s="1369"/>
      <c r="G31" s="1369"/>
      <c r="H31" s="1369"/>
      <c r="I31" s="1369"/>
      <c r="J31" s="1369"/>
      <c r="K31" s="1369"/>
      <c r="L31" s="1370"/>
      <c r="M31" s="1369"/>
      <c r="N31" s="1369"/>
      <c r="O31" s="1369"/>
      <c r="S31" s="2251" t="s">
        <v>434</v>
      </c>
      <c r="T31" s="2251"/>
      <c r="U31" s="1373"/>
      <c r="V31" s="2252" t="str">
        <f>IF(TITLE_NUMBER_PR_CHANGE="",IF(TITLE_NUMBER_PR="","",TITLE_NUMBER_PR),TITLE_NUMBER_PR_CHANGE)</f>
        <v>58</v>
      </c>
      <c r="W31" s="2252"/>
      <c r="X31" s="2252"/>
      <c r="Y31" s="2252"/>
      <c r="Z31" s="2252"/>
      <c r="AA31" s="2252"/>
      <c r="AB31" s="2252"/>
      <c r="AC31" s="327"/>
      <c r="AD31" s="2252" t="str">
        <f>IF(TITLE_NUMBER_PR_CHANGE="",IF(TITLE_NUMBER_PR="","",TITLE_NUMBER_PR),TITLE_NUMBER_PR_CHANGE)</f>
        <v>58</v>
      </c>
      <c r="AE31" s="2252"/>
      <c r="AF31" s="2252"/>
      <c r="AG31" s="2252"/>
      <c r="AH31" s="2252"/>
      <c r="AI31" s="2252"/>
      <c r="AJ31" s="2252"/>
      <c r="AK31" s="327"/>
      <c r="AL31" s="327"/>
      <c r="AM31" s="281"/>
      <c r="AN31" s="369"/>
      <c r="AO31" s="369"/>
      <c r="AP31" s="369"/>
      <c r="AQ31" s="369"/>
      <c r="AR31" s="369"/>
      <c r="AS31" s="419">
        <v>0</v>
      </c>
    </row>
    <row s="1854" customFormat="1" customHeight="1" ht="18.75">
      <c r="A32" s="1369"/>
      <c r="B32" s="1369"/>
      <c r="C32" s="1369"/>
      <c r="D32" s="1369"/>
      <c r="E32" s="1369"/>
      <c r="F32" s="1369"/>
      <c r="G32" s="1369"/>
      <c r="H32" s="1369"/>
      <c r="I32" s="1369"/>
      <c r="J32" s="1369"/>
      <c r="K32" s="1369"/>
      <c r="L32" s="1370"/>
      <c r="M32" s="1369"/>
      <c r="N32" s="1369"/>
      <c r="O32" s="1369"/>
      <c r="S32" s="2251" t="s">
        <v>44</v>
      </c>
      <c r="T32" s="2251"/>
      <c r="U32" s="1373"/>
      <c r="V32" s="2252" t="str">
        <f>IF(TITLE_IST_PUB_CHANGE="",IF(TITLE_IST_PUB="","",TITLE_IST_PUB),TITLE_IST_PUB_CHANGE)</f>
        <v>Официальный интернет портал правовой информации http://pravo.gov.ru </v>
      </c>
      <c r="W32" s="2252"/>
      <c r="X32" s="2252"/>
      <c r="Y32" s="2252"/>
      <c r="Z32" s="2252"/>
      <c r="AA32" s="2252"/>
      <c r="AB32" s="2252"/>
      <c r="AC32" s="327"/>
      <c r="AD32" s="2252" t="str">
        <f>IF(TITLE_IST_PUB_CHANGE="",IF(TITLE_IST_PUB="","",TITLE_IST_PUB),TITLE_IST_PUB_CHANGE)</f>
        <v>Официальный интернет портал правовой информации http://pravo.gov.ru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435</v>
      </c>
      <c r="T34" s="2251"/>
      <c r="U34" s="1373"/>
      <c r="V34" s="2265" t="str">
        <f>IF(TITLE_DATE_PR_CHANGE="",IF(TITLE_DATE_PR="","",TITLE_DATE_PR),TITLE_DATE_PR_CHANGE)</f>
        <v>45642</v>
      </c>
      <c r="W34" s="2265"/>
      <c r="X34" s="2265"/>
      <c r="Y34" s="2265"/>
      <c r="Z34" s="2265"/>
      <c r="AA34" s="2265"/>
      <c r="AB34" s="2265"/>
      <c r="AC34" s="327"/>
      <c r="AD34" s="2265" t="str">
        <f>IF(TITLE_DATE_PR_CHANGE="",IF(TITLE_DATE_PR="","",TITLE_DATE_PR),TITLE_DATE_PR_CHANGE)</f>
        <v>45642</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436</v>
      </c>
      <c r="T35" s="2251"/>
      <c r="U35" s="1373"/>
      <c r="V35" s="2252" t="str">
        <f>IF(TITLE_NUMBER_PR_CHANGE="",IF(TITLE_NUMBER_PR="","",TITLE_NUMBER_PR),TITLE_NUMBER_PR_CHANGE)</f>
        <v>58</v>
      </c>
      <c r="W35" s="2252"/>
      <c r="X35" s="2252"/>
      <c r="Y35" s="2252"/>
      <c r="Z35" s="2252"/>
      <c r="AA35" s="2252"/>
      <c r="AB35" s="2252"/>
      <c r="AC35" s="327"/>
      <c r="AD35" s="2252" t="str">
        <f>IF(TITLE_NUMBER_PR_CHANGE="",IF(TITLE_NUMBER_PR="","",TITLE_NUMBER_PR),TITLE_NUMBER_PR_CHANGE)</f>
        <v>58</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437</v>
      </c>
      <c r="AD36" s="327"/>
      <c r="AE36" s="327"/>
      <c r="AF36" s="327"/>
      <c r="AG36" s="327"/>
      <c r="AH36" s="327"/>
      <c r="AI36" s="327"/>
      <c r="AJ36" s="327"/>
      <c r="AK36" s="279" t="s">
        <v>437</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312</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313</v>
      </c>
      <c r="AS38" s="1156">
        <v>14</v>
      </c>
    </row>
    <row customHeight="1" ht="14.699999999999998">
      <c r="Q39" s="377"/>
      <c r="R39" s="377"/>
      <c r="S39" s="2274" t="s">
        <v>90</v>
      </c>
      <c r="T39" s="2210" t="s">
        <v>438</v>
      </c>
      <c r="U39" s="302"/>
      <c r="V39" s="2275" t="s">
        <v>439</v>
      </c>
      <c r="W39" s="2276"/>
      <c r="X39" s="2276"/>
      <c r="Y39" s="2276"/>
      <c r="Z39" s="2276"/>
      <c r="AA39" s="2276"/>
      <c r="AB39" s="2277"/>
      <c r="AC39" s="2278" t="s">
        <v>440</v>
      </c>
      <c r="AD39" s="2275" t="s">
        <v>439</v>
      </c>
      <c r="AE39" s="2276"/>
      <c r="AF39" s="2276"/>
      <c r="AG39" s="2276"/>
      <c r="AH39" s="2276"/>
      <c r="AI39" s="2276"/>
      <c r="AJ39" s="2277"/>
      <c r="AK39" s="2278" t="s">
        <v>441</v>
      </c>
      <c r="AL39" s="2281" t="s">
        <v>442</v>
      </c>
      <c r="AM39" s="2128"/>
      <c r="AS39" s="1156">
        <v>14</v>
      </c>
    </row>
    <row customHeight="1" ht="35.699999999999996">
      <c r="Q40" s="377"/>
      <c r="R40" s="377"/>
      <c r="S40" s="2274"/>
      <c r="T40" s="2210"/>
      <c r="U40" s="1032"/>
      <c r="V40" s="2261" t="s">
        <v>443</v>
      </c>
      <c r="W40" s="2284"/>
      <c r="X40" s="2263" t="s">
        <v>445</v>
      </c>
      <c r="Y40" s="2264"/>
      <c r="Z40" s="2263" t="s">
        <v>446</v>
      </c>
      <c r="AA40" s="2270"/>
      <c r="AB40" s="2264"/>
      <c r="AC40" s="2279"/>
      <c r="AD40" s="2261" t="s">
        <v>459</v>
      </c>
      <c r="AE40" s="2284"/>
      <c r="AF40" s="2263" t="s">
        <v>445</v>
      </c>
      <c r="AG40" s="2264"/>
      <c r="AH40" s="2263" t="s">
        <v>446</v>
      </c>
      <c r="AI40" s="2270"/>
      <c r="AJ40" s="2264"/>
      <c r="AK40" s="2279"/>
      <c r="AL40" s="2282"/>
      <c r="AM40" s="2128"/>
      <c r="AS40" s="1156">
        <v>34</v>
      </c>
    </row>
    <row customHeight="1" ht="35.699999999999996">
      <c r="A41" s="1371"/>
      <c r="B41" s="1371" t="s">
        <v>138</v>
      </c>
      <c r="C41" s="1371" t="s">
        <v>139</v>
      </c>
      <c r="D41" s="1371" t="s">
        <v>140</v>
      </c>
      <c r="E41" s="1365" t="s">
        <v>447</v>
      </c>
      <c r="F41" s="1365" t="s">
        <v>448</v>
      </c>
      <c r="G41" s="1365" t="s">
        <v>449</v>
      </c>
      <c r="H41" s="1365" t="s">
        <v>450</v>
      </c>
      <c r="I41" s="1365" t="s">
        <v>451</v>
      </c>
      <c r="J41" s="1365" t="s">
        <v>452</v>
      </c>
      <c r="K41" s="1365" t="s">
        <v>453</v>
      </c>
      <c r="L41" s="1365" t="s">
        <v>428</v>
      </c>
      <c r="Q41" s="377"/>
      <c r="R41" s="377"/>
      <c r="S41" s="2274"/>
      <c r="T41" s="2210"/>
      <c r="U41" s="303"/>
      <c r="V41" s="2262"/>
      <c r="W41" s="2285"/>
      <c r="X41" s="1223" t="s">
        <v>454</v>
      </c>
      <c r="Y41" s="1223" t="s">
        <v>455</v>
      </c>
      <c r="Z41" s="1339" t="s">
        <v>456</v>
      </c>
      <c r="AA41" s="2271" t="s">
        <v>457</v>
      </c>
      <c r="AB41" s="2272"/>
      <c r="AC41" s="2280"/>
      <c r="AD41" s="2262"/>
      <c r="AE41" s="2285"/>
      <c r="AF41" s="1223" t="s">
        <v>454</v>
      </c>
      <c r="AG41" s="1223" t="s">
        <v>455</v>
      </c>
      <c r="AH41" s="1339" t="s">
        <v>456</v>
      </c>
      <c r="AI41" s="2271" t="s">
        <v>457</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112</v>
      </c>
      <c r="T42" s="1256" t="s">
        <v>113</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183</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126</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1"/>
      <c r="AP43" s="501" t="str">
        <f>IF(T43="","",T43)</f>
        <v>Наименование тарифа</v>
      </c>
      <c r="AQ43" s="501"/>
      <c r="AR43" s="501"/>
      <c r="AS43" s="1156">
        <v>21</v>
      </c>
    </row>
    <row customHeight="1" ht="22.049999999999997">
      <c r="A44" s="1364" t="s">
        <v>183</v>
      </c>
      <c r="B44" s="1364" t="s">
        <v>184</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409</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410</v>
      </c>
      <c r="AO44" s="501"/>
      <c r="AP44" s="501" t="str">
        <f>IF(T44="","",T44)</f>
        <v>Территория действия тарифа</v>
      </c>
      <c r="AQ44" s="501"/>
      <c r="AR44" s="501"/>
      <c r="AS44" s="1156">
        <v>21</v>
      </c>
    </row>
    <row customHeight="1" ht="24">
      <c r="A45" s="1364" t="s">
        <v>183</v>
      </c>
      <c r="B45" s="1364" t="s">
        <v>184</v>
      </c>
      <c r="C45" s="1364" t="s">
        <v>185</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411</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412</v>
      </c>
      <c r="AO45" s="501"/>
      <c r="AP45" s="501" t="str">
        <f>IF(T45="","",T45)</f>
        <v>Наименование системы теплоснабжения </v>
      </c>
      <c r="AQ45" s="501"/>
      <c r="AR45" s="501"/>
      <c r="AS45" s="1156">
        <v>23</v>
      </c>
    </row>
    <row customHeight="1" ht="22.049999999999997">
      <c r="A46" s="1364" t="s">
        <v>183</v>
      </c>
      <c r="B46" s="1364" t="s">
        <v>184</v>
      </c>
      <c r="C46" s="1364" t="s">
        <v>185</v>
      </c>
      <c r="D46" s="1364" t="s">
        <v>186</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413</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414</v>
      </c>
      <c r="AO46" s="501"/>
      <c r="AP46" s="501" t="str">
        <f>IF(T46="","",T46)</f>
        <v>Источник тепловой энергии  </v>
      </c>
      <c r="AQ46" s="501"/>
      <c r="AR46" s="501"/>
      <c r="AS46" s="1156">
        <v>21</v>
      </c>
    </row>
    <row s="1643" customFormat="1" customHeight="1" ht="0">
      <c r="A47" s="1344" t="s">
        <v>183</v>
      </c>
      <c r="B47" s="1344" t="s">
        <v>184</v>
      </c>
      <c r="C47" s="1344" t="s">
        <v>185</v>
      </c>
      <c r="D47" s="1344" t="s">
        <v>186</v>
      </c>
      <c r="E47" s="2260"/>
      <c r="F47" s="2260"/>
      <c r="G47" s="2260"/>
      <c r="H47" s="2260"/>
      <c r="I47" s="2257" t="str">
        <f>S46&amp;".1"</f>
        <v>....1</v>
      </c>
      <c r="J47" s="1344"/>
      <c r="K47" s="1344"/>
      <c r="L47" s="1347" t="s">
        <v>415</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183</v>
      </c>
      <c r="B48" s="1364" t="s">
        <v>184</v>
      </c>
      <c r="C48" s="1364" t="s">
        <v>185</v>
      </c>
      <c r="D48" s="1364" t="s">
        <v>186</v>
      </c>
      <c r="E48" s="2260"/>
      <c r="F48" s="2260"/>
      <c r="G48" s="2260"/>
      <c r="H48" s="2260"/>
      <c r="I48" s="2287"/>
      <c r="J48" s="2257" t="str">
        <f>S46&amp;".1"</f>
        <v>....1</v>
      </c>
      <c r="K48" s="1364"/>
      <c r="L48" s="1365" t="s">
        <v>418</v>
      </c>
      <c r="P48" s="2258"/>
      <c r="Q48" s="2258">
        <v>1</v>
      </c>
      <c r="R48" s="358"/>
      <c r="S48" s="1337" t="str">
        <f>$J48</f>
        <v>....1</v>
      </c>
      <c r="T48" s="287" t="s">
        <v>419</v>
      </c>
      <c r="U48" s="301"/>
      <c r="V48" s="2246"/>
      <c r="W48" s="2247"/>
      <c r="X48" s="2247"/>
      <c r="Y48" s="2247"/>
      <c r="Z48" s="2247"/>
      <c r="AA48" s="2247"/>
      <c r="AB48" s="2247"/>
      <c r="AC48" s="2248"/>
      <c r="AD48" s="2246"/>
      <c r="AE48" s="2247"/>
      <c r="AF48" s="2247"/>
      <c r="AG48" s="2247"/>
      <c r="AH48" s="2247"/>
      <c r="AI48" s="2247"/>
      <c r="AJ48" s="2247"/>
      <c r="AK48" s="2247"/>
      <c r="AL48" s="2248"/>
      <c r="AM48" s="1259" t="s">
        <v>420</v>
      </c>
      <c r="AO48" s="501"/>
      <c r="AP48" s="501" t="str">
        <f>IF(T48="","",T48)</f>
        <v>Группа потребителей</v>
      </c>
      <c r="AQ48" s="501"/>
      <c r="AR48" s="501"/>
      <c r="AS48" s="1156">
        <v>21</v>
      </c>
    </row>
    <row customHeight="1" ht="22.049999999999997">
      <c r="A49" s="1364" t="s">
        <v>183</v>
      </c>
      <c r="B49" s="1364" t="s">
        <v>184</v>
      </c>
      <c r="C49" s="1364" t="s">
        <v>185</v>
      </c>
      <c r="D49" s="1364" t="s">
        <v>186</v>
      </c>
      <c r="E49" s="2260"/>
      <c r="F49" s="2260"/>
      <c r="G49" s="2260"/>
      <c r="H49" s="2260"/>
      <c r="I49" s="2287"/>
      <c r="J49" s="2287"/>
      <c r="K49" s="2257" t="str">
        <f>J48&amp;".1"</f>
        <v>....1.1</v>
      </c>
      <c r="L49" s="1365" t="s">
        <v>421</v>
      </c>
      <c r="P49" s="2258"/>
      <c r="Q49" s="2258"/>
      <c r="R49" s="358">
        <v>1</v>
      </c>
      <c r="S49" s="1337" t="str">
        <f>$K49</f>
        <v>....1.1</v>
      </c>
      <c r="T49" s="1348"/>
      <c r="U49" s="301"/>
      <c r="V49" s="752"/>
      <c r="W49" s="326"/>
      <c r="X49" s="752"/>
      <c r="Y49" s="1258"/>
      <c r="Z49" s="2266"/>
      <c r="AA49" s="2108" t="s">
        <v>63</v>
      </c>
      <c r="AB49" s="2266"/>
      <c r="AC49" s="2108" t="s">
        <v>63</v>
      </c>
      <c r="AD49" s="752"/>
      <c r="AE49" s="326"/>
      <c r="AF49" s="752"/>
      <c r="AG49" s="1258"/>
      <c r="AH49" s="2266"/>
      <c r="AI49" s="2108" t="s">
        <v>63</v>
      </c>
      <c r="AJ49" s="2288"/>
      <c r="AK49" s="2108" t="s">
        <v>63</v>
      </c>
      <c r="AL49" s="1349"/>
      <c r="AM49" s="2254" t="s">
        <v>460</v>
      </c>
      <c r="AN49" s="512">
        <f>STRCHECKDATE(V50:AL50)</f>
      </c>
      <c r="AO49" s="501"/>
      <c r="AP49" s="501" t="str">
        <f>IF(T49="","",T49)</f>
        <v/>
      </c>
      <c r="AQ49" s="501"/>
      <c r="AR49" s="501"/>
      <c r="AS49" s="1156">
        <v>21</v>
      </c>
    </row>
    <row customHeight="1" ht="1.05">
      <c r="A50" s="1364" t="s">
        <v>183</v>
      </c>
      <c r="B50" s="1364" t="s">
        <v>184</v>
      </c>
      <c r="C50" s="1364" t="s">
        <v>185</v>
      </c>
      <c r="D50" s="1364" t="s">
        <v>186</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183</v>
      </c>
      <c r="B51" s="1364" t="s">
        <v>184</v>
      </c>
      <c r="C51" s="1364" t="s">
        <v>185</v>
      </c>
      <c r="D51" s="1364" t="s">
        <v>186</v>
      </c>
      <c r="E51" s="2260"/>
      <c r="F51" s="2260"/>
      <c r="G51" s="2260"/>
      <c r="H51" s="2260"/>
      <c r="I51" s="2287"/>
      <c r="J51" s="2257"/>
      <c r="K51" s="1364"/>
      <c r="L51" s="1365"/>
      <c r="P51" s="2258"/>
      <c r="Q51" s="2258"/>
      <c r="R51" s="357"/>
      <c r="S51" s="1279"/>
      <c r="T51" s="288" t="s">
        <v>423</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183</v>
      </c>
      <c r="B52" s="1364" t="s">
        <v>184</v>
      </c>
      <c r="C52" s="1364" t="s">
        <v>185</v>
      </c>
      <c r="D52" s="1364" t="s">
        <v>186</v>
      </c>
      <c r="E52" s="2260"/>
      <c r="F52" s="2260"/>
      <c r="G52" s="2260"/>
      <c r="H52" s="2260"/>
      <c r="I52" s="2257"/>
      <c r="J52" s="1364"/>
      <c r="K52" s="1364"/>
      <c r="L52" s="1365"/>
      <c r="P52" s="2258"/>
      <c r="Q52" s="1332"/>
      <c r="R52" s="357"/>
      <c r="S52" s="1279"/>
      <c r="T52" s="366" t="s">
        <v>424</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183</v>
      </c>
      <c r="B53" s="1364" t="s">
        <v>184</v>
      </c>
      <c r="C53" s="1364" t="s">
        <v>185</v>
      </c>
      <c r="D53" s="1364" t="s">
        <v>186</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1.05">
      <c r="A54" s="1344" t="s">
        <v>183</v>
      </c>
      <c r="B54" s="1344" t="s">
        <v>184</v>
      </c>
      <c r="C54" s="1344" t="s">
        <v>185</v>
      </c>
      <c r="D54" s="1315"/>
      <c r="E54" s="2260"/>
      <c r="F54" s="2260"/>
      <c r="G54" s="2259"/>
      <c r="H54" s="1315"/>
      <c r="I54" s="1315"/>
      <c r="J54" s="1315"/>
      <c r="K54" s="1315"/>
      <c r="L54" s="1340"/>
      <c r="M54" s="1316"/>
      <c r="N54" s="1316"/>
      <c r="P54" s="1317"/>
      <c r="Q54" s="1318"/>
      <c r="R54" s="1317"/>
      <c r="S54" s="1323"/>
      <c r="T54" s="1326" t="s">
        <v>426</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183</v>
      </c>
      <c r="B55" s="1344" t="s">
        <v>184</v>
      </c>
      <c r="C55" s="1315"/>
      <c r="D55" s="1315"/>
      <c r="E55" s="2260"/>
      <c r="F55" s="2259"/>
      <c r="G55" s="1315"/>
      <c r="H55" s="1315"/>
      <c r="I55" s="1315"/>
      <c r="J55" s="1315"/>
      <c r="K55" s="1315"/>
      <c r="L55" s="1340"/>
      <c r="M55" s="1322"/>
      <c r="N55" s="1322"/>
      <c r="P55" s="1317"/>
      <c r="Q55" s="1318"/>
      <c r="R55" s="1317"/>
      <c r="S55" s="1323"/>
      <c r="T55" s="1326" t="s">
        <v>232</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183</v>
      </c>
      <c r="B56" s="1344"/>
      <c r="C56" s="1344"/>
      <c r="D56" s="1344"/>
      <c r="E56" s="2259"/>
      <c r="F56" s="1344"/>
      <c r="G56" s="1344"/>
      <c r="H56" s="1344"/>
      <c r="I56" s="1344"/>
      <c r="J56" s="1344"/>
      <c r="K56" s="1344"/>
      <c r="L56" s="1347"/>
      <c r="M56" s="1322"/>
      <c r="N56" s="1322"/>
      <c r="O56" s="519"/>
      <c r="P56" s="381"/>
      <c r="Q56" s="1345"/>
      <c r="R56" s="381"/>
      <c r="S56" s="1323"/>
      <c r="T56" s="1326" t="s">
        <v>233</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240</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3.2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22</v>
      </c>
    </row>
    <row customHeight="1" ht="30.4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29</v>
      </c>
    </row>
    <row customHeight="1" ht="42">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40</v>
      </c>
    </row>
    <row customHeight="1" ht="14.699999999999998">
      <c r="O62" s="538"/>
      <c r="AS62" s="1156">
        <v>14</v>
      </c>
    </row>
    <row customHeight="1" ht="21">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20</v>
      </c>
    </row>
    <row customHeight="1" ht="29.25">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35.699999999999996">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34</v>
      </c>
    </row>
    <row customHeight="1" ht="22.5" hidden="1">
      <c r="A66" s="1161" t="s">
        <v>84</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B126177-813F-9539-2ADF-0.CFBC850A}"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126</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408</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409</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410</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411</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412</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413</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414</v>
      </c>
      <c r="AO5" s="501"/>
      <c r="AP5" s="501" t="str">
        <f>IF(T5="","",T5)</f>
        <v>Источник тепловой энергии  </v>
      </c>
      <c r="AQ5" s="501"/>
      <c r="AR5" s="501"/>
      <c r="AS5" s="1156">
        <v>0</v>
      </c>
    </row>
    <row customHeight="1" ht="14.25" hidden="1">
      <c r="A6" s="1364"/>
      <c r="B6" s="1364"/>
      <c r="C6" s="1364"/>
      <c r="D6" s="1364"/>
      <c r="E6" s="2260"/>
      <c r="F6" s="2260"/>
      <c r="G6" s="2260"/>
      <c r="H6" s="2260"/>
      <c r="I6" s="2257">
        <f>S5&amp;".1"</f>
      </c>
      <c r="J6" s="1364"/>
      <c r="K6" s="1364"/>
      <c r="L6" s="1365" t="s">
        <v>415</v>
      </c>
      <c r="M6" s="538"/>
      <c r="P6" s="2258">
        <v>1</v>
      </c>
      <c r="Q6" s="1332"/>
      <c r="R6" s="357"/>
      <c r="S6" s="1043"/>
      <c r="T6" s="1384"/>
      <c r="U6" s="1385"/>
      <c r="V6" s="2297"/>
      <c r="W6" s="2298"/>
      <c r="X6" s="2298"/>
      <c r="Y6" s="2298"/>
      <c r="Z6" s="2298"/>
      <c r="AA6" s="2298"/>
      <c r="AB6" s="2298"/>
      <c r="AC6" s="2299"/>
      <c r="AD6" s="2297"/>
      <c r="AE6" s="2298"/>
      <c r="AF6" s="2298"/>
      <c r="AG6" s="2298"/>
      <c r="AH6" s="2298"/>
      <c r="AI6" s="2298"/>
      <c r="AJ6" s="2298"/>
      <c r="AK6" s="2298"/>
      <c r="AL6" s="2299"/>
      <c r="AM6" s="1386"/>
      <c r="AO6" s="501"/>
      <c r="AP6" s="501" t="str">
        <f>IF(T6="","",T6)</f>
        <v/>
      </c>
      <c r="AQ6" s="501"/>
      <c r="AR6" s="501"/>
      <c r="AS6" s="1156">
        <v>0</v>
      </c>
    </row>
    <row customHeight="1" ht="21" hidden="1">
      <c r="A7" s="1364"/>
      <c r="B7" s="1364"/>
      <c r="C7" s="1364"/>
      <c r="D7" s="1364"/>
      <c r="E7" s="2260"/>
      <c r="F7" s="2260"/>
      <c r="G7" s="2260"/>
      <c r="H7" s="2260"/>
      <c r="I7" s="2287"/>
      <c r="J7" s="2257">
        <f>I6&amp;".1"</f>
      </c>
      <c r="K7" s="1364"/>
      <c r="L7" s="1365" t="s">
        <v>418</v>
      </c>
      <c r="M7" s="538"/>
      <c r="N7" s="1367"/>
      <c r="P7" s="2258"/>
      <c r="Q7" s="2258">
        <v>1</v>
      </c>
      <c r="R7" s="358"/>
      <c r="S7" s="1337">
        <f>$J7</f>
      </c>
      <c r="T7" s="287" t="s">
        <v>419</v>
      </c>
      <c r="U7" s="301"/>
      <c r="V7" s="2246"/>
      <c r="W7" s="2247"/>
      <c r="X7" s="2247"/>
      <c r="Y7" s="2247"/>
      <c r="Z7" s="2247"/>
      <c r="AA7" s="2247"/>
      <c r="AB7" s="2247"/>
      <c r="AC7" s="2248"/>
      <c r="AD7" s="2246"/>
      <c r="AE7" s="2247"/>
      <c r="AF7" s="2247"/>
      <c r="AG7" s="2247"/>
      <c r="AH7" s="2247"/>
      <c r="AI7" s="2247"/>
      <c r="AJ7" s="2247"/>
      <c r="AK7" s="2247"/>
      <c r="AL7" s="2248"/>
      <c r="AM7" s="1259" t="s">
        <v>420</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421</v>
      </c>
      <c r="M8" s="538"/>
      <c r="N8" s="1367"/>
      <c r="O8" s="1367"/>
      <c r="P8" s="2258"/>
      <c r="Q8" s="2258"/>
      <c r="R8" s="358">
        <v>1</v>
      </c>
      <c r="S8" s="1337">
        <f>$K8</f>
      </c>
      <c r="T8" s="1348"/>
      <c r="U8" s="301"/>
      <c r="V8" s="752"/>
      <c r="W8" s="326"/>
      <c r="X8" s="752"/>
      <c r="Y8" s="1258"/>
      <c r="Z8" s="2266"/>
      <c r="AA8" s="2108" t="s">
        <v>63</v>
      </c>
      <c r="AB8" s="2266"/>
      <c r="AC8" s="2108" t="s">
        <v>63</v>
      </c>
      <c r="AD8" s="752"/>
      <c r="AE8" s="326"/>
      <c r="AF8" s="752"/>
      <c r="AG8" s="1258"/>
      <c r="AH8" s="2266"/>
      <c r="AI8" s="2108" t="s">
        <v>63</v>
      </c>
      <c r="AJ8" s="2266"/>
      <c r="AK8" s="2108" t="s">
        <v>63</v>
      </c>
      <c r="AL8" s="326"/>
      <c r="AM8" s="2254" t="s">
        <v>422</v>
      </c>
      <c r="AN8" s="512">
        <f>STRCHECKDATE(V9:AL9)</f>
      </c>
      <c r="AO8" s="501"/>
      <c r="AP8" s="501" t="str">
        <f>IF(T8="","",T8)</f>
        <v/>
      </c>
      <c r="AQ8" s="501"/>
      <c r="AR8" s="501"/>
      <c r="AS8" s="1156">
        <v>0</v>
      </c>
    </row>
    <row customHeight="1" ht="14.2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8" t="s">
        <v>423</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1.25" hidden="1">
      <c r="A11" s="1364"/>
      <c r="B11" s="1364"/>
      <c r="C11" s="1364"/>
      <c r="D11" s="1364"/>
      <c r="E11" s="2260"/>
      <c r="F11" s="2260"/>
      <c r="G11" s="2260"/>
      <c r="H11" s="2260"/>
      <c r="I11" s="2257"/>
      <c r="J11" s="1364"/>
      <c r="K11" s="1364"/>
      <c r="L11" s="1365"/>
      <c r="M11" s="538"/>
      <c r="P11" s="2258"/>
      <c r="Q11" s="1332"/>
      <c r="R11" s="357"/>
      <c r="S11" s="1279"/>
      <c r="T11" s="366" t="s">
        <v>424</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14.25" hidden="1">
      <c r="A13" s="1315"/>
      <c r="B13" s="1315"/>
      <c r="C13" s="1315"/>
      <c r="D13" s="1315"/>
      <c r="E13" s="2260"/>
      <c r="F13" s="2260"/>
      <c r="G13" s="2259"/>
      <c r="H13" s="1315"/>
      <c r="I13" s="1315"/>
      <c r="J13" s="1315"/>
      <c r="K13" s="1315"/>
      <c r="L13" s="1340"/>
      <c r="M13" s="1316"/>
      <c r="N13" s="1316"/>
      <c r="P13" s="1317"/>
      <c r="Q13" s="1318"/>
      <c r="R13" s="1317"/>
      <c r="S13" s="1319"/>
      <c r="T13" s="1320" t="s">
        <v>426</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14.25" hidden="1">
      <c r="A14" s="1315"/>
      <c r="B14" s="1315"/>
      <c r="C14" s="1315"/>
      <c r="D14" s="1315"/>
      <c r="E14" s="2260"/>
      <c r="F14" s="2259"/>
      <c r="G14" s="1315"/>
      <c r="H14" s="1315"/>
      <c r="I14" s="1315"/>
      <c r="J14" s="1315"/>
      <c r="K14" s="1315"/>
      <c r="L14" s="1340"/>
      <c r="M14" s="1322"/>
      <c r="N14" s="1322"/>
      <c r="P14" s="1317"/>
      <c r="Q14" s="1318"/>
      <c r="R14" s="1317"/>
      <c r="S14" s="1323"/>
      <c r="T14" s="1324" t="s">
        <v>232</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14.25" hidden="1">
      <c r="A15" s="1315"/>
      <c r="B15" s="1315"/>
      <c r="C15" s="1315"/>
      <c r="D15" s="1315"/>
      <c r="E15" s="2259"/>
      <c r="F15" s="1315"/>
      <c r="G15" s="1315"/>
      <c r="H15" s="1315"/>
      <c r="I15" s="1315"/>
      <c r="J15" s="1315"/>
      <c r="K15" s="1315"/>
      <c r="L15" s="1340"/>
      <c r="M15" s="1322"/>
      <c r="N15" s="1322"/>
      <c r="P15" s="1317"/>
      <c r="Q15" s="1318"/>
      <c r="R15" s="1317"/>
      <c r="S15" s="1323"/>
      <c r="T15" s="1326" t="s">
        <v>233</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63</v>
      </c>
      <c r="AJ17" s="2268"/>
      <c r="AK17" s="2269" t="s">
        <v>63</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427</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428</v>
      </c>
      <c r="P22" s="1363"/>
      <c r="Q22" s="1372"/>
      <c r="R22" s="1372"/>
      <c r="S22" s="730"/>
      <c r="T22" s="1161" t="s">
        <v>429</v>
      </c>
      <c r="AA22" s="187" t="s">
        <v>430</v>
      </c>
      <c r="AC22" s="187" t="s">
        <v>431</v>
      </c>
      <c r="AD22" s="1161" t="s">
        <v>429</v>
      </c>
      <c r="AI22" s="187" t="s">
        <v>432</v>
      </c>
      <c r="AK22" s="187" t="s">
        <v>431</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53.54999999999999">
      <c r="Q26" s="377"/>
      <c r="R26" s="377"/>
      <c r="S26" s="2249"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9"/>
      <c r="U26" s="2249"/>
      <c r="V26" s="2249"/>
      <c r="W26" s="2249"/>
      <c r="X26" s="2249"/>
      <c r="Y26" s="2249"/>
      <c r="Z26" s="2249"/>
      <c r="AA26" s="2249"/>
      <c r="AB26" s="2249"/>
      <c r="AC26" s="2249"/>
      <c r="AD26" s="2249"/>
      <c r="AE26" s="2249"/>
      <c r="AF26" s="2249"/>
      <c r="AG26" s="2249"/>
      <c r="AH26" s="2249"/>
      <c r="AI26" s="2249"/>
      <c r="AJ26" s="2249"/>
      <c r="AK26" s="1244"/>
      <c r="AS26" s="1156">
        <v>51</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Управление по государственному регулированию цен (тарифов) Ненецкого автономного округа</v>
      </c>
      <c r="W29" s="2252"/>
      <c r="X29" s="2252"/>
      <c r="Y29" s="2252"/>
      <c r="Z29" s="2252"/>
      <c r="AA29" s="2252"/>
      <c r="AB29" s="2252"/>
      <c r="AC29" s="327"/>
      <c r="AD29" s="2252" t="str">
        <f>IF(TITLE_NAME_OR_PR_CHANGE="",IF(TITLE_NAME_OR_PR="","",TITLE_NAME_OR_PR),TITLE_NAME_OR_PR_CHANGE)</f>
        <v>Управление по государственному регулированию цен (тарифов) Ненецкого автономного округа</v>
      </c>
      <c r="AE29" s="2252"/>
      <c r="AF29" s="2252"/>
      <c r="AG29" s="2252"/>
      <c r="AH29" s="2252"/>
      <c r="AI29" s="2252"/>
      <c r="AJ29" s="2252"/>
      <c r="AK29" s="327"/>
      <c r="AL29" s="327"/>
      <c r="AM29" s="281"/>
      <c r="AN29" s="369"/>
      <c r="AO29" s="369"/>
      <c r="AP29" s="369"/>
      <c r="AQ29" s="369"/>
      <c r="AR29" s="369"/>
      <c r="AS29" s="419">
        <v>0</v>
      </c>
    </row>
    <row s="1854" customFormat="1" customHeight="1" ht="18.75">
      <c r="A30" s="1369"/>
      <c r="B30" s="1369"/>
      <c r="C30" s="1369"/>
      <c r="D30" s="1369"/>
      <c r="E30" s="1369"/>
      <c r="F30" s="1369"/>
      <c r="G30" s="1369"/>
      <c r="H30" s="1369"/>
      <c r="I30" s="1369"/>
      <c r="J30" s="1369"/>
      <c r="K30" s="1369"/>
      <c r="L30" s="1370"/>
      <c r="M30" s="1369"/>
      <c r="N30" s="1369"/>
      <c r="O30" s="1369"/>
      <c r="S30" s="2251" t="s">
        <v>433</v>
      </c>
      <c r="T30" s="2251"/>
      <c r="U30" s="1373"/>
      <c r="V30" s="2265" t="str">
        <f>IF(TITLE_DATE_PR_CHANGE="",IF(TITLE_DATE_PR="","",TITLE_DATE_PR),TITLE_DATE_PR_CHANGE)</f>
        <v>45642</v>
      </c>
      <c r="W30" s="2265"/>
      <c r="X30" s="2265"/>
      <c r="Y30" s="2265"/>
      <c r="Z30" s="2265"/>
      <c r="AA30" s="2265"/>
      <c r="AB30" s="2265"/>
      <c r="AC30" s="327"/>
      <c r="AD30" s="2265" t="str">
        <f>IF(TITLE_DATE_PR_CHANGE="",IF(TITLE_DATE_PR="","",TITLE_DATE_PR),TITLE_DATE_PR_CHANGE)</f>
        <v>45642</v>
      </c>
      <c r="AE30" s="2265"/>
      <c r="AF30" s="2265"/>
      <c r="AG30" s="2265"/>
      <c r="AH30" s="2265"/>
      <c r="AI30" s="2265"/>
      <c r="AJ30" s="2265"/>
      <c r="AK30" s="327"/>
      <c r="AL30" s="327"/>
      <c r="AM30" s="281"/>
      <c r="AN30" s="369"/>
      <c r="AO30" s="369"/>
      <c r="AP30" s="369"/>
      <c r="AQ30" s="369"/>
      <c r="AR30" s="369"/>
      <c r="AS30" s="419">
        <v>0</v>
      </c>
    </row>
    <row s="1854" customFormat="1" customHeight="1" ht="18.75">
      <c r="A31" s="1369"/>
      <c r="B31" s="1369"/>
      <c r="C31" s="1369"/>
      <c r="D31" s="1369"/>
      <c r="E31" s="1369"/>
      <c r="F31" s="1369"/>
      <c r="G31" s="1369"/>
      <c r="H31" s="1369"/>
      <c r="I31" s="1369"/>
      <c r="J31" s="1369"/>
      <c r="K31" s="1369"/>
      <c r="L31" s="1370"/>
      <c r="M31" s="1369"/>
      <c r="N31" s="1369"/>
      <c r="O31" s="1369"/>
      <c r="S31" s="2251" t="s">
        <v>434</v>
      </c>
      <c r="T31" s="2251"/>
      <c r="U31" s="1373"/>
      <c r="V31" s="2252" t="str">
        <f>IF(TITLE_NUMBER_PR_CHANGE="",IF(TITLE_NUMBER_PR="","",TITLE_NUMBER_PR),TITLE_NUMBER_PR_CHANGE)</f>
        <v>58</v>
      </c>
      <c r="W31" s="2252"/>
      <c r="X31" s="2252"/>
      <c r="Y31" s="2252"/>
      <c r="Z31" s="2252"/>
      <c r="AA31" s="2252"/>
      <c r="AB31" s="2252"/>
      <c r="AC31" s="327"/>
      <c r="AD31" s="2252" t="str">
        <f>IF(TITLE_NUMBER_PR_CHANGE="",IF(TITLE_NUMBER_PR="","",TITLE_NUMBER_PR),TITLE_NUMBER_PR_CHANGE)</f>
        <v>58</v>
      </c>
      <c r="AE31" s="2252"/>
      <c r="AF31" s="2252"/>
      <c r="AG31" s="2252"/>
      <c r="AH31" s="2252"/>
      <c r="AI31" s="2252"/>
      <c r="AJ31" s="2252"/>
      <c r="AK31" s="327"/>
      <c r="AL31" s="327"/>
      <c r="AM31" s="281"/>
      <c r="AN31" s="369"/>
      <c r="AO31" s="369"/>
      <c r="AP31" s="369"/>
      <c r="AQ31" s="369"/>
      <c r="AR31" s="369"/>
      <c r="AS31" s="419">
        <v>0</v>
      </c>
    </row>
    <row s="1854" customFormat="1" customHeight="1" ht="18.75">
      <c r="A32" s="1369"/>
      <c r="B32" s="1369"/>
      <c r="C32" s="1369"/>
      <c r="D32" s="1369"/>
      <c r="E32" s="1369"/>
      <c r="F32" s="1369"/>
      <c r="G32" s="1369"/>
      <c r="H32" s="1369"/>
      <c r="I32" s="1369"/>
      <c r="J32" s="1369"/>
      <c r="K32" s="1369"/>
      <c r="L32" s="1370"/>
      <c r="M32" s="1369"/>
      <c r="N32" s="1369"/>
      <c r="O32" s="1369"/>
      <c r="S32" s="2251" t="s">
        <v>44</v>
      </c>
      <c r="T32" s="2251"/>
      <c r="U32" s="1373"/>
      <c r="V32" s="2252" t="str">
        <f>IF(TITLE_IST_PUB_CHANGE="",IF(TITLE_IST_PUB="","",TITLE_IST_PUB),TITLE_IST_PUB_CHANGE)</f>
        <v>Официальный интернет портал правовой информации http://pravo.gov.ru </v>
      </c>
      <c r="W32" s="2252"/>
      <c r="X32" s="2252"/>
      <c r="Y32" s="2252"/>
      <c r="Z32" s="2252"/>
      <c r="AA32" s="2252"/>
      <c r="AB32" s="2252"/>
      <c r="AC32" s="327"/>
      <c r="AD32" s="2252" t="str">
        <f>IF(TITLE_IST_PUB_CHANGE="",IF(TITLE_IST_PUB="","",TITLE_IST_PUB),TITLE_IST_PUB_CHANGE)</f>
        <v>Официальный интернет портал правовой информации http://pravo.gov.ru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435</v>
      </c>
      <c r="T34" s="2251"/>
      <c r="U34" s="1373"/>
      <c r="V34" s="2265" t="str">
        <f>IF(TITLE_DATE_PR_CHANGE="",IF(TITLE_DATE_PR="","",TITLE_DATE_PR),TITLE_DATE_PR_CHANGE)</f>
        <v>45642</v>
      </c>
      <c r="W34" s="2265"/>
      <c r="X34" s="2265"/>
      <c r="Y34" s="2265"/>
      <c r="Z34" s="2265"/>
      <c r="AA34" s="2265"/>
      <c r="AB34" s="2265"/>
      <c r="AC34" s="327"/>
      <c r="AD34" s="2265" t="str">
        <f>IF(TITLE_DATE_PR_CHANGE="",IF(TITLE_DATE_PR="","",TITLE_DATE_PR),TITLE_DATE_PR_CHANGE)</f>
        <v>45642</v>
      </c>
      <c r="AE34" s="2265"/>
      <c r="AF34" s="2265"/>
      <c r="AG34" s="2265"/>
      <c r="AH34" s="2265"/>
      <c r="AI34" s="2265"/>
      <c r="AJ34" s="2265"/>
      <c r="AK34" s="327"/>
      <c r="AL34" s="327"/>
      <c r="AM34" s="281"/>
      <c r="AN34" s="369"/>
      <c r="AO34" s="369"/>
      <c r="AP34" s="369"/>
      <c r="AQ34" s="369"/>
      <c r="AR34" s="369"/>
      <c r="AS34" s="419">
        <v>0</v>
      </c>
    </row>
    <row s="1854" customFormat="1" customHeight="1" ht="25.5" hidden="1">
      <c r="A35" s="1369"/>
      <c r="B35" s="1369"/>
      <c r="C35" s="1369"/>
      <c r="D35" s="1369"/>
      <c r="E35" s="1369"/>
      <c r="F35" s="1369"/>
      <c r="G35" s="1369"/>
      <c r="H35" s="1369"/>
      <c r="I35" s="1369"/>
      <c r="J35" s="1369"/>
      <c r="K35" s="1369"/>
      <c r="L35" s="1370"/>
      <c r="M35" s="1369"/>
      <c r="N35" s="1369"/>
      <c r="O35" s="1369"/>
      <c r="S35" s="2251" t="s">
        <v>436</v>
      </c>
      <c r="T35" s="2251"/>
      <c r="U35" s="1373"/>
      <c r="V35" s="2252" t="str">
        <f>IF(TITLE_NUMBER_PR_CHANGE="",IF(TITLE_NUMBER_PR="","",TITLE_NUMBER_PR),TITLE_NUMBER_PR_CHANGE)</f>
        <v>58</v>
      </c>
      <c r="W35" s="2252"/>
      <c r="X35" s="2252"/>
      <c r="Y35" s="2252"/>
      <c r="Z35" s="2252"/>
      <c r="AA35" s="2252"/>
      <c r="AB35" s="2252"/>
      <c r="AC35" s="327"/>
      <c r="AD35" s="2252" t="str">
        <f>IF(TITLE_NUMBER_PR_CHANGE="",IF(TITLE_NUMBER_PR="","",TITLE_NUMBER_PR),TITLE_NUMBER_PR_CHANGE)</f>
        <v>58</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437</v>
      </c>
      <c r="AD36" s="327"/>
      <c r="AE36" s="327"/>
      <c r="AF36" s="327"/>
      <c r="AG36" s="327"/>
      <c r="AH36" s="327"/>
      <c r="AI36" s="327"/>
      <c r="AJ36" s="327"/>
      <c r="AK36" s="279" t="s">
        <v>437</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312</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313</v>
      </c>
      <c r="AS38" s="1156">
        <v>14</v>
      </c>
    </row>
    <row customHeight="1" ht="14.699999999999998">
      <c r="Q39" s="377"/>
      <c r="R39" s="377"/>
      <c r="S39" s="2274" t="s">
        <v>90</v>
      </c>
      <c r="T39" s="2210" t="s">
        <v>438</v>
      </c>
      <c r="U39" s="302"/>
      <c r="V39" s="2275" t="s">
        <v>439</v>
      </c>
      <c r="W39" s="2276"/>
      <c r="X39" s="2276"/>
      <c r="Y39" s="2276"/>
      <c r="Z39" s="2276"/>
      <c r="AA39" s="2276"/>
      <c r="AB39" s="2277"/>
      <c r="AC39" s="2278" t="s">
        <v>440</v>
      </c>
      <c r="AD39" s="2275" t="s">
        <v>439</v>
      </c>
      <c r="AE39" s="2276"/>
      <c r="AF39" s="2276"/>
      <c r="AG39" s="2276"/>
      <c r="AH39" s="2276"/>
      <c r="AI39" s="2276"/>
      <c r="AJ39" s="2277"/>
      <c r="AK39" s="2278" t="s">
        <v>441</v>
      </c>
      <c r="AL39" s="2281" t="s">
        <v>442</v>
      </c>
      <c r="AM39" s="2128"/>
      <c r="AS39" s="1156">
        <v>14</v>
      </c>
    </row>
    <row customHeight="1" ht="35.699999999999996">
      <c r="Q40" s="377"/>
      <c r="R40" s="377"/>
      <c r="S40" s="2274"/>
      <c r="T40" s="2210"/>
      <c r="U40" s="1032"/>
      <c r="V40" s="2261" t="s">
        <v>443</v>
      </c>
      <c r="W40" s="2284"/>
      <c r="X40" s="2263" t="s">
        <v>445</v>
      </c>
      <c r="Y40" s="2264"/>
      <c r="Z40" s="2263" t="s">
        <v>446</v>
      </c>
      <c r="AA40" s="2270"/>
      <c r="AB40" s="2264"/>
      <c r="AC40" s="2279"/>
      <c r="AD40" s="2261" t="s">
        <v>459</v>
      </c>
      <c r="AE40" s="2284"/>
      <c r="AF40" s="2263" t="s">
        <v>445</v>
      </c>
      <c r="AG40" s="2264"/>
      <c r="AH40" s="2263" t="s">
        <v>446</v>
      </c>
      <c r="AI40" s="2270"/>
      <c r="AJ40" s="2264"/>
      <c r="AK40" s="2279"/>
      <c r="AL40" s="2282"/>
      <c r="AM40" s="2128"/>
      <c r="AS40" s="1156">
        <v>34</v>
      </c>
    </row>
    <row customHeight="1" ht="35.699999999999996">
      <c r="A41" s="1371"/>
      <c r="B41" s="1371" t="s">
        <v>138</v>
      </c>
      <c r="C41" s="1371" t="s">
        <v>139</v>
      </c>
      <c r="D41" s="1371" t="s">
        <v>140</v>
      </c>
      <c r="E41" s="1365" t="s">
        <v>447</v>
      </c>
      <c r="F41" s="1365" t="s">
        <v>448</v>
      </c>
      <c r="G41" s="1365" t="s">
        <v>449</v>
      </c>
      <c r="H41" s="1365" t="s">
        <v>450</v>
      </c>
      <c r="I41" s="1365" t="s">
        <v>451</v>
      </c>
      <c r="J41" s="1365" t="s">
        <v>452</v>
      </c>
      <c r="K41" s="1365" t="s">
        <v>453</v>
      </c>
      <c r="L41" s="1365" t="s">
        <v>428</v>
      </c>
      <c r="Q41" s="377"/>
      <c r="R41" s="377"/>
      <c r="S41" s="2274"/>
      <c r="T41" s="2210"/>
      <c r="U41" s="303"/>
      <c r="V41" s="2262"/>
      <c r="W41" s="2285"/>
      <c r="X41" s="1223" t="s">
        <v>454</v>
      </c>
      <c r="Y41" s="1223" t="s">
        <v>455</v>
      </c>
      <c r="Z41" s="1339" t="s">
        <v>456</v>
      </c>
      <c r="AA41" s="2271" t="s">
        <v>457</v>
      </c>
      <c r="AB41" s="2272"/>
      <c r="AC41" s="2280"/>
      <c r="AD41" s="2262"/>
      <c r="AE41" s="2285"/>
      <c r="AF41" s="1223" t="s">
        <v>454</v>
      </c>
      <c r="AG41" s="1223" t="s">
        <v>455</v>
      </c>
      <c r="AH41" s="1339" t="s">
        <v>456</v>
      </c>
      <c r="AI41" s="2271" t="s">
        <v>457</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112</v>
      </c>
      <c r="T42" s="1256" t="s">
        <v>113</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189</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126</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1"/>
      <c r="AP43" s="501" t="str">
        <f>IF(T43="","",T43)</f>
        <v>Наименование тарифа</v>
      </c>
      <c r="AQ43" s="501"/>
      <c r="AR43" s="501"/>
      <c r="AS43" s="1156">
        <v>21</v>
      </c>
    </row>
    <row customHeight="1" ht="22.049999999999997">
      <c r="A44" s="1364" t="s">
        <v>189</v>
      </c>
      <c r="B44" s="1364" t="s">
        <v>190</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409</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410</v>
      </c>
      <c r="AO44" s="501"/>
      <c r="AP44" s="501" t="str">
        <f>IF(T44="","",T44)</f>
        <v>Территория действия тарифа</v>
      </c>
      <c r="AQ44" s="501"/>
      <c r="AR44" s="501"/>
      <c r="AS44" s="1156">
        <v>21</v>
      </c>
    </row>
    <row customHeight="1" ht="24">
      <c r="A45" s="1364" t="s">
        <v>189</v>
      </c>
      <c r="B45" s="1364" t="s">
        <v>190</v>
      </c>
      <c r="C45" s="1364" t="s">
        <v>191</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411</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412</v>
      </c>
      <c r="AO45" s="501"/>
      <c r="AP45" s="501" t="str">
        <f>IF(T45="","",T45)</f>
        <v>Наименование системы теплоснабжения </v>
      </c>
      <c r="AQ45" s="501"/>
      <c r="AR45" s="501"/>
      <c r="AS45" s="1156">
        <v>23</v>
      </c>
    </row>
    <row customHeight="1" ht="22.049999999999997">
      <c r="A46" s="1364" t="s">
        <v>189</v>
      </c>
      <c r="B46" s="1364" t="s">
        <v>190</v>
      </c>
      <c r="C46" s="1364" t="s">
        <v>191</v>
      </c>
      <c r="D46" s="1364" t="s">
        <v>192</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413</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414</v>
      </c>
      <c r="AO46" s="501"/>
      <c r="AP46" s="501" t="str">
        <f>IF(T46="","",T46)</f>
        <v>Источник тепловой энергии  </v>
      </c>
      <c r="AQ46" s="501"/>
      <c r="AR46" s="501"/>
      <c r="AS46" s="1156">
        <v>21</v>
      </c>
    </row>
    <row s="1643" customFormat="1" customHeight="1" ht="0">
      <c r="A47" s="1344" t="s">
        <v>189</v>
      </c>
      <c r="B47" s="1344" t="s">
        <v>190</v>
      </c>
      <c r="C47" s="1344" t="s">
        <v>191</v>
      </c>
      <c r="D47" s="1344" t="s">
        <v>192</v>
      </c>
      <c r="E47" s="2260"/>
      <c r="F47" s="2260"/>
      <c r="G47" s="2260"/>
      <c r="H47" s="2260"/>
      <c r="I47" s="2257" t="str">
        <f>S46&amp;".1"</f>
        <v>....1</v>
      </c>
      <c r="J47" s="1344"/>
      <c r="K47" s="1344"/>
      <c r="L47" s="1347" t="s">
        <v>415</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189</v>
      </c>
      <c r="B48" s="1364" t="s">
        <v>190</v>
      </c>
      <c r="C48" s="1364" t="s">
        <v>191</v>
      </c>
      <c r="D48" s="1364" t="s">
        <v>192</v>
      </c>
      <c r="E48" s="2260"/>
      <c r="F48" s="2260"/>
      <c r="G48" s="2260"/>
      <c r="H48" s="2260"/>
      <c r="I48" s="2287"/>
      <c r="J48" s="2257" t="str">
        <f>S46&amp;".1"</f>
        <v>....1</v>
      </c>
      <c r="K48" s="1364"/>
      <c r="L48" s="1365" t="s">
        <v>418</v>
      </c>
      <c r="P48" s="2258"/>
      <c r="Q48" s="2258">
        <v>1</v>
      </c>
      <c r="R48" s="358"/>
      <c r="S48" s="1337" t="str">
        <f>$J48</f>
        <v>....1</v>
      </c>
      <c r="T48" s="287" t="s">
        <v>419</v>
      </c>
      <c r="U48" s="301"/>
      <c r="V48" s="2246"/>
      <c r="W48" s="2247"/>
      <c r="X48" s="2247"/>
      <c r="Y48" s="2247"/>
      <c r="Z48" s="2247"/>
      <c r="AA48" s="2247"/>
      <c r="AB48" s="2247"/>
      <c r="AC48" s="2248"/>
      <c r="AD48" s="2246"/>
      <c r="AE48" s="2247"/>
      <c r="AF48" s="2247"/>
      <c r="AG48" s="2247"/>
      <c r="AH48" s="2247"/>
      <c r="AI48" s="2247"/>
      <c r="AJ48" s="2247"/>
      <c r="AK48" s="2247"/>
      <c r="AL48" s="2248"/>
      <c r="AM48" s="1259" t="s">
        <v>420</v>
      </c>
      <c r="AO48" s="501"/>
      <c r="AP48" s="501" t="str">
        <f>IF(T48="","",T48)</f>
        <v>Группа потребителей</v>
      </c>
      <c r="AQ48" s="501"/>
      <c r="AR48" s="501"/>
      <c r="AS48" s="1156">
        <v>21</v>
      </c>
    </row>
    <row customHeight="1" ht="22.049999999999997">
      <c r="A49" s="1364" t="s">
        <v>189</v>
      </c>
      <c r="B49" s="1364" t="s">
        <v>190</v>
      </c>
      <c r="C49" s="1364" t="s">
        <v>191</v>
      </c>
      <c r="D49" s="1364" t="s">
        <v>192</v>
      </c>
      <c r="E49" s="2260"/>
      <c r="F49" s="2260"/>
      <c r="G49" s="2260"/>
      <c r="H49" s="2260"/>
      <c r="I49" s="2287"/>
      <c r="J49" s="2287"/>
      <c r="K49" s="2257" t="str">
        <f>J48&amp;".1"</f>
        <v>....1.1</v>
      </c>
      <c r="L49" s="1365" t="s">
        <v>421</v>
      </c>
      <c r="P49" s="2258"/>
      <c r="Q49" s="2258"/>
      <c r="R49" s="358">
        <v>1</v>
      </c>
      <c r="S49" s="1337" t="str">
        <f>$K49</f>
        <v>....1.1</v>
      </c>
      <c r="T49" s="1348"/>
      <c r="U49" s="301"/>
      <c r="V49" s="752"/>
      <c r="W49" s="326"/>
      <c r="X49" s="752"/>
      <c r="Y49" s="1258"/>
      <c r="Z49" s="2266"/>
      <c r="AA49" s="2108" t="s">
        <v>63</v>
      </c>
      <c r="AB49" s="2266"/>
      <c r="AC49" s="2108" t="s">
        <v>63</v>
      </c>
      <c r="AD49" s="752"/>
      <c r="AE49" s="326"/>
      <c r="AF49" s="752"/>
      <c r="AG49" s="1258"/>
      <c r="AH49" s="2266"/>
      <c r="AI49" s="2108" t="s">
        <v>63</v>
      </c>
      <c r="AJ49" s="2288"/>
      <c r="AK49" s="2108" t="s">
        <v>63</v>
      </c>
      <c r="AL49" s="1349"/>
      <c r="AM49" s="2254" t="s">
        <v>460</v>
      </c>
      <c r="AN49" s="512">
        <f>STRCHECKDATE(V50:AL50)</f>
      </c>
      <c r="AO49" s="501"/>
      <c r="AP49" s="501" t="str">
        <f>IF(T49="","",T49)</f>
        <v/>
      </c>
      <c r="AQ49" s="501"/>
      <c r="AR49" s="501"/>
      <c r="AS49" s="1156">
        <v>21</v>
      </c>
    </row>
    <row customHeight="1" ht="0">
      <c r="A50" s="1364" t="s">
        <v>189</v>
      </c>
      <c r="B50" s="1364" t="s">
        <v>190</v>
      </c>
      <c r="C50" s="1364" t="s">
        <v>191</v>
      </c>
      <c r="D50" s="1364" t="s">
        <v>192</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0</v>
      </c>
    </row>
    <row customHeight="1" ht="11.549999999999999">
      <c r="A51" s="1364" t="s">
        <v>189</v>
      </c>
      <c r="B51" s="1364" t="s">
        <v>190</v>
      </c>
      <c r="C51" s="1364" t="s">
        <v>191</v>
      </c>
      <c r="D51" s="1364" t="s">
        <v>192</v>
      </c>
      <c r="E51" s="2260"/>
      <c r="F51" s="2260"/>
      <c r="G51" s="2260"/>
      <c r="H51" s="2260"/>
      <c r="I51" s="2287"/>
      <c r="J51" s="2257"/>
      <c r="K51" s="1364"/>
      <c r="L51" s="1365"/>
      <c r="P51" s="2258"/>
      <c r="Q51" s="2258"/>
      <c r="R51" s="357"/>
      <c r="S51" s="1279"/>
      <c r="T51" s="288" t="s">
        <v>423</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189</v>
      </c>
      <c r="B52" s="1364" t="s">
        <v>190</v>
      </c>
      <c r="C52" s="1364" t="s">
        <v>191</v>
      </c>
      <c r="D52" s="1364" t="s">
        <v>192</v>
      </c>
      <c r="E52" s="2260"/>
      <c r="F52" s="2260"/>
      <c r="G52" s="2260"/>
      <c r="H52" s="2260"/>
      <c r="I52" s="2257"/>
      <c r="J52" s="1364"/>
      <c r="K52" s="1364"/>
      <c r="L52" s="1365"/>
      <c r="P52" s="2258"/>
      <c r="Q52" s="1332"/>
      <c r="R52" s="357"/>
      <c r="S52" s="1279"/>
      <c r="T52" s="366" t="s">
        <v>424</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189</v>
      </c>
      <c r="B53" s="1364" t="s">
        <v>190</v>
      </c>
      <c r="C53" s="1364" t="s">
        <v>191</v>
      </c>
      <c r="D53" s="1364" t="s">
        <v>192</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0">
      <c r="A54" s="1344" t="s">
        <v>189</v>
      </c>
      <c r="B54" s="1344" t="s">
        <v>190</v>
      </c>
      <c r="C54" s="1344" t="s">
        <v>191</v>
      </c>
      <c r="D54" s="1315"/>
      <c r="E54" s="2260"/>
      <c r="F54" s="2260"/>
      <c r="G54" s="2259"/>
      <c r="H54" s="1315"/>
      <c r="I54" s="1315"/>
      <c r="J54" s="1315"/>
      <c r="K54" s="1315"/>
      <c r="L54" s="1340"/>
      <c r="M54" s="1316"/>
      <c r="N54" s="1316"/>
      <c r="P54" s="1317"/>
      <c r="Q54" s="1318"/>
      <c r="R54" s="1317"/>
      <c r="S54" s="1323"/>
      <c r="T54" s="1326" t="s">
        <v>426</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0</v>
      </c>
    </row>
    <row s="1643" customFormat="1" customHeight="1" ht="0">
      <c r="A55" s="1344" t="s">
        <v>189</v>
      </c>
      <c r="B55" s="1344" t="s">
        <v>190</v>
      </c>
      <c r="C55" s="1315"/>
      <c r="D55" s="1315"/>
      <c r="E55" s="2260"/>
      <c r="F55" s="2259"/>
      <c r="G55" s="1315"/>
      <c r="H55" s="1315"/>
      <c r="I55" s="1315"/>
      <c r="J55" s="1315"/>
      <c r="K55" s="1315"/>
      <c r="L55" s="1340"/>
      <c r="M55" s="1322"/>
      <c r="N55" s="1322"/>
      <c r="P55" s="1317"/>
      <c r="Q55" s="1318"/>
      <c r="R55" s="1317"/>
      <c r="S55" s="1323"/>
      <c r="T55" s="1326" t="s">
        <v>232</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0</v>
      </c>
    </row>
    <row s="1643" customFormat="1" customHeight="1" ht="0">
      <c r="A56" s="1344" t="s">
        <v>189</v>
      </c>
      <c r="B56" s="1344"/>
      <c r="C56" s="1344"/>
      <c r="D56" s="1344"/>
      <c r="E56" s="2259"/>
      <c r="F56" s="1344"/>
      <c r="G56" s="1344"/>
      <c r="H56" s="1344"/>
      <c r="I56" s="1344"/>
      <c r="J56" s="1344"/>
      <c r="K56" s="1344"/>
      <c r="L56" s="1347"/>
      <c r="M56" s="1322"/>
      <c r="N56" s="1322"/>
      <c r="O56" s="519"/>
      <c r="P56" s="381"/>
      <c r="Q56" s="1345"/>
      <c r="R56" s="381"/>
      <c r="S56" s="1323"/>
      <c r="T56" s="1326" t="s">
        <v>233</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0</v>
      </c>
    </row>
    <row s="1643" customFormat="1" customHeight="1" ht="4.2">
      <c r="A57" s="1315"/>
      <c r="B57" s="1315"/>
      <c r="C57" s="1315"/>
      <c r="D57" s="1315"/>
      <c r="E57" s="1344"/>
      <c r="F57" s="1315"/>
      <c r="G57" s="1315"/>
      <c r="H57" s="1315"/>
      <c r="I57" s="1315"/>
      <c r="J57" s="1315"/>
      <c r="K57" s="1315"/>
      <c r="L57" s="1340"/>
      <c r="M57" s="1322"/>
      <c r="N57" s="1322"/>
      <c r="P57" s="1317"/>
      <c r="Q57" s="1318"/>
      <c r="R57" s="1317"/>
      <c r="S57" s="1323"/>
      <c r="T57" s="1326" t="s">
        <v>240</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4</v>
      </c>
    </row>
    <row customHeight="1" ht="11.549999999999999">
      <c r="M58" s="1161"/>
      <c r="N58" s="1161"/>
      <c r="O58" s="538"/>
      <c r="P58" s="1156"/>
      <c r="Q58" s="1156"/>
      <c r="R58" s="1156"/>
      <c r="S58" s="1156"/>
      <c r="AN58" s="1156"/>
      <c r="AO58" s="1156"/>
      <c r="AP58" s="1156"/>
      <c r="AQ58" s="1156"/>
      <c r="AR58" s="1156"/>
      <c r="AS58" s="1156">
        <v>11</v>
      </c>
    </row>
    <row customHeight="1" ht="14.699999999999998">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14</v>
      </c>
    </row>
    <row customHeight="1" ht="14.699999999999998">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14</v>
      </c>
    </row>
    <row customHeight="1" ht="14.699999999999998">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14</v>
      </c>
    </row>
    <row customHeight="1" ht="14.699999999999998">
      <c r="O62" s="538"/>
      <c r="AS62" s="1156">
        <v>14</v>
      </c>
    </row>
    <row customHeight="1" ht="14.699999999999998">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14</v>
      </c>
    </row>
    <row customHeight="1" ht="14.699999999999998">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14</v>
      </c>
    </row>
    <row customHeight="1" ht="14.699999999999998">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14</v>
      </c>
    </row>
    <row customHeight="1" ht="22.5" hidden="1">
      <c r="A66" s="1161" t="s">
        <v>84</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59DDAB5-4A9F-7CD1-BBAB-0.76A27445}" mc:Ignorable="x14ac xr xr2 xr3">
  <sheetPr>
    <tabColor theme="6" tint="0.4"/>
  </sheetPr>
  <dimension ref="A1:AW72"/>
  <sheetViews>
    <sheetView topLeftCell="A1" showGridLines="0" zoomScale="90" workbookViewId="0">
      <selection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2" style="1636" width="11.421875" hidden="1" customWidth="1"/>
    <col min="13" max="13" style="2126" width="19.140625" hidden="1" customWidth="1"/>
    <col min="14" max="15" style="2398" width="12.28125" hidden="1" customWidth="1"/>
    <col min="16" max="16" style="2398" width="23.421875" hidden="1" customWidth="1"/>
    <col min="17" max="17" style="2398" width="3.7109375" hidden="1" customWidth="1"/>
    <col min="18" max="20" style="345" width="3.00390625" customWidth="1"/>
    <col min="21" max="21" style="2408" width="12.00390625" customWidth="1"/>
    <col min="22" max="22" style="1636" width="31.00390625" customWidth="1"/>
    <col min="23" max="23" style="1636" width="0.140625" customWidth="1"/>
    <col min="24" max="28" style="1636" width="21.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21.7109375" customWidth="1"/>
    <col min="34" max="37" style="1636" width="21.00390625" customWidth="1"/>
    <col min="38" max="38" style="1636" width="11.00390625" customWidth="1"/>
    <col min="39" max="39" style="1636" width="3.7109375" customWidth="1"/>
    <col min="40" max="40" style="1636" width="11.00390625" customWidth="1"/>
    <col min="41" max="41" style="1636" width="8.57421875" hidden="1" customWidth="1"/>
    <col min="42" max="42" style="1636" width="4.00390625" customWidth="1"/>
    <col min="43" max="43" style="1636" width="115.00390625" customWidth="1"/>
    <col min="44" max="48" style="1643" width="10.00390625" customWidth="1"/>
    <col min="49" max="49" style="1636" width="10.57421875" hidden="1"/>
  </cols>
  <sheetData>
    <row customHeight="1" ht="22.5" hidden="1">
      <c r="AB1" s="328"/>
      <c r="AC1" s="328"/>
      <c r="AK1" s="328"/>
      <c r="AL1" s="328"/>
      <c r="AW1" s="1156" t="s">
        <v>14</v>
      </c>
    </row>
    <row customHeight="1" ht="21" hidden="1">
      <c r="A2" s="1268"/>
      <c r="B2" s="1268"/>
      <c r="C2" s="1268"/>
      <c r="D2" s="1268"/>
      <c r="E2" s="2290">
        <v>1</v>
      </c>
      <c r="F2" s="1268"/>
      <c r="G2" s="1268"/>
      <c r="H2" s="1268"/>
      <c r="I2" s="1268"/>
      <c r="J2" s="1268"/>
      <c r="K2" s="1268"/>
      <c r="L2" s="1268"/>
      <c r="M2" s="1311"/>
      <c r="N2" s="689"/>
      <c r="O2" s="689"/>
      <c r="P2" s="689"/>
      <c r="Q2" s="362"/>
      <c r="R2" s="361"/>
      <c r="S2" s="361"/>
      <c r="T2" s="356"/>
      <c r="U2" s="1337">
        <f>INDEX(PT_DIFFERENTIATION_NUM_NTAR,MATCH(A2,PT_DIFFERENTIATION_NTAR_ID,0))</f>
      </c>
      <c r="V2" s="299" t="s">
        <v>126</v>
      </c>
      <c r="W2" s="301"/>
      <c r="X2" s="2243"/>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5"/>
      <c r="AQ2" s="1259" t="s">
        <v>408</v>
      </c>
      <c r="AS2" s="501"/>
      <c r="AT2" s="501" t="str">
        <f>IF(V2="","",V2)</f>
        <v>Наименование тарифа</v>
      </c>
      <c r="AU2" s="501"/>
      <c r="AV2" s="501"/>
      <c r="AW2" s="1156">
        <v>0</v>
      </c>
    </row>
    <row customHeight="1" ht="21" hidden="1">
      <c r="A3" s="1268"/>
      <c r="B3" s="1268"/>
      <c r="C3" s="1268"/>
      <c r="D3" s="1268"/>
      <c r="E3" s="2291"/>
      <c r="F3" s="2290">
        <v>1</v>
      </c>
      <c r="G3" s="1268"/>
      <c r="H3" s="1268"/>
      <c r="I3" s="1268"/>
      <c r="J3" s="1268"/>
      <c r="K3" s="1268"/>
      <c r="L3" s="1268"/>
      <c r="M3" s="1311"/>
      <c r="N3" s="689"/>
      <c r="O3" s="689"/>
      <c r="P3" s="689"/>
      <c r="Q3" s="1333"/>
      <c r="R3" s="353"/>
      <c r="S3" s="510"/>
      <c r="T3" s="354"/>
      <c r="U3" s="1337">
        <f>INDEX(PT_DIFFERENTIATION_NUM_TER,MATCH(B3,PT_DIFFERENTIATION_TER_ID,0))</f>
      </c>
      <c r="V3" s="309" t="s">
        <v>409</v>
      </c>
      <c r="W3" s="301"/>
      <c r="X3" s="2243"/>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5"/>
      <c r="AQ3" s="1259" t="s">
        <v>410</v>
      </c>
      <c r="AS3" s="501"/>
      <c r="AT3" s="501" t="str">
        <f>IF(V3="","",V3)</f>
        <v>Территория действия тарифа</v>
      </c>
      <c r="AU3" s="501"/>
      <c r="AV3" s="501"/>
      <c r="AW3" s="1156">
        <v>0</v>
      </c>
    </row>
    <row customHeight="1" ht="22.5" hidden="1">
      <c r="A4" s="1268"/>
      <c r="B4" s="1268"/>
      <c r="C4" s="1268"/>
      <c r="D4" s="1268"/>
      <c r="E4" s="2291"/>
      <c r="F4" s="2291"/>
      <c r="G4" s="2290">
        <v>1</v>
      </c>
      <c r="H4" s="1268"/>
      <c r="I4" s="1268"/>
      <c r="J4" s="1268"/>
      <c r="K4" s="1268"/>
      <c r="L4" s="1268"/>
      <c r="M4" s="1311"/>
      <c r="N4" s="689"/>
      <c r="O4" s="689"/>
      <c r="P4" s="689"/>
      <c r="Q4" s="355"/>
      <c r="R4" s="353"/>
      <c r="S4" s="510"/>
      <c r="T4" s="354"/>
      <c r="U4" s="1337">
        <f>INDEX(PT_DIFFERENTIATION_NUM_CS,MATCH(C4,PT_DIFFERENTIATION_CS_ID,0))</f>
      </c>
      <c r="V4" s="310" t="s">
        <v>411</v>
      </c>
      <c r="W4" s="301"/>
      <c r="X4" s="2243"/>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5"/>
      <c r="AQ4" s="1259" t="s">
        <v>412</v>
      </c>
      <c r="AS4" s="501"/>
      <c r="AT4" s="501" t="str">
        <f>IF(V4="","",V4)</f>
        <v>Наименование системы теплоснабжения </v>
      </c>
      <c r="AU4" s="501"/>
      <c r="AV4" s="501"/>
      <c r="AW4" s="1156">
        <v>0</v>
      </c>
    </row>
    <row customHeight="1" ht="21" hidden="1">
      <c r="A5" s="1268"/>
      <c r="B5" s="1268"/>
      <c r="C5" s="1268"/>
      <c r="D5" s="1268"/>
      <c r="E5" s="2291"/>
      <c r="F5" s="2291"/>
      <c r="G5" s="2291"/>
      <c r="H5" s="2290">
        <v>1</v>
      </c>
      <c r="I5" s="1268"/>
      <c r="J5" s="1268"/>
      <c r="K5" s="1268"/>
      <c r="L5" s="1268"/>
      <c r="M5" s="1311"/>
      <c r="N5" s="689"/>
      <c r="O5" s="689"/>
      <c r="P5" s="689"/>
      <c r="Q5" s="355"/>
      <c r="R5" s="353"/>
      <c r="S5" s="510"/>
      <c r="T5" s="354"/>
      <c r="U5" s="1337">
        <f>INDEX(PT_DIFFERENTIATION_NUM_IST_TE,MATCH(D5,PT_DIFFERENTIATION_IST_TE_ID,0))</f>
      </c>
      <c r="V5" s="311" t="s">
        <v>413</v>
      </c>
      <c r="W5" s="301"/>
      <c r="X5" s="2243"/>
      <c r="Y5" s="2244"/>
      <c r="Z5" s="2244"/>
      <c r="AA5" s="2244"/>
      <c r="AB5" s="2244"/>
      <c r="AC5" s="2244"/>
      <c r="AD5" s="2244"/>
      <c r="AE5" s="2244"/>
      <c r="AF5" s="2245"/>
      <c r="AG5" s="2243">
        <f>INDEX(PT_DIFFERENTIATION_IST_TE,MATCH(D5,PT_DIFFERENTIATION_IST_TE_ID,0))</f>
      </c>
      <c r="AH5" s="2244"/>
      <c r="AI5" s="2244"/>
      <c r="AJ5" s="2244"/>
      <c r="AK5" s="2244"/>
      <c r="AL5" s="2244"/>
      <c r="AM5" s="2244"/>
      <c r="AN5" s="2244"/>
      <c r="AO5" s="2244"/>
      <c r="AP5" s="2245"/>
      <c r="AQ5" s="1259" t="s">
        <v>414</v>
      </c>
      <c r="AS5" s="501"/>
      <c r="AT5" s="501" t="str">
        <f>IF(V5="","",V5)</f>
        <v>Источник тепловой энергии  </v>
      </c>
      <c r="AU5" s="501"/>
      <c r="AV5" s="501"/>
      <c r="AW5" s="1156">
        <v>0</v>
      </c>
    </row>
    <row customHeight="1" ht="14.25" hidden="1">
      <c r="A6" s="1268"/>
      <c r="B6" s="1268"/>
      <c r="C6" s="1268"/>
      <c r="D6" s="1268"/>
      <c r="E6" s="2291"/>
      <c r="F6" s="2291"/>
      <c r="G6" s="2291"/>
      <c r="H6" s="2291"/>
      <c r="I6" s="2128">
        <f>U5&amp;".1"</f>
      </c>
      <c r="J6" s="1268"/>
      <c r="K6" s="1268"/>
      <c r="L6" s="1268"/>
      <c r="M6" s="1311" t="s">
        <v>415</v>
      </c>
      <c r="N6" s="510"/>
      <c r="Q6" s="2258">
        <v>1</v>
      </c>
      <c r="R6" s="1332"/>
      <c r="S6" s="1332"/>
      <c r="T6" s="357"/>
      <c r="U6" s="1043"/>
      <c r="V6" s="1384"/>
      <c r="W6" s="1385"/>
      <c r="X6" s="2297"/>
      <c r="Y6" s="2298"/>
      <c r="Z6" s="2298"/>
      <c r="AA6" s="2298"/>
      <c r="AB6" s="2298"/>
      <c r="AC6" s="2298"/>
      <c r="AD6" s="2298"/>
      <c r="AE6" s="2298"/>
      <c r="AF6" s="2299"/>
      <c r="AG6" s="2297"/>
      <c r="AH6" s="2298"/>
      <c r="AI6" s="2298"/>
      <c r="AJ6" s="2298"/>
      <c r="AK6" s="2298"/>
      <c r="AL6" s="2298"/>
      <c r="AM6" s="2298"/>
      <c r="AN6" s="2298"/>
      <c r="AO6" s="2298"/>
      <c r="AP6" s="2299"/>
      <c r="AQ6" s="1386"/>
      <c r="AS6" s="501"/>
      <c r="AT6" s="501" t="str">
        <f>IF(V6="","",V6)</f>
        <v/>
      </c>
      <c r="AU6" s="501"/>
      <c r="AV6" s="501"/>
      <c r="AW6" s="1156">
        <v>0</v>
      </c>
    </row>
    <row customHeight="1" ht="21" hidden="1">
      <c r="A7" s="1268"/>
      <c r="B7" s="1268"/>
      <c r="C7" s="1268"/>
      <c r="D7" s="1268"/>
      <c r="E7" s="2291"/>
      <c r="F7" s="2291"/>
      <c r="G7" s="2291"/>
      <c r="H7" s="2291"/>
      <c r="I7" s="2102"/>
      <c r="J7" s="2128">
        <f>I6&amp;".1"</f>
      </c>
      <c r="K7" s="1268"/>
      <c r="L7" s="1268"/>
      <c r="M7" s="1311" t="s">
        <v>418</v>
      </c>
      <c r="N7" s="510"/>
      <c r="O7" s="328"/>
      <c r="Q7" s="2258"/>
      <c r="R7" s="2258">
        <v>1</v>
      </c>
      <c r="S7" s="519"/>
      <c r="T7" s="358"/>
      <c r="U7" s="1337">
        <f>$J7</f>
      </c>
      <c r="V7" s="287" t="s">
        <v>419</v>
      </c>
      <c r="W7" s="301"/>
      <c r="X7" s="2246"/>
      <c r="Y7" s="2247"/>
      <c r="Z7" s="2247"/>
      <c r="AA7" s="2247"/>
      <c r="AB7" s="2247"/>
      <c r="AC7" s="2236"/>
      <c r="AD7" s="2236"/>
      <c r="AE7" s="2236"/>
      <c r="AF7" s="2309"/>
      <c r="AG7" s="2246"/>
      <c r="AH7" s="2247"/>
      <c r="AI7" s="2247"/>
      <c r="AJ7" s="2247"/>
      <c r="AK7" s="2247"/>
      <c r="AL7" s="2247"/>
      <c r="AM7" s="2247"/>
      <c r="AN7" s="2247"/>
      <c r="AO7" s="2247"/>
      <c r="AP7" s="2248"/>
      <c r="AQ7" s="1259" t="s">
        <v>420</v>
      </c>
      <c r="AS7" s="501"/>
      <c r="AT7" s="501" t="str">
        <f>IF(V7="","",V7)</f>
        <v>Группа потребителей</v>
      </c>
      <c r="AU7" s="501"/>
      <c r="AV7" s="501"/>
      <c r="AW7" s="1156">
        <v>0</v>
      </c>
    </row>
    <row customHeight="1" ht="21" hidden="1">
      <c r="A8" s="1268"/>
      <c r="B8" s="1268"/>
      <c r="C8" s="1268"/>
      <c r="D8" s="1268"/>
      <c r="E8" s="2291"/>
      <c r="F8" s="2291"/>
      <c r="G8" s="2291"/>
      <c r="H8" s="2291"/>
      <c r="I8" s="2102"/>
      <c r="J8" s="2102"/>
      <c r="K8" s="2128">
        <f>J7&amp;".1"</f>
      </c>
      <c r="L8" s="140"/>
      <c r="M8" s="1311" t="s">
        <v>421</v>
      </c>
      <c r="N8" s="510"/>
      <c r="O8" s="328"/>
      <c r="P8" s="328"/>
      <c r="Q8" s="2258"/>
      <c r="R8" s="2258"/>
      <c r="S8" s="2258">
        <v>1</v>
      </c>
      <c r="T8" s="358"/>
      <c r="U8" s="1337">
        <f>$K8</f>
      </c>
      <c r="V8" s="1348"/>
      <c r="W8" s="301"/>
      <c r="X8" s="752"/>
      <c r="Y8" s="752"/>
      <c r="Z8" s="752"/>
      <c r="AA8" s="752"/>
      <c r="AB8" s="1406"/>
      <c r="AC8" s="2266"/>
      <c r="AD8" s="2108" t="s">
        <v>63</v>
      </c>
      <c r="AE8" s="2266"/>
      <c r="AF8" s="2108" t="s">
        <v>63</v>
      </c>
      <c r="AG8" s="1408"/>
      <c r="AH8" s="752"/>
      <c r="AI8" s="752"/>
      <c r="AJ8" s="752"/>
      <c r="AK8" s="1258"/>
      <c r="AL8" s="2266"/>
      <c r="AM8" s="2108" t="s">
        <v>63</v>
      </c>
      <c r="AN8" s="2266"/>
      <c r="AO8" s="2108" t="s">
        <v>63</v>
      </c>
      <c r="AP8" s="326"/>
      <c r="AQ8" s="1308" t="s">
        <v>461</v>
      </c>
      <c r="AR8" s="512">
        <f>STRCHECKDATE(X10:AP10)</f>
      </c>
      <c r="AS8" s="501"/>
      <c r="AT8" s="501" t="str">
        <f>IF(V8="","",V8)</f>
        <v/>
      </c>
      <c r="AU8" s="501"/>
      <c r="AV8" s="501"/>
      <c r="AW8" s="1156">
        <v>0</v>
      </c>
    </row>
    <row customHeight="1" ht="21" hidden="1">
      <c r="A9" s="1268"/>
      <c r="B9" s="1268"/>
      <c r="C9" s="1268"/>
      <c r="D9" s="1268"/>
      <c r="E9" s="2291"/>
      <c r="F9" s="2291"/>
      <c r="G9" s="2291"/>
      <c r="H9" s="2291"/>
      <c r="I9" s="2102"/>
      <c r="J9" s="2102"/>
      <c r="K9" s="2102"/>
      <c r="L9" s="2128">
        <f>K8&amp;".1"</f>
      </c>
      <c r="M9" s="1311"/>
      <c r="N9" s="510"/>
      <c r="O9" s="328"/>
      <c r="P9" s="328"/>
      <c r="Q9" s="2258"/>
      <c r="R9" s="2258"/>
      <c r="S9" s="2258"/>
      <c r="T9" s="358"/>
      <c r="U9" s="1337">
        <f>$L9</f>
      </c>
      <c r="V9" s="1392"/>
      <c r="W9" s="301"/>
      <c r="X9" s="326"/>
      <c r="Y9" s="752"/>
      <c r="Z9" s="752"/>
      <c r="AA9" s="752"/>
      <c r="AB9" s="1406"/>
      <c r="AC9" s="2310"/>
      <c r="AD9" s="2108"/>
      <c r="AE9" s="2310"/>
      <c r="AF9" s="2108"/>
      <c r="AG9" s="1408"/>
      <c r="AH9" s="752"/>
      <c r="AI9" s="752"/>
      <c r="AJ9" s="752"/>
      <c r="AK9" s="1258"/>
      <c r="AL9" s="2310"/>
      <c r="AM9" s="2108"/>
      <c r="AN9" s="2310"/>
      <c r="AO9" s="2108"/>
      <c r="AP9" s="326"/>
      <c r="AQ9" s="2254" t="s">
        <v>462</v>
      </c>
      <c r="AS9" s="501"/>
      <c r="AT9" s="501"/>
      <c r="AU9" s="501"/>
      <c r="AV9" s="501"/>
      <c r="AW9" s="1156">
        <v>0</v>
      </c>
    </row>
    <row customHeight="1" ht="14.25" hidden="1">
      <c r="A10" s="1268"/>
      <c r="B10" s="1268"/>
      <c r="C10" s="1268"/>
      <c r="D10" s="1268"/>
      <c r="E10" s="2291"/>
      <c r="F10" s="2291"/>
      <c r="G10" s="2291"/>
      <c r="H10" s="2291"/>
      <c r="I10" s="2102"/>
      <c r="J10" s="2102"/>
      <c r="K10" s="2102"/>
      <c r="L10" s="2128"/>
      <c r="M10" s="1311"/>
      <c r="N10" s="510"/>
      <c r="O10" s="328"/>
      <c r="P10" s="328"/>
      <c r="Q10" s="2258"/>
      <c r="R10" s="2258"/>
      <c r="S10" s="2258"/>
      <c r="T10" s="358"/>
      <c r="U10" s="1343"/>
      <c r="V10" s="301"/>
      <c r="W10" s="301"/>
      <c r="X10" s="326"/>
      <c r="Y10" s="326"/>
      <c r="Z10" s="326"/>
      <c r="AA10" s="326"/>
      <c r="AB10" s="1407" t="str">
        <f>AC8&amp;"-"&amp;AE8</f>
        <v>-</v>
      </c>
      <c r="AC10" s="2310"/>
      <c r="AD10" s="2108"/>
      <c r="AE10" s="2310"/>
      <c r="AF10" s="2108"/>
      <c r="AG10" s="1383"/>
      <c r="AH10" s="326"/>
      <c r="AI10" s="326"/>
      <c r="AJ10" s="326"/>
      <c r="AK10" s="329" t="str">
        <f>AL8&amp;"-"&amp;AN8</f>
        <v>-</v>
      </c>
      <c r="AL10" s="2310"/>
      <c r="AM10" s="2108"/>
      <c r="AN10" s="2310"/>
      <c r="AO10" s="2108"/>
      <c r="AP10" s="326"/>
      <c r="AQ10" s="2255"/>
      <c r="AS10" s="501"/>
      <c r="AT10" s="501" t="str">
        <f>IF(V10="","",V10)</f>
        <v/>
      </c>
      <c r="AU10" s="501"/>
      <c r="AV10" s="501"/>
      <c r="AW10" s="1156">
        <v>0</v>
      </c>
    </row>
    <row customHeight="1" ht="11.25" hidden="1">
      <c r="A11" s="1268"/>
      <c r="B11" s="1268"/>
      <c r="C11" s="1268"/>
      <c r="D11" s="1268"/>
      <c r="E11" s="2291"/>
      <c r="F11" s="2291"/>
      <c r="G11" s="2291"/>
      <c r="H11" s="2291"/>
      <c r="I11" s="2102"/>
      <c r="J11" s="2102"/>
      <c r="K11" s="2128"/>
      <c r="L11" s="1268"/>
      <c r="M11" s="1311"/>
      <c r="N11" s="510"/>
      <c r="O11" s="328"/>
      <c r="P11" s="328"/>
      <c r="Q11" s="2258"/>
      <c r="R11" s="2258"/>
      <c r="S11" s="2258"/>
      <c r="T11" s="358"/>
      <c r="U11" s="1279"/>
      <c r="V11" s="289" t="s">
        <v>463</v>
      </c>
      <c r="W11" s="1393"/>
      <c r="X11" s="1394"/>
      <c r="Y11" s="1394"/>
      <c r="Z11" s="1394"/>
      <c r="AA11" s="1394"/>
      <c r="AB11" s="1395"/>
      <c r="AC11" s="2310"/>
      <c r="AD11" s="2108"/>
      <c r="AE11" s="2310"/>
      <c r="AF11" s="2108"/>
      <c r="AG11" s="1394"/>
      <c r="AH11" s="1394"/>
      <c r="AI11" s="1394"/>
      <c r="AJ11" s="1394"/>
      <c r="AK11" s="1395"/>
      <c r="AL11" s="2310"/>
      <c r="AM11" s="2108"/>
      <c r="AN11" s="2310"/>
      <c r="AO11" s="2108"/>
      <c r="AP11" s="1396"/>
      <c r="AQ11" s="2255"/>
      <c r="AS11" s="501"/>
      <c r="AT11" s="501"/>
      <c r="AU11" s="501"/>
      <c r="AV11" s="501"/>
      <c r="AW11" s="1156">
        <v>0</v>
      </c>
    </row>
    <row customHeight="1" ht="15" hidden="1">
      <c r="A12" s="1268"/>
      <c r="B12" s="1268"/>
      <c r="C12" s="1268"/>
      <c r="D12" s="1268"/>
      <c r="E12" s="2291"/>
      <c r="F12" s="2291"/>
      <c r="G12" s="2291"/>
      <c r="H12" s="2291"/>
      <c r="I12" s="2102"/>
      <c r="J12" s="2128"/>
      <c r="K12" s="1268"/>
      <c r="L12" s="1268"/>
      <c r="M12" s="1311"/>
      <c r="N12" s="510"/>
      <c r="O12" s="328"/>
      <c r="Q12" s="2258"/>
      <c r="R12" s="2258"/>
      <c r="S12" s="1332"/>
      <c r="T12" s="357"/>
      <c r="U12" s="1279"/>
      <c r="V12" s="288" t="s">
        <v>423</v>
      </c>
      <c r="W12" s="368"/>
      <c r="X12" s="368"/>
      <c r="Y12" s="368"/>
      <c r="Z12" s="368"/>
      <c r="AA12" s="368"/>
      <c r="AB12" s="368"/>
      <c r="AC12" s="1409"/>
      <c r="AD12" s="1409"/>
      <c r="AE12" s="1409"/>
      <c r="AF12" s="1409"/>
      <c r="AG12" s="368"/>
      <c r="AH12" s="368"/>
      <c r="AI12" s="368"/>
      <c r="AJ12" s="368"/>
      <c r="AK12" s="368"/>
      <c r="AL12" s="368"/>
      <c r="AM12" s="368"/>
      <c r="AN12" s="368"/>
      <c r="AO12" s="368"/>
      <c r="AP12" s="325"/>
      <c r="AQ12" s="2256"/>
      <c r="AS12" s="501"/>
      <c r="AT12" s="501" t="str">
        <f>IF(V12="","",V12)</f>
        <v>Добавить вид теплоносителя (параметры теплоносителя)</v>
      </c>
      <c r="AU12" s="501"/>
      <c r="AV12" s="501"/>
      <c r="AW12" s="1156">
        <v>0</v>
      </c>
    </row>
    <row customHeight="1" ht="11.25" hidden="1">
      <c r="A13" s="1268"/>
      <c r="B13" s="1268"/>
      <c r="C13" s="1268"/>
      <c r="D13" s="1268"/>
      <c r="E13" s="2291"/>
      <c r="F13" s="2291"/>
      <c r="G13" s="2291"/>
      <c r="H13" s="2291"/>
      <c r="I13" s="2128"/>
      <c r="J13" s="1268"/>
      <c r="K13" s="1268"/>
      <c r="L13" s="1268"/>
      <c r="M13" s="1311"/>
      <c r="N13" s="510"/>
      <c r="Q13" s="2258"/>
      <c r="R13" s="1332"/>
      <c r="S13" s="1332"/>
      <c r="T13" s="357"/>
      <c r="U13" s="1279"/>
      <c r="V13" s="366" t="s">
        <v>424</v>
      </c>
      <c r="W13" s="368"/>
      <c r="X13" s="368"/>
      <c r="Y13" s="368"/>
      <c r="Z13" s="368"/>
      <c r="AA13" s="368"/>
      <c r="AB13" s="368"/>
      <c r="AC13" s="368"/>
      <c r="AD13" s="368"/>
      <c r="AE13" s="368"/>
      <c r="AF13" s="367"/>
      <c r="AG13" s="368"/>
      <c r="AH13" s="368"/>
      <c r="AI13" s="368"/>
      <c r="AJ13" s="368"/>
      <c r="AK13" s="368"/>
      <c r="AL13" s="368"/>
      <c r="AM13" s="368"/>
      <c r="AN13" s="368"/>
      <c r="AO13" s="367"/>
      <c r="AP13" s="368"/>
      <c r="AQ13" s="304"/>
      <c r="AS13" s="501"/>
      <c r="AT13" s="501" t="str">
        <f>IF(V13="","",V13)</f>
        <v>Добавить группу потребителей</v>
      </c>
      <c r="AU13" s="501"/>
      <c r="AV13" s="501"/>
      <c r="AW13" s="1156">
        <v>0</v>
      </c>
    </row>
    <row customHeight="1" ht="14.25" hidden="1">
      <c r="A14" s="1268"/>
      <c r="B14" s="1268"/>
      <c r="C14" s="1268"/>
      <c r="D14" s="1268"/>
      <c r="E14" s="2291"/>
      <c r="F14" s="2291"/>
      <c r="G14" s="2291"/>
      <c r="H14" s="2290"/>
      <c r="I14" s="1268"/>
      <c r="J14" s="1268"/>
      <c r="K14" s="1268"/>
      <c r="L14" s="1268"/>
      <c r="M14" s="1311"/>
      <c r="N14" s="689"/>
      <c r="O14" s="689"/>
      <c r="P14" s="510"/>
      <c r="Q14" s="361"/>
      <c r="R14" s="376"/>
      <c r="S14" s="356"/>
      <c r="T14" s="361"/>
      <c r="U14" s="1387"/>
      <c r="V14" s="1388"/>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90"/>
      <c r="AS14" s="501"/>
      <c r="AT14" s="501" t="str">
        <f>IF(V14="","",V14)</f>
        <v/>
      </c>
      <c r="AU14" s="501"/>
      <c r="AV14" s="501"/>
      <c r="AW14" s="1156">
        <v>0</v>
      </c>
    </row>
    <row s="1643" customFormat="1" customHeight="1" ht="14.25" hidden="1">
      <c r="A15" s="1375"/>
      <c r="B15" s="1375"/>
      <c r="C15" s="1375"/>
      <c r="D15" s="1375"/>
      <c r="E15" s="2291"/>
      <c r="F15" s="2291"/>
      <c r="G15" s="2290"/>
      <c r="H15" s="1375"/>
      <c r="I15" s="1375"/>
      <c r="J15" s="1375"/>
      <c r="K15" s="1375"/>
      <c r="L15" s="1375"/>
      <c r="M15" s="1378"/>
      <c r="N15" s="1379"/>
      <c r="O15" s="1379"/>
      <c r="P15" s="352"/>
      <c r="Q15" s="1317"/>
      <c r="R15" s="1318"/>
      <c r="S15" s="1317"/>
      <c r="T15" s="1317"/>
      <c r="U15" s="1319"/>
      <c r="V15" s="1320" t="s">
        <v>426</v>
      </c>
      <c r="W15" s="1321"/>
      <c r="X15" s="1321"/>
      <c r="Y15" s="1321"/>
      <c r="Z15" s="1321"/>
      <c r="AA15" s="1321"/>
      <c r="AB15" s="1321"/>
      <c r="AC15" s="1321"/>
      <c r="AD15" s="1321"/>
      <c r="AE15" s="1321"/>
      <c r="AF15" s="1321"/>
      <c r="AG15" s="1321"/>
      <c r="AH15" s="1321"/>
      <c r="AI15" s="1321"/>
      <c r="AJ15" s="1321"/>
      <c r="AK15" s="1321"/>
      <c r="AL15" s="1321"/>
      <c r="AM15" s="1321"/>
      <c r="AN15" s="1321"/>
      <c r="AO15" s="1321"/>
      <c r="AP15" s="1321"/>
      <c r="AQ15" s="1321"/>
      <c r="AS15" s="790"/>
      <c r="AT15" s="790" t="str">
        <f>IF(V15="","",V15)</f>
        <v>Добавить источник для дифференциации</v>
      </c>
      <c r="AU15" s="790"/>
      <c r="AV15" s="790"/>
      <c r="AW15" s="519">
        <v>0</v>
      </c>
    </row>
    <row s="1643" customFormat="1" customHeight="1" ht="14.25" hidden="1">
      <c r="A16" s="1375"/>
      <c r="B16" s="1375"/>
      <c r="C16" s="1375"/>
      <c r="D16" s="1375"/>
      <c r="E16" s="2291"/>
      <c r="F16" s="2290"/>
      <c r="G16" s="1375"/>
      <c r="H16" s="1375"/>
      <c r="I16" s="1375"/>
      <c r="J16" s="1375"/>
      <c r="K16" s="1375"/>
      <c r="L16" s="1375"/>
      <c r="M16" s="1378"/>
      <c r="N16" s="1380"/>
      <c r="O16" s="1380"/>
      <c r="P16" s="352"/>
      <c r="Q16" s="1317"/>
      <c r="R16" s="1318"/>
      <c r="S16" s="1317"/>
      <c r="T16" s="1317"/>
      <c r="U16" s="1323"/>
      <c r="V16" s="1324" t="s">
        <v>232</v>
      </c>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S16" s="790"/>
      <c r="AT16" s="790" t="str">
        <f>IF(V16="","",V16)</f>
        <v>Добавить централизованную систему для дифференциации</v>
      </c>
      <c r="AU16" s="790"/>
      <c r="AV16" s="790"/>
      <c r="AW16" s="519">
        <v>0</v>
      </c>
    </row>
    <row s="1643" customFormat="1" customHeight="1" ht="14.25" hidden="1">
      <c r="A17" s="1375"/>
      <c r="B17" s="1375"/>
      <c r="C17" s="1375"/>
      <c r="D17" s="1375"/>
      <c r="E17" s="2290"/>
      <c r="F17" s="1375"/>
      <c r="G17" s="1375"/>
      <c r="H17" s="1375"/>
      <c r="I17" s="1375"/>
      <c r="J17" s="1375"/>
      <c r="K17" s="1375"/>
      <c r="L17" s="1375"/>
      <c r="M17" s="1378"/>
      <c r="N17" s="1380"/>
      <c r="O17" s="1380"/>
      <c r="P17" s="352"/>
      <c r="Q17" s="1317"/>
      <c r="R17" s="1318"/>
      <c r="S17" s="1317"/>
      <c r="T17" s="1317"/>
      <c r="U17" s="1323"/>
      <c r="V17" s="1326" t="s">
        <v>233</v>
      </c>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S17" s="790"/>
      <c r="AT17" s="790" t="str">
        <f>IF(V17="","",V17)</f>
        <v>Добавить территорию для дифференциации</v>
      </c>
      <c r="AU17" s="790"/>
      <c r="AV17" s="790"/>
      <c r="AW17" s="519">
        <v>0</v>
      </c>
    </row>
    <row customHeight="1" ht="14.25" hidden="1">
      <c r="AF18" s="328"/>
      <c r="AO18" s="328"/>
      <c r="AW18" s="1156">
        <v>0</v>
      </c>
    </row>
    <row customHeight="1" ht="14.25" hidden="1">
      <c r="AG19" s="1361"/>
      <c r="AH19" s="1361"/>
      <c r="AI19" s="1361"/>
      <c r="AJ19" s="1361"/>
      <c r="AK19" s="1362"/>
      <c r="AL19" s="2268"/>
      <c r="AM19" s="2269" t="s">
        <v>63</v>
      </c>
      <c r="AN19" s="2268"/>
      <c r="AO19" s="2269" t="s">
        <v>63</v>
      </c>
      <c r="AW19" s="1156">
        <v>0</v>
      </c>
    </row>
    <row customHeight="1" ht="14.25" hidden="1">
      <c r="AG20" s="1361"/>
      <c r="AH20" s="1361"/>
      <c r="AI20" s="1361"/>
      <c r="AJ20" s="1361"/>
      <c r="AK20" s="1362"/>
      <c r="AL20" s="2268"/>
      <c r="AM20" s="2269"/>
      <c r="AN20" s="2268"/>
      <c r="AO20" s="2269"/>
      <c r="AW20" s="1156">
        <v>0</v>
      </c>
    </row>
    <row customHeight="1" ht="14.25" hidden="1">
      <c r="AG21" s="1361"/>
      <c r="AH21" s="1361"/>
      <c r="AI21" s="1361"/>
      <c r="AJ21" s="1361"/>
      <c r="AK21" s="1362"/>
      <c r="AL21" s="2268"/>
      <c r="AM21" s="2269"/>
      <c r="AN21" s="2268"/>
      <c r="AO21" s="2269"/>
      <c r="AW21" s="1156">
        <v>0</v>
      </c>
    </row>
    <row customHeight="1" ht="14.25" hidden="1">
      <c r="AG22" s="1361"/>
      <c r="AH22" s="1361"/>
      <c r="AI22" s="1361"/>
      <c r="AJ22" s="1361"/>
      <c r="AK22" s="329" t="str">
        <f>AL19&amp;"-"&amp;AN19</f>
        <v>-</v>
      </c>
      <c r="AL22" s="2269"/>
      <c r="AM22" s="2269"/>
      <c r="AN22" s="2269"/>
      <c r="AO22" s="2269"/>
      <c r="AW22" s="1156">
        <v>0</v>
      </c>
    </row>
    <row customHeight="1" ht="14.25" hidden="1">
      <c r="AO23" s="328"/>
      <c r="AW23" s="1156">
        <v>0</v>
      </c>
    </row>
    <row s="1367" customFormat="1" customHeight="1" ht="22.5" hidden="1">
      <c r="A24" s="1156"/>
      <c r="B24" s="1156"/>
      <c r="C24" s="1156"/>
      <c r="D24" s="1156"/>
      <c r="E24" s="1156"/>
      <c r="F24" s="1156"/>
      <c r="G24" s="1156"/>
      <c r="H24" s="1156"/>
      <c r="I24" s="1156"/>
      <c r="J24" s="1156"/>
      <c r="K24" s="1156"/>
      <c r="L24" s="1156"/>
      <c r="M24" s="1328"/>
      <c r="N24" s="1329"/>
      <c r="O24" s="1329"/>
      <c r="P24" s="1346" t="s">
        <v>427</v>
      </c>
      <c r="Q24" s="1363"/>
      <c r="R24" s="1372"/>
      <c r="S24" s="1372"/>
      <c r="T24" s="1372"/>
      <c r="U24" s="730"/>
      <c r="AC24" s="1368"/>
      <c r="AE24" s="1368"/>
      <c r="AF24" s="1367"/>
      <c r="AL24" s="1368"/>
      <c r="AN24" s="1368"/>
      <c r="AO24" s="1367"/>
      <c r="AR24" s="512"/>
      <c r="AS24" s="512"/>
      <c r="AT24" s="512"/>
      <c r="AU24" s="512"/>
      <c r="AV24" s="512"/>
      <c r="AW24" s="1161">
        <v>0</v>
      </c>
    </row>
    <row s="1367" customFormat="1" customHeight="1" ht="14.25" hidden="1">
      <c r="A25" s="1156"/>
      <c r="B25" s="1156"/>
      <c r="C25" s="1156"/>
      <c r="D25" s="1156"/>
      <c r="E25" s="1156"/>
      <c r="F25" s="1156"/>
      <c r="G25" s="1156"/>
      <c r="H25" s="1156"/>
      <c r="I25" s="1156"/>
      <c r="J25" s="1156"/>
      <c r="K25" s="1156"/>
      <c r="L25" s="1156"/>
      <c r="M25" s="1328"/>
      <c r="N25" s="1329"/>
      <c r="O25" s="1329"/>
      <c r="P25" s="1329"/>
      <c r="Q25" s="1363"/>
      <c r="R25" s="1372"/>
      <c r="S25" s="1372"/>
      <c r="T25" s="1372"/>
      <c r="U25" s="730"/>
      <c r="AF25" s="1367"/>
      <c r="AO25" s="1367"/>
      <c r="AR25" s="512"/>
      <c r="AS25" s="512"/>
      <c r="AT25" s="512"/>
      <c r="AU25" s="512"/>
      <c r="AV25" s="512"/>
      <c r="AW25" s="1161">
        <v>0</v>
      </c>
    </row>
    <row s="1367" customFormat="1" customHeight="1" ht="14.25" hidden="1">
      <c r="A26" s="1156"/>
      <c r="B26" s="1156"/>
      <c r="C26" s="1156"/>
      <c r="D26" s="1156"/>
      <c r="E26" s="1156"/>
      <c r="F26" s="1156"/>
      <c r="G26" s="1156"/>
      <c r="H26" s="1156"/>
      <c r="I26" s="1156"/>
      <c r="J26" s="1156"/>
      <c r="K26" s="1156"/>
      <c r="L26" s="1156"/>
      <c r="M26" s="1328"/>
      <c r="N26" s="1329"/>
      <c r="O26" s="1329"/>
      <c r="P26" s="1311" t="s">
        <v>428</v>
      </c>
      <c r="Q26" s="1363"/>
      <c r="R26" s="1372"/>
      <c r="S26" s="1372"/>
      <c r="T26" s="1372"/>
      <c r="U26" s="730"/>
      <c r="V26" s="1161" t="s">
        <v>429</v>
      </c>
      <c r="AD26" s="187" t="s">
        <v>430</v>
      </c>
      <c r="AF26" s="187" t="s">
        <v>431</v>
      </c>
      <c r="AG26" s="1161" t="s">
        <v>429</v>
      </c>
      <c r="AM26" s="187" t="s">
        <v>432</v>
      </c>
      <c r="AO26" s="187" t="s">
        <v>431</v>
      </c>
      <c r="AR26" s="512"/>
      <c r="AS26" s="512"/>
      <c r="AT26" s="512"/>
      <c r="AU26" s="512"/>
      <c r="AV26" s="512"/>
      <c r="AW26" s="1161">
        <v>0</v>
      </c>
    </row>
    <row customHeight="1" ht="14.25" hidden="1">
      <c r="P27" s="1311"/>
      <c r="AW27" s="1156">
        <v>0</v>
      </c>
    </row>
    <row customHeight="1" ht="14.25" hidden="1">
      <c r="P28" s="1311"/>
      <c r="AW28" s="1156">
        <v>0</v>
      </c>
    </row>
    <row customHeight="1" ht="14.699999999999998">
      <c r="R29" s="377"/>
      <c r="S29" s="377"/>
      <c r="T29" s="377"/>
      <c r="U29" s="1276"/>
      <c r="V29" s="364"/>
      <c r="W29" s="364"/>
      <c r="X29" s="510"/>
      <c r="Y29" s="510"/>
      <c r="Z29" s="510"/>
      <c r="AA29" s="510"/>
      <c r="AB29" s="510"/>
      <c r="AC29" s="510"/>
      <c r="AD29" s="510"/>
      <c r="AE29" s="510"/>
      <c r="AF29" s="510"/>
      <c r="AG29" s="510"/>
      <c r="AH29" s="510"/>
      <c r="AI29" s="510"/>
      <c r="AJ29" s="510"/>
      <c r="AK29" s="510"/>
      <c r="AL29" s="510"/>
      <c r="AM29" s="510"/>
      <c r="AN29" s="510"/>
      <c r="AO29" s="510"/>
      <c r="AW29" s="1156">
        <v>14</v>
      </c>
    </row>
    <row customHeight="1" ht="56.699999999999996">
      <c r="R30" s="377"/>
      <c r="S30" s="377"/>
      <c r="T30" s="377"/>
      <c r="U30" s="2249" t="str">
        <f>IF(TEMPLATE_GROUP="P",PT_P_FORM_HEAT_6_NAME_FORM,PT_R_FORM_HEAT_23_NAME_FORM)</f>
        <v>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49"/>
      <c r="W30" s="2249"/>
      <c r="X30" s="2249"/>
      <c r="Y30" s="2249"/>
      <c r="Z30" s="2249"/>
      <c r="AA30" s="2249"/>
      <c r="AB30" s="2249"/>
      <c r="AC30" s="2249"/>
      <c r="AD30" s="2249"/>
      <c r="AE30" s="2249"/>
      <c r="AF30" s="2249"/>
      <c r="AG30" s="2249"/>
      <c r="AH30" s="2249"/>
      <c r="AI30" s="2249"/>
      <c r="AJ30" s="2249"/>
      <c r="AK30" s="2249"/>
      <c r="AL30" s="2249"/>
      <c r="AM30" s="2249"/>
      <c r="AN30" s="2249"/>
      <c r="AO30" s="1244"/>
      <c r="AW30" s="1156">
        <v>54</v>
      </c>
    </row>
    <row customHeight="1" ht="14.699999999999998">
      <c r="R31" s="377"/>
      <c r="S31" s="377"/>
      <c r="T31" s="377"/>
      <c r="U31" s="2250" t="str">
        <f>IF(org=0,"Не определено",org)</f>
        <v>ИМУП «ПОСЖИЛКОМСЕРВИС»</v>
      </c>
      <c r="V31" s="2250"/>
      <c r="W31" s="2250"/>
      <c r="X31" s="2250"/>
      <c r="Y31" s="2250"/>
      <c r="Z31" s="2250"/>
      <c r="AA31" s="2250"/>
      <c r="AB31" s="2250"/>
      <c r="AC31" s="2250"/>
      <c r="AD31" s="2250"/>
      <c r="AE31" s="2250"/>
      <c r="AF31" s="2250"/>
      <c r="AG31" s="2250"/>
      <c r="AH31" s="2250"/>
      <c r="AI31" s="2250"/>
      <c r="AJ31" s="2250"/>
      <c r="AK31" s="2250"/>
      <c r="AL31" s="2250"/>
      <c r="AM31" s="2250"/>
      <c r="AN31" s="2250"/>
      <c r="AO31" s="1244"/>
      <c r="AW31" s="1156">
        <v>14</v>
      </c>
    </row>
    <row customHeight="1" ht="14.25">
      <c r="R32" s="377"/>
      <c r="S32" s="377"/>
      <c r="T32" s="377"/>
      <c r="U32" s="1276"/>
      <c r="V32" s="364"/>
      <c r="W32" s="364"/>
      <c r="X32" s="323"/>
      <c r="Y32" s="323"/>
      <c r="Z32" s="323"/>
      <c r="AA32" s="323"/>
      <c r="AB32" s="323"/>
      <c r="AC32" s="323"/>
      <c r="AD32" s="323"/>
      <c r="AE32" s="323"/>
      <c r="AF32" s="323"/>
      <c r="AG32" s="323"/>
      <c r="AH32" s="323"/>
      <c r="AI32" s="323"/>
      <c r="AJ32" s="323"/>
      <c r="AK32" s="323"/>
      <c r="AL32" s="323"/>
      <c r="AM32" s="323"/>
      <c r="AN32" s="323"/>
      <c r="AO32" s="323"/>
      <c r="AP32" s="510"/>
      <c r="AW32" s="1156">
        <v>0</v>
      </c>
    </row>
    <row s="1854" customFormat="1" customHeight="1" ht="25.5">
      <c r="A33" s="1249"/>
      <c r="B33" s="1249"/>
      <c r="C33" s="1249"/>
      <c r="D33" s="1249"/>
      <c r="E33" s="1249"/>
      <c r="F33" s="1249"/>
      <c r="G33" s="1249"/>
      <c r="H33" s="1249"/>
      <c r="I33" s="1249"/>
      <c r="J33" s="1249"/>
      <c r="K33" s="1249"/>
      <c r="L33" s="1249"/>
      <c r="M33" s="1381"/>
      <c r="N33" s="1249"/>
      <c r="O33" s="1249"/>
      <c r="P33" s="1249"/>
      <c r="U33" s="2251" t="s">
        <v>42</v>
      </c>
      <c r="V33" s="2251"/>
      <c r="W33" s="1373"/>
      <c r="X33" s="2252" t="str">
        <f>IF(TITLE_NAME_OR_PR_CHANGE="",IF(TITLE_NAME_OR_PR="","",TITLE_NAME_OR_PR),TITLE_NAME_OR_PR_CHANGE)</f>
        <v>Управление по государственному регулированию цен (тарифов) Ненецкого автономного округа</v>
      </c>
      <c r="Y33" s="2252"/>
      <c r="Z33" s="2252"/>
      <c r="AA33" s="2252"/>
      <c r="AB33" s="2252"/>
      <c r="AC33" s="2252"/>
      <c r="AD33" s="2252"/>
      <c r="AE33" s="2252"/>
      <c r="AF33" s="327"/>
      <c r="AG33" s="2252" t="str">
        <f>IF(TITLE_NAME_OR_PR_CHANGE="",IF(TITLE_NAME_OR_PR="","",TITLE_NAME_OR_PR),TITLE_NAME_OR_PR_CHANGE)</f>
        <v>Управление по государственному регулированию цен (тарифов) Ненецкого автономного округа</v>
      </c>
      <c r="AH33" s="2252"/>
      <c r="AI33" s="2252"/>
      <c r="AJ33" s="2252"/>
      <c r="AK33" s="2252"/>
      <c r="AL33" s="2252"/>
      <c r="AM33" s="2252"/>
      <c r="AN33" s="2252"/>
      <c r="AO33" s="327"/>
      <c r="AP33" s="327"/>
      <c r="AQ33" s="281"/>
      <c r="AR33" s="369"/>
      <c r="AS33" s="369"/>
      <c r="AT33" s="369"/>
      <c r="AU33" s="369"/>
      <c r="AV33" s="369"/>
      <c r="AW33" s="419">
        <v>0</v>
      </c>
    </row>
    <row s="1854" customFormat="1" customHeight="1" ht="18.75">
      <c r="A34" s="1249"/>
      <c r="B34" s="1249"/>
      <c r="C34" s="1249"/>
      <c r="D34" s="1249"/>
      <c r="E34" s="1249"/>
      <c r="F34" s="1249"/>
      <c r="G34" s="1249"/>
      <c r="H34" s="1249"/>
      <c r="I34" s="1249"/>
      <c r="J34" s="1249"/>
      <c r="K34" s="1249"/>
      <c r="L34" s="1249"/>
      <c r="M34" s="1381"/>
      <c r="N34" s="1249"/>
      <c r="O34" s="1249"/>
      <c r="P34" s="1249"/>
      <c r="U34" s="2251" t="s">
        <v>433</v>
      </c>
      <c r="V34" s="2251"/>
      <c r="W34" s="1373"/>
      <c r="X34" s="2265" t="str">
        <f>IF(TITLE_DATE_PR_CHANGE="",IF(TITLE_DATE_PR="","",TITLE_DATE_PR),TITLE_DATE_PR_CHANGE)</f>
        <v>45642</v>
      </c>
      <c r="Y34" s="2265"/>
      <c r="Z34" s="2265"/>
      <c r="AA34" s="2265"/>
      <c r="AB34" s="2265"/>
      <c r="AC34" s="2265"/>
      <c r="AD34" s="2265"/>
      <c r="AE34" s="2265"/>
      <c r="AF34" s="327"/>
      <c r="AG34" s="2265" t="str">
        <f>IF(TITLE_DATE_PR_CHANGE="",IF(TITLE_DATE_PR="","",TITLE_DATE_PR),TITLE_DATE_PR_CHANGE)</f>
        <v>45642</v>
      </c>
      <c r="AH34" s="2265"/>
      <c r="AI34" s="2265"/>
      <c r="AJ34" s="2265"/>
      <c r="AK34" s="2265"/>
      <c r="AL34" s="2265"/>
      <c r="AM34" s="2265"/>
      <c r="AN34" s="2265"/>
      <c r="AO34" s="327"/>
      <c r="AP34" s="327"/>
      <c r="AQ34" s="281"/>
      <c r="AR34" s="369"/>
      <c r="AS34" s="369"/>
      <c r="AT34" s="369"/>
      <c r="AU34" s="369"/>
      <c r="AV34" s="369"/>
      <c r="AW34" s="419">
        <v>0</v>
      </c>
    </row>
    <row s="1854" customFormat="1" customHeight="1" ht="18.75">
      <c r="A35" s="1249"/>
      <c r="B35" s="1249"/>
      <c r="C35" s="1249"/>
      <c r="D35" s="1249"/>
      <c r="E35" s="1249"/>
      <c r="F35" s="1249"/>
      <c r="G35" s="1249"/>
      <c r="H35" s="1249"/>
      <c r="I35" s="1249"/>
      <c r="J35" s="1249"/>
      <c r="K35" s="1249"/>
      <c r="L35" s="1249"/>
      <c r="M35" s="1381"/>
      <c r="N35" s="1249"/>
      <c r="O35" s="1249"/>
      <c r="P35" s="1249"/>
      <c r="U35" s="2251" t="s">
        <v>434</v>
      </c>
      <c r="V35" s="2251"/>
      <c r="W35" s="1373"/>
      <c r="X35" s="2252" t="str">
        <f>IF(TITLE_NUMBER_PR_CHANGE="",IF(TITLE_NUMBER_PR="","",TITLE_NUMBER_PR),TITLE_NUMBER_PR_CHANGE)</f>
        <v>58</v>
      </c>
      <c r="Y35" s="2252"/>
      <c r="Z35" s="2252"/>
      <c r="AA35" s="2252"/>
      <c r="AB35" s="2252"/>
      <c r="AC35" s="2252"/>
      <c r="AD35" s="2252"/>
      <c r="AE35" s="2252"/>
      <c r="AF35" s="327"/>
      <c r="AG35" s="2252" t="str">
        <f>IF(TITLE_NUMBER_PR_CHANGE="",IF(TITLE_NUMBER_PR="","",TITLE_NUMBER_PR),TITLE_NUMBER_PR_CHANGE)</f>
        <v>58</v>
      </c>
      <c r="AH35" s="2252"/>
      <c r="AI35" s="2252"/>
      <c r="AJ35" s="2252"/>
      <c r="AK35" s="2252"/>
      <c r="AL35" s="2252"/>
      <c r="AM35" s="2252"/>
      <c r="AN35" s="2252"/>
      <c r="AO35" s="327"/>
      <c r="AP35" s="327"/>
      <c r="AQ35" s="281"/>
      <c r="AR35" s="369"/>
      <c r="AS35" s="369"/>
      <c r="AT35" s="369"/>
      <c r="AU35" s="369"/>
      <c r="AV35" s="369"/>
      <c r="AW35" s="419">
        <v>0</v>
      </c>
    </row>
    <row s="1854" customFormat="1" customHeight="1" ht="18.75">
      <c r="A36" s="1249"/>
      <c r="B36" s="1249"/>
      <c r="C36" s="1249"/>
      <c r="D36" s="1249"/>
      <c r="E36" s="1249"/>
      <c r="F36" s="1249"/>
      <c r="G36" s="1249"/>
      <c r="H36" s="1249"/>
      <c r="I36" s="1249"/>
      <c r="J36" s="1249"/>
      <c r="K36" s="1249"/>
      <c r="L36" s="1249"/>
      <c r="M36" s="1381"/>
      <c r="N36" s="1249"/>
      <c r="O36" s="1249"/>
      <c r="P36" s="1249"/>
      <c r="U36" s="2251" t="s">
        <v>44</v>
      </c>
      <c r="V36" s="2251"/>
      <c r="W36" s="1373"/>
      <c r="X36" s="2252" t="str">
        <f>IF(TITLE_IST_PUB_CHANGE="",IF(TITLE_IST_PUB="","",TITLE_IST_PUB),TITLE_IST_PUB_CHANGE)</f>
        <v>Официальный интернет портал правовой информации http://pravo.gov.ru </v>
      </c>
      <c r="Y36" s="2252"/>
      <c r="Z36" s="2252"/>
      <c r="AA36" s="2252"/>
      <c r="AB36" s="2252"/>
      <c r="AC36" s="2252"/>
      <c r="AD36" s="2252"/>
      <c r="AE36" s="2252"/>
      <c r="AF36" s="327"/>
      <c r="AG36" s="2252" t="str">
        <f>IF(TITLE_IST_PUB_CHANGE="",IF(TITLE_IST_PUB="","",TITLE_IST_PUB),TITLE_IST_PUB_CHANGE)</f>
        <v>Официальный интернет портал правовой информации http://pravo.gov.ru </v>
      </c>
      <c r="AH36" s="2252"/>
      <c r="AI36" s="2252"/>
      <c r="AJ36" s="2252"/>
      <c r="AK36" s="2252"/>
      <c r="AL36" s="2252"/>
      <c r="AM36" s="2252"/>
      <c r="AN36" s="2252"/>
      <c r="AO36" s="327"/>
      <c r="AP36" s="327"/>
      <c r="AQ36" s="281"/>
      <c r="AR36" s="369"/>
      <c r="AS36" s="369"/>
      <c r="AT36" s="369"/>
      <c r="AU36" s="369"/>
      <c r="AV36" s="369"/>
      <c r="AW36" s="419">
        <v>0</v>
      </c>
    </row>
    <row customHeight="1" ht="14.25" hidden="1">
      <c r="R37" s="377"/>
      <c r="S37" s="377"/>
      <c r="T37" s="377"/>
      <c r="U37" s="1276"/>
      <c r="V37" s="364"/>
      <c r="W37" s="364"/>
      <c r="X37" s="323"/>
      <c r="Y37" s="323"/>
      <c r="Z37" s="323"/>
      <c r="AA37" s="323"/>
      <c r="AB37" s="323"/>
      <c r="AC37" s="323"/>
      <c r="AD37" s="323"/>
      <c r="AE37" s="323"/>
      <c r="AF37" s="323"/>
      <c r="AG37" s="323"/>
      <c r="AH37" s="323"/>
      <c r="AI37" s="323"/>
      <c r="AJ37" s="323"/>
      <c r="AK37" s="323"/>
      <c r="AL37" s="323"/>
      <c r="AM37" s="323"/>
      <c r="AN37" s="323"/>
      <c r="AO37" s="323"/>
      <c r="AP37" s="510"/>
      <c r="AW37" s="1156">
        <v>0</v>
      </c>
    </row>
    <row s="1854" customFormat="1" customHeight="1" ht="18.75" hidden="1">
      <c r="A38" s="1249"/>
      <c r="B38" s="1249"/>
      <c r="C38" s="1249"/>
      <c r="D38" s="1249"/>
      <c r="E38" s="1249"/>
      <c r="F38" s="1249"/>
      <c r="G38" s="1249"/>
      <c r="H38" s="1249"/>
      <c r="I38" s="1249"/>
      <c r="J38" s="1249"/>
      <c r="K38" s="1249"/>
      <c r="L38" s="1249"/>
      <c r="M38" s="1381"/>
      <c r="N38" s="1249"/>
      <c r="O38" s="1249"/>
      <c r="P38" s="1249"/>
      <c r="U38" s="2251" t="s">
        <v>435</v>
      </c>
      <c r="V38" s="2251"/>
      <c r="W38" s="1373"/>
      <c r="X38" s="2265" t="str">
        <f>IF(TITLE_DATE_PR_CHANGE="",IF(TITLE_DATE_PR="","",TITLE_DATE_PR),TITLE_DATE_PR_CHANGE)</f>
        <v>45642</v>
      </c>
      <c r="Y38" s="2265"/>
      <c r="Z38" s="2265"/>
      <c r="AA38" s="2265"/>
      <c r="AB38" s="2265"/>
      <c r="AC38" s="2265"/>
      <c r="AD38" s="2265"/>
      <c r="AE38" s="2265"/>
      <c r="AF38" s="327"/>
      <c r="AG38" s="2265" t="str">
        <f>IF(TITLE_DATE_PR_CHANGE="",IF(TITLE_DATE_PR="","",TITLE_DATE_PR),TITLE_DATE_PR_CHANGE)</f>
        <v>45642</v>
      </c>
      <c r="AH38" s="2265"/>
      <c r="AI38" s="2265"/>
      <c r="AJ38" s="2265"/>
      <c r="AK38" s="2265"/>
      <c r="AL38" s="2265"/>
      <c r="AM38" s="2265"/>
      <c r="AN38" s="2265"/>
      <c r="AO38" s="327"/>
      <c r="AP38" s="327"/>
      <c r="AQ38" s="281"/>
      <c r="AR38" s="369"/>
      <c r="AS38" s="369"/>
      <c r="AT38" s="369"/>
      <c r="AU38" s="369"/>
      <c r="AV38" s="369"/>
      <c r="AW38" s="419">
        <v>0</v>
      </c>
    </row>
    <row s="1854" customFormat="1" customHeight="1" ht="18.75" hidden="1">
      <c r="A39" s="1249"/>
      <c r="B39" s="1249"/>
      <c r="C39" s="1249"/>
      <c r="D39" s="1249"/>
      <c r="E39" s="1249"/>
      <c r="F39" s="1249"/>
      <c r="G39" s="1249"/>
      <c r="H39" s="1249"/>
      <c r="I39" s="1249"/>
      <c r="J39" s="1249"/>
      <c r="K39" s="1249"/>
      <c r="L39" s="1249"/>
      <c r="M39" s="1381"/>
      <c r="N39" s="1249"/>
      <c r="O39" s="1249"/>
      <c r="P39" s="1249"/>
      <c r="U39" s="2251" t="s">
        <v>436</v>
      </c>
      <c r="V39" s="2251"/>
      <c r="W39" s="1373"/>
      <c r="X39" s="2252" t="str">
        <f>IF(TITLE_NUMBER_PR_CHANGE="",IF(TITLE_NUMBER_PR="","",TITLE_NUMBER_PR),TITLE_NUMBER_PR_CHANGE)</f>
        <v>58</v>
      </c>
      <c r="Y39" s="2252"/>
      <c r="Z39" s="2252"/>
      <c r="AA39" s="2252"/>
      <c r="AB39" s="2252"/>
      <c r="AC39" s="2252"/>
      <c r="AD39" s="2252"/>
      <c r="AE39" s="2252"/>
      <c r="AF39" s="327"/>
      <c r="AG39" s="2252" t="str">
        <f>IF(TITLE_NUMBER_PR_CHANGE="",IF(TITLE_NUMBER_PR="","",TITLE_NUMBER_PR),TITLE_NUMBER_PR_CHANGE)</f>
        <v>58</v>
      </c>
      <c r="AH39" s="2252"/>
      <c r="AI39" s="2252"/>
      <c r="AJ39" s="2252"/>
      <c r="AK39" s="2252"/>
      <c r="AL39" s="2252"/>
      <c r="AM39" s="2252"/>
      <c r="AN39" s="2252"/>
      <c r="AO39" s="327"/>
      <c r="AP39" s="327"/>
      <c r="AQ39" s="281"/>
      <c r="AR39" s="369"/>
      <c r="AS39" s="369"/>
      <c r="AT39" s="369"/>
      <c r="AU39" s="369"/>
      <c r="AV39" s="369"/>
      <c r="AW39" s="419">
        <v>0</v>
      </c>
    </row>
    <row s="1854" customFormat="1" customHeight="1" ht="0">
      <c r="A40" s="1249"/>
      <c r="B40" s="1249"/>
      <c r="C40" s="1249"/>
      <c r="D40" s="1249"/>
      <c r="E40" s="1249"/>
      <c r="F40" s="1249"/>
      <c r="G40" s="1249"/>
      <c r="H40" s="1249"/>
      <c r="I40" s="1249"/>
      <c r="J40" s="1249"/>
      <c r="K40" s="1249"/>
      <c r="L40" s="1249"/>
      <c r="M40" s="1381"/>
      <c r="N40" s="1249"/>
      <c r="O40" s="1249"/>
      <c r="P40" s="1249"/>
      <c r="U40" s="324"/>
      <c r="V40" s="324"/>
      <c r="W40" s="1341"/>
      <c r="X40" s="327"/>
      <c r="Y40" s="327"/>
      <c r="Z40" s="327"/>
      <c r="AA40" s="327"/>
      <c r="AB40" s="327"/>
      <c r="AC40" s="327"/>
      <c r="AD40" s="327"/>
      <c r="AE40" s="327"/>
      <c r="AF40" s="279" t="s">
        <v>437</v>
      </c>
      <c r="AG40" s="327"/>
      <c r="AH40" s="327"/>
      <c r="AI40" s="327"/>
      <c r="AJ40" s="327"/>
      <c r="AK40" s="327"/>
      <c r="AL40" s="327"/>
      <c r="AM40" s="327"/>
      <c r="AN40" s="327"/>
      <c r="AO40" s="279" t="s">
        <v>437</v>
      </c>
      <c r="AR40" s="369"/>
      <c r="AS40" s="369"/>
      <c r="AT40" s="369"/>
      <c r="AU40" s="369"/>
      <c r="AV40" s="369"/>
      <c r="AW40" s="419">
        <v>0</v>
      </c>
    </row>
    <row customHeight="1" ht="14.699999999999998">
      <c r="R41" s="377"/>
      <c r="S41" s="377"/>
      <c r="T41" s="377"/>
      <c r="U41" s="1276"/>
      <c r="V41" s="364"/>
      <c r="W41" s="1245"/>
      <c r="X41" s="2253"/>
      <c r="Y41" s="2253"/>
      <c r="Z41" s="2253"/>
      <c r="AA41" s="2253"/>
      <c r="AB41" s="2253"/>
      <c r="AC41" s="2253"/>
      <c r="AD41" s="2253"/>
      <c r="AE41" s="2253"/>
      <c r="AF41" s="2253"/>
      <c r="AG41" s="2253"/>
      <c r="AH41" s="2253"/>
      <c r="AI41" s="2253"/>
      <c r="AJ41" s="2253"/>
      <c r="AK41" s="2253"/>
      <c r="AL41" s="2253"/>
      <c r="AM41" s="2253"/>
      <c r="AN41" s="2253"/>
      <c r="AO41" s="2253"/>
      <c r="AW41" s="1156">
        <v>14</v>
      </c>
    </row>
    <row customHeight="1" ht="14.699999999999998">
      <c r="R42" s="377"/>
      <c r="S42" s="377"/>
      <c r="T42" s="377"/>
      <c r="U42" s="2128" t="s">
        <v>312</v>
      </c>
      <c r="V42" s="2128"/>
      <c r="W42" s="2128"/>
      <c r="X42" s="2128"/>
      <c r="Y42" s="2128"/>
      <c r="Z42" s="2128"/>
      <c r="AA42" s="2128"/>
      <c r="AB42" s="2128"/>
      <c r="AC42" s="2128"/>
      <c r="AD42" s="2128"/>
      <c r="AE42" s="2128"/>
      <c r="AF42" s="2128"/>
      <c r="AG42" s="2128"/>
      <c r="AH42" s="2128"/>
      <c r="AI42" s="2128"/>
      <c r="AJ42" s="2128"/>
      <c r="AK42" s="2128"/>
      <c r="AL42" s="2128"/>
      <c r="AM42" s="2128"/>
      <c r="AN42" s="2128"/>
      <c r="AO42" s="2128"/>
      <c r="AP42" s="2128"/>
      <c r="AQ42" s="2128" t="s">
        <v>313</v>
      </c>
      <c r="AW42" s="1156">
        <v>14</v>
      </c>
    </row>
    <row customHeight="1" ht="14.699999999999998">
      <c r="R43" s="377"/>
      <c r="S43" s="377"/>
      <c r="T43" s="377"/>
      <c r="U43" s="2274" t="s">
        <v>90</v>
      </c>
      <c r="V43" s="2210" t="s">
        <v>438</v>
      </c>
      <c r="W43" s="302"/>
      <c r="X43" s="2275" t="s">
        <v>439</v>
      </c>
      <c r="Y43" s="2292"/>
      <c r="Z43" s="2292"/>
      <c r="AA43" s="2292"/>
      <c r="AB43" s="2292"/>
      <c r="AC43" s="2276"/>
      <c r="AD43" s="2276"/>
      <c r="AE43" s="2277"/>
      <c r="AF43" s="2278" t="s">
        <v>440</v>
      </c>
      <c r="AG43" s="2275" t="s">
        <v>439</v>
      </c>
      <c r="AH43" s="2292"/>
      <c r="AI43" s="2292"/>
      <c r="AJ43" s="2292"/>
      <c r="AK43" s="2292"/>
      <c r="AL43" s="2276"/>
      <c r="AM43" s="2276"/>
      <c r="AN43" s="2277"/>
      <c r="AO43" s="2278" t="s">
        <v>441</v>
      </c>
      <c r="AP43" s="2281" t="s">
        <v>442</v>
      </c>
      <c r="AQ43" s="2128"/>
      <c r="AW43" s="1156">
        <v>14</v>
      </c>
    </row>
    <row customHeight="1" ht="35.699999999999996">
      <c r="R44" s="377"/>
      <c r="S44" s="377"/>
      <c r="T44" s="377"/>
      <c r="U44" s="2274"/>
      <c r="V44" s="2210"/>
      <c r="W44" s="1032"/>
      <c r="X44" s="2295" t="s">
        <v>464</v>
      </c>
      <c r="Y44" s="2313" t="s">
        <v>465</v>
      </c>
      <c r="Z44" s="2313"/>
      <c r="AA44" s="2313"/>
      <c r="AB44" s="2313"/>
      <c r="AC44" s="2295" t="s">
        <v>446</v>
      </c>
      <c r="AD44" s="2612"/>
      <c r="AE44" s="2315"/>
      <c r="AF44" s="2279"/>
      <c r="AG44" s="2295" t="s">
        <v>464</v>
      </c>
      <c r="AH44" s="2313" t="s">
        <v>465</v>
      </c>
      <c r="AI44" s="2313"/>
      <c r="AJ44" s="2313"/>
      <c r="AK44" s="2313"/>
      <c r="AL44" s="2295" t="s">
        <v>446</v>
      </c>
      <c r="AM44" s="2612"/>
      <c r="AN44" s="2315"/>
      <c r="AO44" s="2279"/>
      <c r="AP44" s="2282"/>
      <c r="AQ44" s="2128"/>
      <c r="AW44" s="1156">
        <v>34</v>
      </c>
    </row>
    <row customHeight="1" ht="14.699999999999998">
      <c r="R45" s="377"/>
      <c r="S45" s="377"/>
      <c r="T45" s="377"/>
      <c r="U45" s="2274"/>
      <c r="V45" s="2210"/>
      <c r="W45" s="1032"/>
      <c r="X45" s="2326"/>
      <c r="Y45" s="2318" t="s">
        <v>466</v>
      </c>
      <c r="Z45" s="2271" t="s">
        <v>467</v>
      </c>
      <c r="AA45" s="2321"/>
      <c r="AB45" s="2272"/>
      <c r="AC45" s="2296"/>
      <c r="AD45" s="2613"/>
      <c r="AE45" s="2317"/>
      <c r="AF45" s="2279"/>
      <c r="AG45" s="2326"/>
      <c r="AH45" s="2318" t="s">
        <v>466</v>
      </c>
      <c r="AI45" s="2271" t="s">
        <v>467</v>
      </c>
      <c r="AJ45" s="2321"/>
      <c r="AK45" s="2272"/>
      <c r="AL45" s="2296"/>
      <c r="AM45" s="2613"/>
      <c r="AN45" s="2317"/>
      <c r="AO45" s="2279"/>
      <c r="AP45" s="2282"/>
      <c r="AQ45" s="2128"/>
      <c r="AW45" s="1156">
        <v>14</v>
      </c>
    </row>
    <row customHeight="1" ht="27.299999999999997">
      <c r="R46" s="377"/>
      <c r="S46" s="377"/>
      <c r="T46" s="377"/>
      <c r="U46" s="2274"/>
      <c r="V46" s="2210"/>
      <c r="W46" s="1032"/>
      <c r="X46" s="2326"/>
      <c r="Y46" s="2319"/>
      <c r="Z46" s="2318" t="s">
        <v>468</v>
      </c>
      <c r="AA46" s="2271" t="s">
        <v>469</v>
      </c>
      <c r="AB46" s="2272"/>
      <c r="AC46" s="2318" t="s">
        <v>456</v>
      </c>
      <c r="AD46" s="2322" t="s">
        <v>457</v>
      </c>
      <c r="AE46" s="2323"/>
      <c r="AF46" s="2279"/>
      <c r="AG46" s="2326"/>
      <c r="AH46" s="2319"/>
      <c r="AI46" s="2318" t="s">
        <v>468</v>
      </c>
      <c r="AJ46" s="2271" t="s">
        <v>469</v>
      </c>
      <c r="AK46" s="2272"/>
      <c r="AL46" s="2318" t="s">
        <v>456</v>
      </c>
      <c r="AM46" s="2322" t="s">
        <v>457</v>
      </c>
      <c r="AN46" s="2323"/>
      <c r="AO46" s="2279"/>
      <c r="AP46" s="2282"/>
      <c r="AQ46" s="2128"/>
      <c r="AW46" s="1156">
        <v>26</v>
      </c>
    </row>
    <row customHeight="1" ht="65.25">
      <c r="A47" s="1260"/>
      <c r="B47" s="1260" t="s">
        <v>138</v>
      </c>
      <c r="C47" s="1260" t="s">
        <v>139</v>
      </c>
      <c r="D47" s="1260" t="s">
        <v>140</v>
      </c>
      <c r="E47" s="1311" t="s">
        <v>447</v>
      </c>
      <c r="F47" s="1311" t="s">
        <v>448</v>
      </c>
      <c r="G47" s="1311" t="s">
        <v>449</v>
      </c>
      <c r="H47" s="1311" t="s">
        <v>450</v>
      </c>
      <c r="I47" s="1311" t="s">
        <v>451</v>
      </c>
      <c r="J47" s="1311" t="s">
        <v>452</v>
      </c>
      <c r="K47" s="1311" t="s">
        <v>453</v>
      </c>
      <c r="L47" s="1311" t="s">
        <v>470</v>
      </c>
      <c r="M47" s="1311" t="s">
        <v>428</v>
      </c>
      <c r="R47" s="377"/>
      <c r="S47" s="377"/>
      <c r="T47" s="377"/>
      <c r="U47" s="2274"/>
      <c r="V47" s="2210"/>
      <c r="W47" s="303"/>
      <c r="X47" s="2296"/>
      <c r="Y47" s="2320"/>
      <c r="Z47" s="2320"/>
      <c r="AA47" s="1223" t="s">
        <v>471</v>
      </c>
      <c r="AB47" s="1223" t="s">
        <v>472</v>
      </c>
      <c r="AC47" s="2320"/>
      <c r="AD47" s="2324"/>
      <c r="AE47" s="2325"/>
      <c r="AF47" s="2280"/>
      <c r="AG47" s="2296"/>
      <c r="AH47" s="2320"/>
      <c r="AI47" s="2320"/>
      <c r="AJ47" s="1223" t="s">
        <v>471</v>
      </c>
      <c r="AK47" s="1223" t="s">
        <v>472</v>
      </c>
      <c r="AL47" s="2320"/>
      <c r="AM47" s="2324"/>
      <c r="AN47" s="2325"/>
      <c r="AO47" s="2280"/>
      <c r="AP47" s="2283"/>
      <c r="AQ47" s="2128"/>
      <c r="AW47" s="1156">
        <v>62</v>
      </c>
    </row>
    <row s="1642" customFormat="1" customHeight="1" ht="11.25" hidden="1">
      <c r="A48" s="1260"/>
      <c r="B48" s="1260"/>
      <c r="C48" s="1260"/>
      <c r="D48" s="1260"/>
      <c r="E48" s="1260"/>
      <c r="F48" s="1260"/>
      <c r="G48" s="1260"/>
      <c r="H48" s="1260"/>
      <c r="I48" s="1260"/>
      <c r="J48" s="1260"/>
      <c r="K48" s="1260"/>
      <c r="L48" s="1260"/>
      <c r="M48" s="1311"/>
      <c r="N48" s="1329"/>
      <c r="O48" s="1329"/>
      <c r="P48" s="1329"/>
      <c r="Q48" s="1247"/>
      <c r="R48" s="1248"/>
      <c r="S48" s="1255">
        <v>1</v>
      </c>
      <c r="T48" s="1255"/>
      <c r="U48" s="1278" t="s">
        <v>112</v>
      </c>
      <c r="V48" s="1256" t="s">
        <v>113</v>
      </c>
      <c r="W48" s="1246" t="str">
        <f>OFFSET(W48,0,-1)</f>
        <v>2</v>
      </c>
      <c r="X48" s="1336">
        <f>OFFSET(X48,0,-1)+1</f>
        <v>3</v>
      </c>
      <c r="Y48" s="1342"/>
      <c r="Z48" s="1342"/>
      <c r="AA48" s="1342">
        <f>OFFSET(AA48,0,-1)+1</f>
        <v>1</v>
      </c>
      <c r="AB48" s="1342">
        <f>OFFSET(AB48,0,-1)+1</f>
        <v>2</v>
      </c>
      <c r="AC48" s="1336">
        <f>OFFSET(AC48,0,-1)+1</f>
        <v>3</v>
      </c>
      <c r="AD48" s="2273">
        <f>OFFSET(AD48,0,-1)+1</f>
        <v>4</v>
      </c>
      <c r="AE48" s="2273"/>
      <c r="AF48" s="1336">
        <f>OFFSET(AF48,0,-2)+1</f>
        <v>5</v>
      </c>
      <c r="AG48" s="1336">
        <f>OFFSET(AG48,0,-1)+1</f>
        <v>6</v>
      </c>
      <c r="AH48" s="1336"/>
      <c r="AI48" s="1336"/>
      <c r="AJ48" s="1336">
        <f>OFFSET(AJ48,0,-1)+1</f>
        <v>1</v>
      </c>
      <c r="AK48" s="1336">
        <f>OFFSET(AK48,0,-1)+1</f>
        <v>2</v>
      </c>
      <c r="AL48" s="1336">
        <f>OFFSET(AL48,0,-1)+1</f>
        <v>3</v>
      </c>
      <c r="AM48" s="2273">
        <f>OFFSET(AM48,0,-1)+1</f>
        <v>4</v>
      </c>
      <c r="AN48" s="2273"/>
      <c r="AO48" s="1336">
        <f>OFFSET(AO48,0,-2)+1</f>
        <v>5</v>
      </c>
      <c r="AP48" s="1246">
        <f>OFFSET(AP48,0,-1)</f>
        <v>5</v>
      </c>
      <c r="AQ48" s="1336">
        <f>OFFSET(AQ48,0,-1)+1</f>
        <v>6</v>
      </c>
      <c r="AR48" s="512"/>
      <c r="AS48" s="512"/>
      <c r="AT48" s="512"/>
      <c r="AU48" s="512"/>
      <c r="AV48" s="512"/>
      <c r="AW48" s="497">
        <v>0</v>
      </c>
    </row>
    <row customHeight="1" ht="22.049999999999997">
      <c r="A49" s="1268" t="s">
        <v>177</v>
      </c>
      <c r="B49" s="1268"/>
      <c r="C49" s="1268"/>
      <c r="D49" s="1268"/>
      <c r="E49" s="2290">
        <v>1</v>
      </c>
      <c r="F49" s="1268"/>
      <c r="G49" s="1268"/>
      <c r="H49" s="1268"/>
      <c r="I49" s="1268"/>
      <c r="J49" s="1268"/>
      <c r="K49" s="1268"/>
      <c r="L49" s="1268"/>
      <c r="M49" s="1311"/>
      <c r="N49" s="689"/>
      <c r="O49" s="689"/>
      <c r="P49" s="689"/>
      <c r="Q49" s="362"/>
      <c r="R49" s="361"/>
      <c r="S49" s="361"/>
      <c r="T49" s="356"/>
      <c r="U49" s="1337">
        <f>INDEX(PT_DIFFERENTIATION_NUM_NTAR,MATCH(A49,PT_DIFFERENTIATION_NTAR_ID,0))</f>
        <v>0</v>
      </c>
      <c r="V49" s="299" t="s">
        <v>126</v>
      </c>
      <c r="W49" s="301"/>
      <c r="X49" s="2243"/>
      <c r="Y49" s="2244"/>
      <c r="Z49" s="2244"/>
      <c r="AA49" s="2244"/>
      <c r="AB49" s="2244"/>
      <c r="AC49" s="2244"/>
      <c r="AD49" s="2244"/>
      <c r="AE49" s="2244"/>
      <c r="AF49" s="2245"/>
      <c r="AG49" s="2243" t="str">
        <f>INDEX(PT_DIFFERENTIATION_NTAR,MATCH(A49,PT_DIFFERENTIATION_NTAR_ID,0))</f>
        <v/>
      </c>
      <c r="AH49" s="2244"/>
      <c r="AI49" s="2244"/>
      <c r="AJ49" s="2244"/>
      <c r="AK49" s="2244"/>
      <c r="AL49" s="2244"/>
      <c r="AM49" s="2244"/>
      <c r="AN49" s="2244"/>
      <c r="AO49" s="2244"/>
      <c r="AP49" s="2245"/>
      <c r="AQ49"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S49" s="501"/>
      <c r="AT49" s="501" t="str">
        <f>IF(V49="","",V49)</f>
        <v>Наименование тарифа</v>
      </c>
      <c r="AU49" s="501"/>
      <c r="AV49" s="501"/>
      <c r="AW49" s="1156">
        <v>21</v>
      </c>
    </row>
    <row customHeight="1" ht="22.049999999999997">
      <c r="A50" s="1268" t="s">
        <v>177</v>
      </c>
      <c r="B50" s="1268" t="s">
        <v>178</v>
      </c>
      <c r="C50" s="1268"/>
      <c r="D50" s="1268"/>
      <c r="E50" s="2291"/>
      <c r="F50" s="2290">
        <v>1</v>
      </c>
      <c r="G50" s="1268"/>
      <c r="H50" s="1268"/>
      <c r="I50" s="1268"/>
      <c r="J50" s="1268"/>
      <c r="K50" s="1268"/>
      <c r="L50" s="1268"/>
      <c r="M50" s="1311"/>
      <c r="N50" s="689"/>
      <c r="O50" s="689"/>
      <c r="P50" s="689"/>
      <c r="Q50" s="1333"/>
      <c r="R50" s="353"/>
      <c r="S50" s="510"/>
      <c r="T50" s="354"/>
      <c r="U50" s="1337" t="str">
        <f>INDEX(PT_DIFFERENTIATION_NUM_TER,MATCH(B50,PT_DIFFERENTIATION_TER_ID,0))</f>
        <v>.</v>
      </c>
      <c r="V50" s="309" t="s">
        <v>409</v>
      </c>
      <c r="W50" s="301"/>
      <c r="X50" s="2243"/>
      <c r="Y50" s="2244"/>
      <c r="Z50" s="2244"/>
      <c r="AA50" s="2244"/>
      <c r="AB50" s="2244"/>
      <c r="AC50" s="2244"/>
      <c r="AD50" s="2244"/>
      <c r="AE50" s="2244"/>
      <c r="AF50" s="2245"/>
      <c r="AG50" s="2243" t="str">
        <f>INDEX(PT_DIFFERENTIATION_TER,MATCH(B50,PT_DIFFERENTIATION_TER_ID,0))</f>
        <v/>
      </c>
      <c r="AH50" s="2244"/>
      <c r="AI50" s="2244"/>
      <c r="AJ50" s="2244"/>
      <c r="AK50" s="2244"/>
      <c r="AL50" s="2244"/>
      <c r="AM50" s="2244"/>
      <c r="AN50" s="2244"/>
      <c r="AO50" s="2244"/>
      <c r="AP50" s="2245"/>
      <c r="AQ50" s="1259" t="s">
        <v>410</v>
      </c>
      <c r="AS50" s="501"/>
      <c r="AT50" s="501" t="str">
        <f>IF(V50="","",V50)</f>
        <v>Территория действия тарифа</v>
      </c>
      <c r="AU50" s="501"/>
      <c r="AV50" s="501"/>
      <c r="AW50" s="1156">
        <v>21</v>
      </c>
    </row>
    <row customHeight="1" ht="24">
      <c r="A51" s="1268" t="s">
        <v>177</v>
      </c>
      <c r="B51" s="1268" t="s">
        <v>178</v>
      </c>
      <c r="C51" s="1268" t="s">
        <v>179</v>
      </c>
      <c r="D51" s="1268"/>
      <c r="E51" s="2291"/>
      <c r="F51" s="2291"/>
      <c r="G51" s="2290">
        <v>1</v>
      </c>
      <c r="H51" s="1268"/>
      <c r="I51" s="1268"/>
      <c r="J51" s="1268"/>
      <c r="K51" s="1268"/>
      <c r="L51" s="1268"/>
      <c r="M51" s="1311"/>
      <c r="N51" s="689"/>
      <c r="O51" s="689"/>
      <c r="P51" s="689"/>
      <c r="Q51" s="355"/>
      <c r="R51" s="353"/>
      <c r="S51" s="510"/>
      <c r="T51" s="354"/>
      <c r="U51" s="1337" t="str">
        <f>INDEX(PT_DIFFERENTIATION_NUM_CS,MATCH(C51,PT_DIFFERENTIATION_CS_ID,0))</f>
        <v>..</v>
      </c>
      <c r="V51" s="310" t="s">
        <v>411</v>
      </c>
      <c r="W51" s="301"/>
      <c r="X51" s="2243"/>
      <c r="Y51" s="2244"/>
      <c r="Z51" s="2244"/>
      <c r="AA51" s="2244"/>
      <c r="AB51" s="2244"/>
      <c r="AC51" s="2244"/>
      <c r="AD51" s="2244"/>
      <c r="AE51" s="2244"/>
      <c r="AF51" s="2245"/>
      <c r="AG51" s="2243" t="str">
        <f>INDEX(PT_DIFFERENTIATION_CS,MATCH(C51,PT_DIFFERENTIATION_CS_ID,0))</f>
        <v/>
      </c>
      <c r="AH51" s="2244"/>
      <c r="AI51" s="2244"/>
      <c r="AJ51" s="2244"/>
      <c r="AK51" s="2244"/>
      <c r="AL51" s="2244"/>
      <c r="AM51" s="2244"/>
      <c r="AN51" s="2244"/>
      <c r="AO51" s="2244"/>
      <c r="AP51" s="2245"/>
      <c r="AQ51" s="1259" t="s">
        <v>412</v>
      </c>
      <c r="AS51" s="501"/>
      <c r="AT51" s="501" t="str">
        <f>IF(V51="","",V51)</f>
        <v>Наименование системы теплоснабжения </v>
      </c>
      <c r="AU51" s="501"/>
      <c r="AV51" s="501"/>
      <c r="AW51" s="1156">
        <v>23</v>
      </c>
    </row>
    <row customHeight="1" ht="22.049999999999997">
      <c r="A52" s="1268" t="s">
        <v>177</v>
      </c>
      <c r="B52" s="1268" t="s">
        <v>178</v>
      </c>
      <c r="C52" s="1268" t="s">
        <v>179</v>
      </c>
      <c r="D52" s="1268" t="s">
        <v>180</v>
      </c>
      <c r="E52" s="2291"/>
      <c r="F52" s="2291"/>
      <c r="G52" s="2291"/>
      <c r="H52" s="2311">
        <v>1</v>
      </c>
      <c r="I52" s="1268"/>
      <c r="J52" s="1268"/>
      <c r="K52" s="1268"/>
      <c r="L52" s="1268"/>
      <c r="M52" s="1311"/>
      <c r="N52" s="689"/>
      <c r="O52" s="689"/>
      <c r="P52" s="689"/>
      <c r="Q52" s="355"/>
      <c r="R52" s="353"/>
      <c r="S52" s="510"/>
      <c r="T52" s="354"/>
      <c r="U52" s="1337" t="str">
        <f>INDEX(PT_DIFFERENTIATION_NUM_IST_TE,MATCH(D52,PT_DIFFERENTIATION_IST_TE_ID,0))</f>
        <v>...</v>
      </c>
      <c r="V52" s="311" t="s">
        <v>413</v>
      </c>
      <c r="W52" s="301"/>
      <c r="X52" s="2243"/>
      <c r="Y52" s="2244"/>
      <c r="Z52" s="2244"/>
      <c r="AA52" s="2244"/>
      <c r="AB52" s="2244"/>
      <c r="AC52" s="2244"/>
      <c r="AD52" s="2244"/>
      <c r="AE52" s="2244"/>
      <c r="AF52" s="2245"/>
      <c r="AG52" s="2243" t="str">
        <f>INDEX(PT_DIFFERENTIATION_IST_TE,MATCH(D52,PT_DIFFERENTIATION_IST_TE_ID,0))</f>
        <v/>
      </c>
      <c r="AH52" s="2244"/>
      <c r="AI52" s="2244"/>
      <c r="AJ52" s="2244"/>
      <c r="AK52" s="2244"/>
      <c r="AL52" s="2244"/>
      <c r="AM52" s="2244"/>
      <c r="AN52" s="2244"/>
      <c r="AO52" s="2244"/>
      <c r="AP52" s="2245"/>
      <c r="AQ52" s="1259" t="s">
        <v>414</v>
      </c>
      <c r="AS52" s="501"/>
      <c r="AT52" s="501" t="str">
        <f>IF(V52="","",V52)</f>
        <v>Источник тепловой энергии  </v>
      </c>
      <c r="AU52" s="501"/>
      <c r="AV52" s="501"/>
      <c r="AW52" s="1156">
        <v>21</v>
      </c>
    </row>
    <row s="1643" customFormat="1" customHeight="1" ht="0">
      <c r="A53" s="1376" t="s">
        <v>177</v>
      </c>
      <c r="B53" s="1376" t="s">
        <v>178</v>
      </c>
      <c r="C53" s="1376" t="s">
        <v>179</v>
      </c>
      <c r="D53" s="1376" t="s">
        <v>180</v>
      </c>
      <c r="E53" s="2291"/>
      <c r="F53" s="2291"/>
      <c r="G53" s="2291"/>
      <c r="H53" s="2312"/>
      <c r="I53" s="2128" t="str">
        <f>U52&amp;".1"</f>
        <v>....1</v>
      </c>
      <c r="J53" s="1376"/>
      <c r="K53" s="1376"/>
      <c r="L53" s="1376"/>
      <c r="M53" s="1382" t="s">
        <v>415</v>
      </c>
      <c r="N53" s="1247"/>
      <c r="O53" s="1247"/>
      <c r="P53" s="1247"/>
      <c r="Q53" s="2258">
        <v>1</v>
      </c>
      <c r="R53" s="1332"/>
      <c r="S53" s="1332"/>
      <c r="T53" s="357"/>
      <c r="U53" s="1043"/>
      <c r="V53" s="1384"/>
      <c r="W53" s="1385"/>
      <c r="X53" s="2297"/>
      <c r="Y53" s="2298"/>
      <c r="Z53" s="2298"/>
      <c r="AA53" s="2298"/>
      <c r="AB53" s="2298"/>
      <c r="AC53" s="2298"/>
      <c r="AD53" s="2298"/>
      <c r="AE53" s="2298"/>
      <c r="AF53" s="2299"/>
      <c r="AG53" s="2297"/>
      <c r="AH53" s="2298"/>
      <c r="AI53" s="2298"/>
      <c r="AJ53" s="2298"/>
      <c r="AK53" s="2298"/>
      <c r="AL53" s="2298"/>
      <c r="AM53" s="2298"/>
      <c r="AN53" s="2298"/>
      <c r="AO53" s="2298"/>
      <c r="AP53" s="2299"/>
      <c r="AQ53" s="1386"/>
      <c r="AS53" s="501"/>
      <c r="AT53" s="501" t="str">
        <f>IF(V53="","",V53)</f>
        <v/>
      </c>
      <c r="AU53" s="501"/>
      <c r="AV53" s="501"/>
      <c r="AW53" s="512">
        <v>0</v>
      </c>
    </row>
    <row customHeight="1" ht="22.049999999999997">
      <c r="A54" s="1268" t="s">
        <v>177</v>
      </c>
      <c r="B54" s="1268" t="s">
        <v>178</v>
      </c>
      <c r="C54" s="1268" t="s">
        <v>179</v>
      </c>
      <c r="D54" s="1268" t="s">
        <v>180</v>
      </c>
      <c r="E54" s="2291"/>
      <c r="F54" s="2291"/>
      <c r="G54" s="2291"/>
      <c r="H54" s="2312"/>
      <c r="I54" s="2102"/>
      <c r="J54" s="2128" t="str">
        <f>I53&amp;".1"</f>
        <v>....1.1</v>
      </c>
      <c r="K54" s="1268"/>
      <c r="L54" s="1268"/>
      <c r="M54" s="1311" t="s">
        <v>418</v>
      </c>
      <c r="Q54" s="2258"/>
      <c r="R54" s="2258">
        <v>1</v>
      </c>
      <c r="S54" s="519"/>
      <c r="T54" s="358"/>
      <c r="U54" s="1337" t="str">
        <f>$J54</f>
        <v>....1.1</v>
      </c>
      <c r="V54" s="287" t="s">
        <v>419</v>
      </c>
      <c r="W54" s="301"/>
      <c r="X54" s="2246"/>
      <c r="Y54" s="2247"/>
      <c r="Z54" s="2247"/>
      <c r="AA54" s="2247"/>
      <c r="AB54" s="2247"/>
      <c r="AC54" s="2236"/>
      <c r="AD54" s="2236"/>
      <c r="AE54" s="2236"/>
      <c r="AF54" s="2309"/>
      <c r="AG54" s="2246"/>
      <c r="AH54" s="2247"/>
      <c r="AI54" s="2247"/>
      <c r="AJ54" s="2247"/>
      <c r="AK54" s="2247"/>
      <c r="AL54" s="2247"/>
      <c r="AM54" s="2247"/>
      <c r="AN54" s="2247"/>
      <c r="AO54" s="2247"/>
      <c r="AP54" s="2248"/>
      <c r="AQ54" s="1259" t="s">
        <v>420</v>
      </c>
      <c r="AS54" s="501"/>
      <c r="AT54" s="501" t="str">
        <f>IF(V54="","",V54)</f>
        <v>Группа потребителей</v>
      </c>
      <c r="AU54" s="501"/>
      <c r="AV54" s="501"/>
      <c r="AW54" s="1156">
        <v>21</v>
      </c>
    </row>
    <row customHeight="1" ht="22.049999999999997">
      <c r="A55" s="1268" t="s">
        <v>177</v>
      </c>
      <c r="B55" s="1268" t="s">
        <v>178</v>
      </c>
      <c r="C55" s="1268" t="s">
        <v>179</v>
      </c>
      <c r="D55" s="1268" t="s">
        <v>180</v>
      </c>
      <c r="E55" s="2291"/>
      <c r="F55" s="2291"/>
      <c r="G55" s="2291"/>
      <c r="H55" s="2312"/>
      <c r="I55" s="2102"/>
      <c r="J55" s="2102"/>
      <c r="K55" s="2128" t="str">
        <f>J54&amp;".1"</f>
        <v>....1.1.1</v>
      </c>
      <c r="L55" s="140"/>
      <c r="M55" s="1311" t="s">
        <v>421</v>
      </c>
      <c r="Q55" s="2258"/>
      <c r="R55" s="2258"/>
      <c r="S55" s="519">
        <v>1</v>
      </c>
      <c r="T55" s="358"/>
      <c r="U55" s="1337" t="str">
        <f>$K55</f>
        <v>....1.1.1</v>
      </c>
      <c r="V55" s="1348"/>
      <c r="W55" s="301"/>
      <c r="X55" s="752"/>
      <c r="Y55" s="752"/>
      <c r="Z55" s="752"/>
      <c r="AA55" s="752"/>
      <c r="AB55" s="1406"/>
      <c r="AC55" s="2266"/>
      <c r="AD55" s="2108" t="s">
        <v>63</v>
      </c>
      <c r="AE55" s="2266"/>
      <c r="AF55" s="2108" t="s">
        <v>63</v>
      </c>
      <c r="AG55" s="1408"/>
      <c r="AH55" s="752"/>
      <c r="AI55" s="752"/>
      <c r="AJ55" s="752"/>
      <c r="AK55" s="1258"/>
      <c r="AL55" s="2266"/>
      <c r="AM55" s="2108" t="s">
        <v>63</v>
      </c>
      <c r="AN55" s="2266"/>
      <c r="AO55" s="2108" t="s">
        <v>63</v>
      </c>
      <c r="AP55" s="1349"/>
      <c r="AQ55" s="1308" t="s">
        <v>461</v>
      </c>
      <c r="AR55" s="512">
        <f>STRCHECKDATE(X57:AP57)</f>
      </c>
      <c r="AS55" s="501"/>
      <c r="AT55" s="501" t="str">
        <f>IF(V55="","",V55)</f>
        <v/>
      </c>
      <c r="AU55" s="501"/>
      <c r="AV55" s="501"/>
      <c r="AW55" s="1156">
        <v>21</v>
      </c>
    </row>
    <row customHeight="1" ht="11.549999999999999">
      <c r="A56" s="1268" t="s">
        <v>177</v>
      </c>
      <c r="B56" s="1268" t="s">
        <v>178</v>
      </c>
      <c r="C56" s="1268" t="s">
        <v>179</v>
      </c>
      <c r="D56" s="1268" t="s">
        <v>180</v>
      </c>
      <c r="E56" s="2291"/>
      <c r="F56" s="2291"/>
      <c r="G56" s="2291"/>
      <c r="H56" s="2312"/>
      <c r="I56" s="2102"/>
      <c r="J56" s="2102"/>
      <c r="K56" s="2102"/>
      <c r="L56" s="2128" t="str">
        <f>K55&amp;".1"</f>
        <v>....1.1.1.1</v>
      </c>
      <c r="M56" s="1311"/>
      <c r="Q56" s="2258"/>
      <c r="R56" s="2258"/>
      <c r="S56" s="519">
        <v>1</v>
      </c>
      <c r="T56" s="358"/>
      <c r="U56" s="1337" t="str">
        <f>$L56</f>
        <v>....1.1.1.1</v>
      </c>
      <c r="V56" s="1392"/>
      <c r="W56" s="301"/>
      <c r="X56" s="326"/>
      <c r="Y56" s="752"/>
      <c r="Z56" s="752"/>
      <c r="AA56" s="752"/>
      <c r="AB56" s="1406"/>
      <c r="AC56" s="2310"/>
      <c r="AD56" s="2108"/>
      <c r="AE56" s="2310"/>
      <c r="AF56" s="2108"/>
      <c r="AG56" s="1408"/>
      <c r="AH56" s="752"/>
      <c r="AI56" s="752"/>
      <c r="AJ56" s="752"/>
      <c r="AK56" s="1258"/>
      <c r="AL56" s="2310"/>
      <c r="AM56" s="2108"/>
      <c r="AN56" s="2310"/>
      <c r="AO56" s="2108"/>
      <c r="AP56" s="1349"/>
      <c r="AQ56" s="2254" t="s">
        <v>462</v>
      </c>
      <c r="AR56" s="512">
        <f>STRCHECKDATE(X58:AP58)</f>
      </c>
      <c r="AS56" s="501"/>
      <c r="AT56" s="501" t="str">
        <f>IF(V56="","",V56)</f>
        <v/>
      </c>
      <c r="AU56" s="501"/>
      <c r="AV56" s="501"/>
      <c r="AW56" s="1156">
        <v>11</v>
      </c>
    </row>
    <row customHeight="1" ht="0">
      <c r="A57" s="1268" t="s">
        <v>177</v>
      </c>
      <c r="B57" s="1268" t="s">
        <v>178</v>
      </c>
      <c r="C57" s="1268" t="s">
        <v>179</v>
      </c>
      <c r="D57" s="1268" t="s">
        <v>180</v>
      </c>
      <c r="E57" s="2291"/>
      <c r="F57" s="2291"/>
      <c r="G57" s="2291"/>
      <c r="H57" s="2312"/>
      <c r="I57" s="2102"/>
      <c r="J57" s="2102"/>
      <c r="K57" s="2102"/>
      <c r="L57" s="2128"/>
      <c r="M57" s="1311"/>
      <c r="Q57" s="2258"/>
      <c r="R57" s="2258"/>
      <c r="S57" s="519"/>
      <c r="T57" s="358"/>
      <c r="U57" s="1343"/>
      <c r="V57" s="301"/>
      <c r="W57" s="301"/>
      <c r="X57" s="326"/>
      <c r="Y57" s="326"/>
      <c r="Z57" s="326"/>
      <c r="AA57" s="326"/>
      <c r="AB57" s="1407" t="str">
        <f>AC55&amp;"-"&amp;AE55</f>
        <v>-</v>
      </c>
      <c r="AC57" s="2310"/>
      <c r="AD57" s="2108"/>
      <c r="AE57" s="2310"/>
      <c r="AF57" s="2108"/>
      <c r="AG57" s="1383"/>
      <c r="AH57" s="326"/>
      <c r="AI57" s="326"/>
      <c r="AJ57" s="326"/>
      <c r="AK57" s="329" t="str">
        <f>AL55&amp;"-"&amp;AN55</f>
        <v>-</v>
      </c>
      <c r="AL57" s="2310"/>
      <c r="AM57" s="2108"/>
      <c r="AN57" s="2310"/>
      <c r="AO57" s="2108"/>
      <c r="AP57" s="1350"/>
      <c r="AQ57" s="2255"/>
      <c r="AS57" s="501"/>
      <c r="AT57" s="501" t="str">
        <f>IF(V57="","",V57)</f>
        <v/>
      </c>
      <c r="AU57" s="501"/>
      <c r="AV57" s="501"/>
      <c r="AW57" s="1156">
        <v>0</v>
      </c>
    </row>
    <row customHeight="1" ht="11.549999999999999">
      <c r="A58" s="1268" t="s">
        <v>177</v>
      </c>
      <c r="B58" s="1268" t="s">
        <v>178</v>
      </c>
      <c r="C58" s="1268" t="s">
        <v>179</v>
      </c>
      <c r="D58" s="1268" t="s">
        <v>180</v>
      </c>
      <c r="E58" s="2291"/>
      <c r="F58" s="2291"/>
      <c r="G58" s="2291"/>
      <c r="H58" s="2312"/>
      <c r="I58" s="2102"/>
      <c r="J58" s="2102"/>
      <c r="K58" s="2128"/>
      <c r="L58" s="1268"/>
      <c r="M58" s="1311"/>
      <c r="Q58" s="2258"/>
      <c r="R58" s="2258"/>
      <c r="S58" s="1332"/>
      <c r="T58" s="357"/>
      <c r="U58" s="1279"/>
      <c r="V58" s="289" t="s">
        <v>463</v>
      </c>
      <c r="W58" s="368"/>
      <c r="X58" s="368"/>
      <c r="Y58" s="368"/>
      <c r="Z58" s="368"/>
      <c r="AA58" s="368"/>
      <c r="AB58" s="368"/>
      <c r="AC58" s="2310"/>
      <c r="AD58" s="2108"/>
      <c r="AE58" s="2310"/>
      <c r="AF58" s="2108"/>
      <c r="AG58" s="368"/>
      <c r="AH58" s="368"/>
      <c r="AI58" s="368"/>
      <c r="AJ58" s="368"/>
      <c r="AK58" s="368"/>
      <c r="AL58" s="2310"/>
      <c r="AM58" s="2108"/>
      <c r="AN58" s="2310"/>
      <c r="AO58" s="2108"/>
      <c r="AP58" s="325"/>
      <c r="AQ58" s="2255"/>
      <c r="AS58" s="501"/>
      <c r="AT58" s="501" t="str">
        <f>IF(V58="","",V58)</f>
        <v>Добавить наименование поставщика</v>
      </c>
      <c r="AU58" s="501"/>
      <c r="AV58" s="501"/>
      <c r="AW58" s="1156">
        <v>11</v>
      </c>
    </row>
    <row customHeight="1" ht="11.549999999999999">
      <c r="A59" s="1268" t="s">
        <v>177</v>
      </c>
      <c r="B59" s="1268" t="s">
        <v>178</v>
      </c>
      <c r="C59" s="1268" t="s">
        <v>179</v>
      </c>
      <c r="D59" s="1268" t="s">
        <v>180</v>
      </c>
      <c r="E59" s="2291"/>
      <c r="F59" s="2291"/>
      <c r="G59" s="2291"/>
      <c r="H59" s="2312"/>
      <c r="I59" s="2102"/>
      <c r="J59" s="2128"/>
      <c r="K59" s="1268"/>
      <c r="L59" s="1268"/>
      <c r="M59" s="1311"/>
      <c r="Q59" s="2258"/>
      <c r="R59" s="2258"/>
      <c r="S59" s="1332"/>
      <c r="T59" s="357"/>
      <c r="U59" s="1279"/>
      <c r="V59" s="288" t="s">
        <v>423</v>
      </c>
      <c r="W59" s="368"/>
      <c r="X59" s="368"/>
      <c r="Y59" s="368"/>
      <c r="Z59" s="368"/>
      <c r="AA59" s="368"/>
      <c r="AB59" s="368"/>
      <c r="AC59" s="1409"/>
      <c r="AD59" s="1409"/>
      <c r="AE59" s="1409"/>
      <c r="AF59" s="1409"/>
      <c r="AG59" s="368"/>
      <c r="AH59" s="368"/>
      <c r="AI59" s="368"/>
      <c r="AJ59" s="368"/>
      <c r="AK59" s="368"/>
      <c r="AL59" s="368"/>
      <c r="AM59" s="368"/>
      <c r="AN59" s="368"/>
      <c r="AO59" s="368"/>
      <c r="AP59" s="325"/>
      <c r="AQ59" s="2256"/>
      <c r="AS59" s="501"/>
      <c r="AT59" s="501" t="str">
        <f>IF(V59="","",V59)</f>
        <v>Добавить вид теплоносителя (параметры теплоносителя)</v>
      </c>
      <c r="AU59" s="501"/>
      <c r="AV59" s="501"/>
      <c r="AW59" s="1156">
        <v>11</v>
      </c>
    </row>
    <row customHeight="1" ht="11.549999999999999">
      <c r="A60" s="1268" t="s">
        <v>177</v>
      </c>
      <c r="B60" s="1268" t="s">
        <v>178</v>
      </c>
      <c r="C60" s="1268" t="s">
        <v>179</v>
      </c>
      <c r="D60" s="1268" t="s">
        <v>180</v>
      </c>
      <c r="E60" s="2291"/>
      <c r="F60" s="2291"/>
      <c r="G60" s="2291"/>
      <c r="H60" s="2312"/>
      <c r="I60" s="2128"/>
      <c r="J60" s="1268"/>
      <c r="K60" s="1268"/>
      <c r="L60" s="1268"/>
      <c r="M60" s="1311"/>
      <c r="Q60" s="2258"/>
      <c r="R60" s="1332"/>
      <c r="S60" s="1332"/>
      <c r="T60" s="357"/>
      <c r="U60" s="1279"/>
      <c r="V60" s="366" t="s">
        <v>424</v>
      </c>
      <c r="W60" s="368"/>
      <c r="X60" s="368"/>
      <c r="Y60" s="368"/>
      <c r="Z60" s="368"/>
      <c r="AA60" s="368"/>
      <c r="AB60" s="368"/>
      <c r="AC60" s="368"/>
      <c r="AD60" s="368"/>
      <c r="AE60" s="368"/>
      <c r="AF60" s="367"/>
      <c r="AG60" s="368"/>
      <c r="AH60" s="368"/>
      <c r="AI60" s="368"/>
      <c r="AJ60" s="368"/>
      <c r="AK60" s="368"/>
      <c r="AL60" s="368"/>
      <c r="AM60" s="368"/>
      <c r="AN60" s="368"/>
      <c r="AO60" s="367"/>
      <c r="AP60" s="368"/>
      <c r="AQ60" s="304"/>
      <c r="AS60" s="501"/>
      <c r="AT60" s="501" t="str">
        <f>IF(V60="","",V60)</f>
        <v>Добавить группу потребителей</v>
      </c>
      <c r="AU60" s="501"/>
      <c r="AV60" s="501"/>
      <c r="AW60" s="1156">
        <v>11</v>
      </c>
    </row>
    <row customHeight="1" ht="0">
      <c r="A61" s="1268" t="s">
        <v>177</v>
      </c>
      <c r="B61" s="1268" t="s">
        <v>178</v>
      </c>
      <c r="C61" s="1268" t="s">
        <v>179</v>
      </c>
      <c r="D61" s="1268" t="s">
        <v>180</v>
      </c>
      <c r="E61" s="2291"/>
      <c r="F61" s="2291"/>
      <c r="G61" s="2291"/>
      <c r="H61" s="2311"/>
      <c r="I61" s="1268"/>
      <c r="J61" s="1268"/>
      <c r="K61" s="1268"/>
      <c r="L61" s="1268"/>
      <c r="M61" s="1311"/>
      <c r="N61" s="689"/>
      <c r="O61" s="689"/>
      <c r="P61" s="510"/>
      <c r="Q61" s="361"/>
      <c r="R61" s="376"/>
      <c r="S61" s="356"/>
      <c r="T61" s="361"/>
      <c r="U61" s="1387"/>
      <c r="V61" s="1388"/>
      <c r="W61" s="1389"/>
      <c r="X61" s="1389"/>
      <c r="Y61" s="1389"/>
      <c r="Z61" s="1389"/>
      <c r="AA61" s="1389"/>
      <c r="AB61" s="1389"/>
      <c r="AC61" s="1389"/>
      <c r="AD61" s="1389"/>
      <c r="AE61" s="1389"/>
      <c r="AF61" s="1389"/>
      <c r="AG61" s="1389"/>
      <c r="AH61" s="1389"/>
      <c r="AI61" s="1389"/>
      <c r="AJ61" s="1389"/>
      <c r="AK61" s="1389"/>
      <c r="AL61" s="1389"/>
      <c r="AM61" s="1389"/>
      <c r="AN61" s="1389"/>
      <c r="AO61" s="1389"/>
      <c r="AP61" s="1389"/>
      <c r="AQ61" s="1390"/>
      <c r="AS61" s="501"/>
      <c r="AT61" s="501" t="str">
        <f>IF(V61="","",V61)</f>
        <v/>
      </c>
      <c r="AU61" s="501"/>
      <c r="AV61" s="501"/>
      <c r="AW61" s="1156">
        <v>0</v>
      </c>
    </row>
    <row s="1643" customFormat="1" customHeight="1" ht="0">
      <c r="A62" s="1376" t="s">
        <v>177</v>
      </c>
      <c r="B62" s="1376" t="s">
        <v>178</v>
      </c>
      <c r="C62" s="1376" t="s">
        <v>179</v>
      </c>
      <c r="D62" s="1375"/>
      <c r="E62" s="2291"/>
      <c r="F62" s="2291"/>
      <c r="G62" s="2290"/>
      <c r="H62" s="1375"/>
      <c r="I62" s="1375"/>
      <c r="J62" s="1375"/>
      <c r="K62" s="1375"/>
      <c r="L62" s="1375"/>
      <c r="M62" s="1378"/>
      <c r="N62" s="1379"/>
      <c r="O62" s="1379"/>
      <c r="P62" s="352"/>
      <c r="Q62" s="1317"/>
      <c r="R62" s="1318"/>
      <c r="S62" s="1317"/>
      <c r="T62" s="1317"/>
      <c r="U62" s="1323"/>
      <c r="V62" s="1326" t="s">
        <v>426</v>
      </c>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S62" s="790"/>
      <c r="AT62" s="790" t="str">
        <f>IF(V62="","",V62)</f>
        <v>Добавить источник для дифференциации</v>
      </c>
      <c r="AU62" s="790"/>
      <c r="AV62" s="790"/>
      <c r="AW62" s="519">
        <v>0</v>
      </c>
    </row>
    <row s="1643" customFormat="1" customHeight="1" ht="0">
      <c r="A63" s="1376" t="s">
        <v>177</v>
      </c>
      <c r="B63" s="1376" t="s">
        <v>178</v>
      </c>
      <c r="C63" s="1375"/>
      <c r="D63" s="1375"/>
      <c r="E63" s="2291"/>
      <c r="F63" s="2290"/>
      <c r="G63" s="1375"/>
      <c r="H63" s="1375"/>
      <c r="I63" s="1375"/>
      <c r="J63" s="1375"/>
      <c r="K63" s="1375"/>
      <c r="L63" s="1375"/>
      <c r="M63" s="1378"/>
      <c r="N63" s="1380"/>
      <c r="O63" s="1380"/>
      <c r="P63" s="352"/>
      <c r="Q63" s="1317"/>
      <c r="R63" s="1318"/>
      <c r="S63" s="1317"/>
      <c r="T63" s="1317"/>
      <c r="U63" s="1323"/>
      <c r="V63" s="1326" t="s">
        <v>232</v>
      </c>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S63" s="790"/>
      <c r="AT63" s="790" t="str">
        <f>IF(V63="","",V63)</f>
        <v>Добавить централизованную систему для дифференциации</v>
      </c>
      <c r="AU63" s="790"/>
      <c r="AV63" s="790"/>
      <c r="AW63" s="519">
        <v>0</v>
      </c>
    </row>
    <row s="1643" customFormat="1" customHeight="1" ht="0">
      <c r="A64" s="1376" t="s">
        <v>177</v>
      </c>
      <c r="B64" s="1376"/>
      <c r="C64" s="1376"/>
      <c r="D64" s="1376"/>
      <c r="E64" s="2290"/>
      <c r="F64" s="1376"/>
      <c r="G64" s="1376"/>
      <c r="H64" s="1376"/>
      <c r="I64" s="1376"/>
      <c r="J64" s="1376"/>
      <c r="K64" s="1376"/>
      <c r="L64" s="1376"/>
      <c r="M64" s="1382"/>
      <c r="N64" s="1380"/>
      <c r="O64" s="1380"/>
      <c r="P64" s="352"/>
      <c r="Q64" s="381"/>
      <c r="R64" s="1345"/>
      <c r="S64" s="381"/>
      <c r="T64" s="381"/>
      <c r="U64" s="1323"/>
      <c r="V64" s="1326" t="s">
        <v>233</v>
      </c>
      <c r="W64" s="1325"/>
      <c r="X64" s="1325"/>
      <c r="Y64" s="1325"/>
      <c r="Z64" s="1325"/>
      <c r="AA64" s="1325"/>
      <c r="AB64" s="1325"/>
      <c r="AC64" s="1325"/>
      <c r="AD64" s="1325"/>
      <c r="AE64" s="1325"/>
      <c r="AF64" s="1325"/>
      <c r="AG64" s="1325"/>
      <c r="AH64" s="1325"/>
      <c r="AI64" s="1325"/>
      <c r="AJ64" s="1325"/>
      <c r="AK64" s="1325"/>
      <c r="AL64" s="1325"/>
      <c r="AM64" s="1325"/>
      <c r="AN64" s="1325"/>
      <c r="AO64" s="1325"/>
      <c r="AP64" s="1325"/>
      <c r="AQ64" s="1325"/>
      <c r="AS64" s="501"/>
      <c r="AT64" s="501" t="str">
        <f>IF(V64="","",V64)</f>
        <v>Добавить территорию для дифференциации</v>
      </c>
      <c r="AU64" s="501"/>
      <c r="AV64" s="501"/>
      <c r="AW64" s="512">
        <v>0</v>
      </c>
    </row>
    <row s="1643" customFormat="1" customHeight="1" ht="4.2">
      <c r="A65" s="1375"/>
      <c r="B65" s="1375"/>
      <c r="C65" s="1375"/>
      <c r="D65" s="1375"/>
      <c r="E65" s="1376"/>
      <c r="F65" s="1375"/>
      <c r="G65" s="1375"/>
      <c r="H65" s="1375"/>
      <c r="I65" s="1375"/>
      <c r="J65" s="1375"/>
      <c r="K65" s="1375"/>
      <c r="L65" s="1375"/>
      <c r="M65" s="1378"/>
      <c r="N65" s="1380"/>
      <c r="O65" s="1380"/>
      <c r="P65" s="352"/>
      <c r="Q65" s="1317"/>
      <c r="R65" s="1318"/>
      <c r="S65" s="1317"/>
      <c r="T65" s="1317"/>
      <c r="U65" s="1323"/>
      <c r="V65" s="1326" t="s">
        <v>240</v>
      </c>
      <c r="W65" s="1325"/>
      <c r="X65" s="1325"/>
      <c r="Y65" s="1325"/>
      <c r="Z65" s="1325"/>
      <c r="AA65" s="1325"/>
      <c r="AB65" s="1325"/>
      <c r="AC65" s="1325"/>
      <c r="AD65" s="1325"/>
      <c r="AE65" s="1325"/>
      <c r="AF65" s="1325"/>
      <c r="AG65" s="1325"/>
      <c r="AH65" s="1325"/>
      <c r="AI65" s="1325"/>
      <c r="AJ65" s="1325"/>
      <c r="AK65" s="1325"/>
      <c r="AL65" s="1325"/>
      <c r="AM65" s="1325"/>
      <c r="AN65" s="1325"/>
      <c r="AO65" s="1325"/>
      <c r="AP65" s="1325"/>
      <c r="AQ65" s="1325"/>
      <c r="AS65" s="790"/>
      <c r="AT65" s="790" t="str">
        <f>IF(V65="","",V65)</f>
        <v>Добавить наименование тарифа</v>
      </c>
      <c r="AU65" s="790"/>
      <c r="AV65" s="790"/>
      <c r="AW65" s="519">
        <v>4</v>
      </c>
    </row>
    <row customHeight="1" ht="11.549999999999999">
      <c r="N66" s="1156"/>
      <c r="O66" s="1156"/>
      <c r="P66" s="510"/>
      <c r="Q66" s="1156"/>
      <c r="R66" s="1156"/>
      <c r="S66" s="1156"/>
      <c r="T66" s="1156"/>
      <c r="U66" s="1156"/>
      <c r="AR66" s="1156"/>
      <c r="AS66" s="1156"/>
      <c r="AT66" s="1156"/>
      <c r="AU66" s="1156"/>
      <c r="AV66" s="1156"/>
      <c r="AW66" s="1156">
        <v>11</v>
      </c>
    </row>
    <row customHeight="1" ht="35.699999999999996">
      <c r="P67" s="510"/>
      <c r="U67" s="1254"/>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W67" s="1156">
        <v>34</v>
      </c>
    </row>
    <row customHeight="1" ht="21">
      <c r="P68" s="510"/>
      <c r="V68" s="2286"/>
      <c r="W68" s="2286"/>
      <c r="X68" s="2286"/>
      <c r="Y68" s="2286"/>
      <c r="Z68" s="2286"/>
      <c r="AA68" s="2286"/>
      <c r="AB68" s="2286"/>
      <c r="AC68" s="2286"/>
      <c r="AD68" s="2286"/>
      <c r="AE68" s="2286"/>
      <c r="AF68" s="2286"/>
      <c r="AG68" s="2286"/>
      <c r="AH68" s="2286"/>
      <c r="AI68" s="2286"/>
      <c r="AJ68" s="2286"/>
      <c r="AK68" s="2286"/>
      <c r="AL68" s="2286"/>
      <c r="AM68" s="2286"/>
      <c r="AN68" s="2286"/>
      <c r="AO68" s="2286"/>
      <c r="AP68" s="2286"/>
      <c r="AQ68" s="2286"/>
      <c r="AW68" s="1156">
        <v>20</v>
      </c>
    </row>
    <row customHeight="1" ht="14.699999999999998">
      <c r="P69" s="510"/>
      <c r="AW69" s="1156">
        <v>14</v>
      </c>
    </row>
    <row customHeight="1" ht="28.5">
      <c r="P70" s="510"/>
      <c r="V70" s="2286"/>
      <c r="W70" s="2286"/>
      <c r="X70" s="2286"/>
      <c r="Y70" s="2286"/>
      <c r="Z70" s="2286"/>
      <c r="AA70" s="2286"/>
      <c r="AB70" s="2286"/>
      <c r="AC70" s="2286"/>
      <c r="AD70" s="2286"/>
      <c r="AE70" s="2286"/>
      <c r="AF70" s="2286"/>
      <c r="AG70" s="2286"/>
      <c r="AH70" s="2286"/>
      <c r="AI70" s="2286"/>
      <c r="AJ70" s="2286"/>
      <c r="AK70" s="2286"/>
      <c r="AL70" s="2286"/>
      <c r="AM70" s="2286"/>
      <c r="AN70" s="2286"/>
      <c r="AO70" s="2286"/>
      <c r="AP70" s="2286"/>
      <c r="AQ70" s="2286"/>
      <c r="AW70" s="1156">
        <v>27</v>
      </c>
    </row>
    <row customHeight="1" ht="18.75">
      <c r="P71" s="510"/>
      <c r="V71" s="2286"/>
      <c r="W71" s="2286"/>
      <c r="X71" s="2286"/>
      <c r="Y71" s="2286"/>
      <c r="Z71" s="2286"/>
      <c r="AA71" s="2286"/>
      <c r="AB71" s="2286"/>
      <c r="AC71" s="2286"/>
      <c r="AD71" s="2286"/>
      <c r="AE71" s="2286"/>
      <c r="AF71" s="2286"/>
      <c r="AG71" s="2286"/>
      <c r="AH71" s="2286"/>
      <c r="AI71" s="2286"/>
      <c r="AJ71" s="2286"/>
      <c r="AK71" s="2286"/>
      <c r="AL71" s="2286"/>
      <c r="AM71" s="2286"/>
      <c r="AN71" s="2286"/>
      <c r="AO71" s="2286"/>
      <c r="AP71" s="2286"/>
      <c r="AQ71" s="2286"/>
      <c r="AW71" s="1156">
        <v>18</v>
      </c>
    </row>
    <row customHeight="1" ht="22.5" hidden="1">
      <c r="A72" s="1156" t="s">
        <v>84</v>
      </c>
      <c r="B72" s="1156">
        <v>0</v>
      </c>
      <c r="C72" s="1156">
        <v>0</v>
      </c>
      <c r="D72" s="1156">
        <v>0</v>
      </c>
      <c r="E72" s="1156">
        <v>0</v>
      </c>
      <c r="F72" s="1156">
        <v>0</v>
      </c>
      <c r="G72" s="1156">
        <v>0</v>
      </c>
      <c r="H72" s="1156">
        <v>0</v>
      </c>
      <c r="I72" s="1156">
        <v>0</v>
      </c>
      <c r="J72" s="1156">
        <v>0</v>
      </c>
      <c r="K72" s="1156">
        <v>0</v>
      </c>
      <c r="L72" s="1156">
        <v>0</v>
      </c>
      <c r="M72" s="1328">
        <v>0</v>
      </c>
      <c r="N72" s="1329">
        <v>0</v>
      </c>
      <c r="O72" s="1329">
        <v>0</v>
      </c>
      <c r="P72" s="1329">
        <v>0</v>
      </c>
      <c r="Q72" s="1329">
        <v>0</v>
      </c>
      <c r="R72" s="345">
        <v>3</v>
      </c>
      <c r="S72" s="345">
        <v>3</v>
      </c>
      <c r="T72" s="345">
        <v>3</v>
      </c>
      <c r="U72" s="582">
        <v>12</v>
      </c>
      <c r="V72" s="1156">
        <v>31</v>
      </c>
      <c r="W72" s="1156">
        <v>0</v>
      </c>
      <c r="X72" s="1156">
        <v>0</v>
      </c>
      <c r="Y72" s="1156">
        <v>0</v>
      </c>
      <c r="Z72" s="1156">
        <v>0</v>
      </c>
      <c r="AA72" s="1156">
        <v>0</v>
      </c>
      <c r="AB72" s="1156">
        <v>0</v>
      </c>
      <c r="AC72" s="1156">
        <v>0</v>
      </c>
      <c r="AD72" s="1156">
        <v>0</v>
      </c>
      <c r="AE72" s="1156">
        <v>0</v>
      </c>
      <c r="AF72" s="1156">
        <v>0</v>
      </c>
      <c r="AG72" s="1156">
        <v>21</v>
      </c>
      <c r="AH72" s="1156">
        <v>21</v>
      </c>
      <c r="AI72" s="1156">
        <v>21</v>
      </c>
      <c r="AJ72" s="1156">
        <v>21</v>
      </c>
      <c r="AK72" s="1156">
        <v>21</v>
      </c>
      <c r="AL72" s="1156">
        <v>11</v>
      </c>
      <c r="AM72" s="1156">
        <v>3</v>
      </c>
      <c r="AN72" s="1156">
        <v>11</v>
      </c>
      <c r="AO72" s="1156">
        <v>8</v>
      </c>
      <c r="AP72" s="1156">
        <v>4</v>
      </c>
      <c r="AQ72" s="1156">
        <v>115</v>
      </c>
      <c r="AR72" s="512">
        <v>10</v>
      </c>
      <c r="AS72" s="512">
        <v>10</v>
      </c>
      <c r="AT72" s="512">
        <v>10</v>
      </c>
      <c r="AU72" s="512">
        <v>10</v>
      </c>
      <c r="AV72" s="512">
        <v>10</v>
      </c>
      <c r="AW72" s="1156">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C39C7F-25F4-EB08-A787-0.C75305DD}" mc:Ignorable="x14ac xr xr2 xr3">
  <sheetPr>
    <tabColor theme="6" tint="0.4"/>
  </sheetPr>
  <dimension ref="A1:BA70"/>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00390625" customWidth="1"/>
    <col min="17" max="17" style="1372" width="3.00390625" customWidth="1"/>
    <col min="18" max="18" style="345" width="3.00390625" customWidth="1"/>
    <col min="19" max="19" style="2408" width="12.00390625" customWidth="1"/>
    <col min="20" max="20" style="1636" width="31.00390625" customWidth="1"/>
    <col min="21" max="21" style="1636" width="0.140625" customWidth="1"/>
    <col min="22" max="23" style="1636" width="21.7109375" hidden="1" customWidth="1"/>
    <col min="24" max="24" style="1636" width="11.7109375" hidden="1" customWidth="1"/>
    <col min="25" max="25" style="1636" width="3.7109375" hidden="1" customWidth="1"/>
    <col min="26" max="26" style="1636" width="11.7109375" hidden="1" customWidth="1"/>
    <col min="27" max="27" style="1636" width="8.57421875" hidden="1" customWidth="1"/>
    <col min="28" max="28" style="1636" width="5.421875" customWidth="1"/>
    <col min="29" max="30" style="1636" width="3.00390625" customWidth="1"/>
    <col min="31" max="31" style="1636" width="24.00390625" customWidth="1"/>
    <col min="32" max="32" style="1636" width="3.7109375" customWidth="1"/>
    <col min="33" max="34" style="1636" width="3.00390625" customWidth="1"/>
    <col min="35" max="35" style="1636" width="24.00390625" customWidth="1"/>
    <col min="36" max="36" style="1636" width="3.7109375" customWidth="1"/>
    <col min="37" max="38" style="1636" width="3.00390625" customWidth="1"/>
    <col min="39" max="39" style="1636" width="18.00390625" customWidth="1"/>
    <col min="40" max="41" style="1636" width="21.00390625" customWidth="1"/>
    <col min="42" max="42" style="1636" width="11.00390625" customWidth="1"/>
    <col min="43" max="43" style="1636" width="3.7109375" customWidth="1"/>
    <col min="44" max="44" style="1636" width="11.00390625" customWidth="1"/>
    <col min="45" max="45" style="1636" width="8.57421875" hidden="1" customWidth="1"/>
    <col min="46" max="46" style="1636" width="4.00390625" customWidth="1"/>
    <col min="47" max="47" style="1636" width="115.00390625" customWidth="1"/>
    <col min="48" max="52" style="1643" width="10.00390625" customWidth="1"/>
    <col min="53" max="53" style="1636" width="10.57421875" hidden="1"/>
  </cols>
  <sheetData>
    <row customHeight="1" ht="22.5" hidden="1">
      <c r="W1" s="328"/>
      <c r="X1" s="328"/>
      <c r="AO1" s="328"/>
      <c r="AP1" s="328"/>
      <c r="BA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337">
        <f>INDEX(PT_DIFFERENTIATION_NUM_NTAR,MATCH(A2,PT_DIFFERENTIATION_NTAR_ID,0))</f>
      </c>
      <c r="T2" s="299" t="s">
        <v>126</v>
      </c>
      <c r="U2" s="301"/>
      <c r="V2" s="2244"/>
      <c r="W2" s="2244"/>
      <c r="X2" s="2244"/>
      <c r="Y2" s="2244"/>
      <c r="Z2" s="2244"/>
      <c r="AA2" s="2245"/>
      <c r="AB2" s="2243">
        <f>INDEX(PT_DIFFERENTIATION_NTAR,MATCH(A2,PT_DIFFERENTIATION_NTAR_ID,0))</f>
      </c>
      <c r="AC2" s="2244"/>
      <c r="AD2" s="2244"/>
      <c r="AE2" s="2244"/>
      <c r="AF2" s="2244"/>
      <c r="AG2" s="2244"/>
      <c r="AH2" s="2244"/>
      <c r="AI2" s="2244"/>
      <c r="AJ2" s="2244"/>
      <c r="AK2" s="2244"/>
      <c r="AL2" s="2244"/>
      <c r="AM2" s="2244"/>
      <c r="AN2" s="2244"/>
      <c r="AO2" s="2244"/>
      <c r="AP2" s="2244"/>
      <c r="AQ2" s="2244"/>
      <c r="AR2" s="2244"/>
      <c r="AS2" s="2244"/>
      <c r="AT2" s="2245"/>
      <c r="AU2" s="1259" t="s">
        <v>408</v>
      </c>
      <c r="AW2" s="501"/>
      <c r="AX2" s="501" t="str">
        <f>IF(T2="","",T2)</f>
        <v>Наименование тарифа</v>
      </c>
      <c r="AY2" s="501"/>
      <c r="AZ2" s="501"/>
      <c r="BA2" s="1156">
        <v>0</v>
      </c>
    </row>
    <row customHeight="1" ht="21" hidden="1">
      <c r="A3" s="1364"/>
      <c r="B3" s="1364"/>
      <c r="C3" s="1364"/>
      <c r="D3" s="1364"/>
      <c r="E3" s="2260"/>
      <c r="F3" s="2259">
        <v>1</v>
      </c>
      <c r="G3" s="1364"/>
      <c r="H3" s="1364"/>
      <c r="I3" s="1364"/>
      <c r="J3" s="1364"/>
      <c r="K3" s="1364"/>
      <c r="L3" s="1365"/>
      <c r="M3" s="1366"/>
      <c r="N3" s="1366"/>
      <c r="O3" s="1366"/>
      <c r="P3" s="1411"/>
      <c r="Q3" s="1412"/>
      <c r="R3" s="354"/>
      <c r="S3" s="1337">
        <f>INDEX(PT_DIFFERENTIATION_NUM_TER,MATCH(B3,PT_DIFFERENTIATION_TER_ID,0))</f>
      </c>
      <c r="T3" s="309" t="s">
        <v>409</v>
      </c>
      <c r="U3" s="301"/>
      <c r="V3" s="2244"/>
      <c r="W3" s="2244"/>
      <c r="X3" s="2244"/>
      <c r="Y3" s="2244"/>
      <c r="Z3" s="2244"/>
      <c r="AA3" s="2245"/>
      <c r="AB3" s="2243">
        <f>INDEX(PT_DIFFERENTIATION_TER,MATCH(B3,PT_DIFFERENTIATION_TER_ID,0))</f>
      </c>
      <c r="AC3" s="2244"/>
      <c r="AD3" s="2244"/>
      <c r="AE3" s="2244"/>
      <c r="AF3" s="2244"/>
      <c r="AG3" s="2244"/>
      <c r="AH3" s="2244"/>
      <c r="AI3" s="2244"/>
      <c r="AJ3" s="2244"/>
      <c r="AK3" s="2244"/>
      <c r="AL3" s="2244"/>
      <c r="AM3" s="2244"/>
      <c r="AN3" s="2244"/>
      <c r="AO3" s="2244"/>
      <c r="AP3" s="2244"/>
      <c r="AQ3" s="2244"/>
      <c r="AR3" s="2244"/>
      <c r="AS3" s="2244"/>
      <c r="AT3" s="2245"/>
      <c r="AU3" s="1259" t="s">
        <v>410</v>
      </c>
      <c r="AW3" s="501"/>
      <c r="AX3" s="501" t="str">
        <f>IF(T3="","",T3)</f>
        <v>Территория действия тарифа</v>
      </c>
      <c r="AY3" s="501"/>
      <c r="AZ3" s="501"/>
      <c r="BA3" s="1156">
        <v>0</v>
      </c>
    </row>
    <row customHeight="1" ht="22.5" hidden="1">
      <c r="A4" s="1364"/>
      <c r="B4" s="1364"/>
      <c r="C4" s="1364"/>
      <c r="D4" s="1364"/>
      <c r="E4" s="2260"/>
      <c r="F4" s="2260"/>
      <c r="G4" s="2259">
        <v>1</v>
      </c>
      <c r="H4" s="1364"/>
      <c r="I4" s="1364"/>
      <c r="J4" s="1364"/>
      <c r="K4" s="1364"/>
      <c r="L4" s="1365"/>
      <c r="M4" s="1366"/>
      <c r="N4" s="1366"/>
      <c r="O4" s="1366"/>
      <c r="P4" s="1413"/>
      <c r="Q4" s="1412"/>
      <c r="R4" s="354"/>
      <c r="S4" s="1337">
        <f>INDEX(PT_DIFFERENTIATION_NUM_CS,MATCH(C4,PT_DIFFERENTIATION_CS_ID,0))</f>
      </c>
      <c r="T4" s="310" t="s">
        <v>411</v>
      </c>
      <c r="U4" s="301"/>
      <c r="V4" s="2244"/>
      <c r="W4" s="2244"/>
      <c r="X4" s="2244"/>
      <c r="Y4" s="2244"/>
      <c r="Z4" s="2244"/>
      <c r="AA4" s="2245"/>
      <c r="AB4" s="2243">
        <f>INDEX(PT_DIFFERENTIATION_CS,MATCH(C4,PT_DIFFERENTIATION_CS_ID,0))</f>
      </c>
      <c r="AC4" s="2244"/>
      <c r="AD4" s="2244"/>
      <c r="AE4" s="2244"/>
      <c r="AF4" s="2244"/>
      <c r="AG4" s="2244"/>
      <c r="AH4" s="2244"/>
      <c r="AI4" s="2244"/>
      <c r="AJ4" s="2244"/>
      <c r="AK4" s="2244"/>
      <c r="AL4" s="2244"/>
      <c r="AM4" s="2244"/>
      <c r="AN4" s="2244"/>
      <c r="AO4" s="2244"/>
      <c r="AP4" s="2244"/>
      <c r="AQ4" s="2244"/>
      <c r="AR4" s="2244"/>
      <c r="AS4" s="2244"/>
      <c r="AT4" s="2245"/>
      <c r="AU4" s="1259" t="s">
        <v>412</v>
      </c>
      <c r="AW4" s="501"/>
      <c r="AX4" s="501" t="str">
        <f>IF(T4="","",T4)</f>
        <v>Наименование системы теплоснабжения </v>
      </c>
      <c r="AY4" s="501"/>
      <c r="AZ4" s="501"/>
      <c r="BA4" s="1156">
        <v>0</v>
      </c>
    </row>
    <row customHeight="1" ht="21" hidden="1">
      <c r="A5" s="1364"/>
      <c r="B5" s="1364"/>
      <c r="C5" s="1364"/>
      <c r="D5" s="1364"/>
      <c r="E5" s="2260"/>
      <c r="F5" s="2260"/>
      <c r="G5" s="2260"/>
      <c r="H5" s="2259">
        <v>1</v>
      </c>
      <c r="I5" s="1364"/>
      <c r="J5" s="1364"/>
      <c r="K5" s="1364"/>
      <c r="L5" s="1365"/>
      <c r="M5" s="1366"/>
      <c r="N5" s="1366"/>
      <c r="O5" s="1366"/>
      <c r="P5" s="1413"/>
      <c r="Q5" s="1412"/>
      <c r="R5" s="354"/>
      <c r="S5" s="1337">
        <f>INDEX(PT_DIFFERENTIATION_NUM_IST_TE,MATCH(D5,PT_DIFFERENTIATION_IST_TE_ID,0))</f>
      </c>
      <c r="T5" s="311" t="s">
        <v>413</v>
      </c>
      <c r="U5" s="301"/>
      <c r="V5" s="2244"/>
      <c r="W5" s="2244"/>
      <c r="X5" s="2244"/>
      <c r="Y5" s="2244"/>
      <c r="Z5" s="2244"/>
      <c r="AA5" s="2245"/>
      <c r="AB5" s="2243">
        <f>INDEX(PT_DIFFERENTIATION_IST_TE,MATCH(D5,PT_DIFFERENTIATION_IST_TE_ID,0))</f>
      </c>
      <c r="AC5" s="2244"/>
      <c r="AD5" s="2244"/>
      <c r="AE5" s="2244"/>
      <c r="AF5" s="2244"/>
      <c r="AG5" s="2244"/>
      <c r="AH5" s="2244"/>
      <c r="AI5" s="2244"/>
      <c r="AJ5" s="2244"/>
      <c r="AK5" s="2244"/>
      <c r="AL5" s="2244"/>
      <c r="AM5" s="2244"/>
      <c r="AN5" s="2244"/>
      <c r="AO5" s="2244"/>
      <c r="AP5" s="2244"/>
      <c r="AQ5" s="2244"/>
      <c r="AR5" s="2244"/>
      <c r="AS5" s="2244"/>
      <c r="AT5" s="2245"/>
      <c r="AU5" s="1259" t="s">
        <v>414</v>
      </c>
      <c r="AW5" s="501"/>
      <c r="AX5" s="501" t="str">
        <f>IF(T5="","",T5)</f>
        <v>Источник тепловой энергии  </v>
      </c>
      <c r="AY5" s="501"/>
      <c r="AZ5" s="501"/>
      <c r="BA5" s="1156">
        <v>0</v>
      </c>
    </row>
    <row s="1643" customFormat="1" customHeight="1" ht="0.75" hidden="1">
      <c r="A6" s="1344"/>
      <c r="B6" s="1344"/>
      <c r="C6" s="1344"/>
      <c r="D6" s="1344"/>
      <c r="E6" s="2260"/>
      <c r="F6" s="2260"/>
      <c r="G6" s="2260"/>
      <c r="H6" s="2260"/>
      <c r="I6" s="2257">
        <f>S5&amp;".1"</f>
      </c>
      <c r="J6" s="1344"/>
      <c r="K6" s="1344"/>
      <c r="L6" s="1347" t="s">
        <v>415</v>
      </c>
      <c r="M6" s="511"/>
      <c r="N6" s="511"/>
      <c r="O6" s="511"/>
      <c r="P6" s="2258">
        <v>1</v>
      </c>
      <c r="Q6" s="1332"/>
      <c r="R6" s="357"/>
      <c r="S6" s="1043"/>
      <c r="T6" s="1384"/>
      <c r="U6" s="1385"/>
      <c r="V6" s="2298"/>
      <c r="W6" s="2298"/>
      <c r="X6" s="2298"/>
      <c r="Y6" s="2298"/>
      <c r="Z6" s="2298"/>
      <c r="AA6" s="2299"/>
      <c r="AB6" s="2297"/>
      <c r="AC6" s="2298"/>
      <c r="AD6" s="2298"/>
      <c r="AE6" s="2298"/>
      <c r="AF6" s="2298"/>
      <c r="AG6" s="2298"/>
      <c r="AH6" s="2298"/>
      <c r="AI6" s="2298"/>
      <c r="AJ6" s="2298"/>
      <c r="AK6" s="2298"/>
      <c r="AL6" s="2298"/>
      <c r="AM6" s="2298"/>
      <c r="AN6" s="2298"/>
      <c r="AO6" s="2298"/>
      <c r="AP6" s="2298"/>
      <c r="AQ6" s="2298"/>
      <c r="AR6" s="2298"/>
      <c r="AS6" s="2298"/>
      <c r="AT6" s="2299"/>
      <c r="AU6" s="1386"/>
      <c r="AW6" s="501"/>
      <c r="AX6" s="501" t="str">
        <f>IF(T6="","",T6)</f>
        <v/>
      </c>
      <c r="AY6" s="501"/>
      <c r="AZ6" s="501"/>
      <c r="BA6" s="512">
        <v>0</v>
      </c>
    </row>
    <row s="1643" customFormat="1" customHeight="1" ht="0.75" hidden="1">
      <c r="A7" s="1344"/>
      <c r="B7" s="1344"/>
      <c r="C7" s="1344"/>
      <c r="D7" s="1344"/>
      <c r="E7" s="2260"/>
      <c r="F7" s="2260"/>
      <c r="G7" s="2260"/>
      <c r="H7" s="2260"/>
      <c r="I7" s="2287"/>
      <c r="J7" s="2257">
        <f>S5&amp;".1"</f>
      </c>
      <c r="K7" s="1344"/>
      <c r="L7" s="1347"/>
      <c r="M7" s="511"/>
      <c r="N7" s="511"/>
      <c r="O7" s="511"/>
      <c r="P7" s="2258"/>
      <c r="Q7" s="2258">
        <v>1</v>
      </c>
      <c r="R7" s="358"/>
      <c r="S7" s="1043"/>
      <c r="T7" s="1400"/>
      <c r="U7" s="1385"/>
      <c r="V7" s="2298"/>
      <c r="W7" s="2298"/>
      <c r="X7" s="2298"/>
      <c r="Y7" s="2298"/>
      <c r="Z7" s="2298"/>
      <c r="AA7" s="2299"/>
      <c r="AB7" s="2297"/>
      <c r="AC7" s="2298"/>
      <c r="AD7" s="2298"/>
      <c r="AE7" s="2298"/>
      <c r="AF7" s="2298"/>
      <c r="AG7" s="2298"/>
      <c r="AH7" s="2298"/>
      <c r="AI7" s="2298"/>
      <c r="AJ7" s="2298"/>
      <c r="AK7" s="2298"/>
      <c r="AL7" s="2298"/>
      <c r="AM7" s="2298"/>
      <c r="AN7" s="2298"/>
      <c r="AO7" s="2298"/>
      <c r="AP7" s="2298"/>
      <c r="AQ7" s="2298"/>
      <c r="AR7" s="2298"/>
      <c r="AS7" s="2298"/>
      <c r="AT7" s="2299"/>
      <c r="AU7" s="1386"/>
      <c r="AW7" s="501"/>
      <c r="AX7" s="501" t="str">
        <f>IF(T7="","",T7)</f>
        <v/>
      </c>
      <c r="AY7" s="501"/>
      <c r="AZ7" s="501"/>
      <c r="BA7" s="512">
        <v>0</v>
      </c>
    </row>
    <row customHeight="1" ht="21" hidden="1">
      <c r="A8" s="1364"/>
      <c r="B8" s="1364"/>
      <c r="C8" s="1364"/>
      <c r="D8" s="1364"/>
      <c r="E8" s="2260"/>
      <c r="F8" s="2260"/>
      <c r="G8" s="2260"/>
      <c r="H8" s="2260"/>
      <c r="I8" s="2287"/>
      <c r="J8" s="2287"/>
      <c r="K8" s="2257">
        <f>S5&amp;".1"</f>
      </c>
      <c r="L8" s="1365"/>
      <c r="P8" s="2258"/>
      <c r="Q8" s="2258"/>
      <c r="R8" s="2348">
        <v>1</v>
      </c>
      <c r="S8" s="2342">
        <f>$K8</f>
      </c>
      <c r="T8" s="2345"/>
      <c r="U8" s="301"/>
      <c r="V8" s="752"/>
      <c r="W8" s="1258"/>
      <c r="X8" s="2266"/>
      <c r="Y8" s="2108" t="s">
        <v>63</v>
      </c>
      <c r="Z8" s="2266"/>
      <c r="AA8" s="2108" t="s">
        <v>63</v>
      </c>
      <c r="AB8" s="2108" t="s">
        <v>19</v>
      </c>
      <c r="AC8" s="2327"/>
      <c r="AD8" s="2206">
        <v>1</v>
      </c>
      <c r="AE8" s="2328"/>
      <c r="AF8" s="2108" t="s">
        <v>19</v>
      </c>
      <c r="AG8" s="2327"/>
      <c r="AH8" s="2206">
        <v>1</v>
      </c>
      <c r="AI8" s="2328"/>
      <c r="AJ8" s="2108" t="s">
        <v>19</v>
      </c>
      <c r="AK8" s="312"/>
      <c r="AL8" s="1338">
        <v>1</v>
      </c>
      <c r="AM8" s="1399"/>
      <c r="AN8" s="752"/>
      <c r="AO8" s="1258"/>
      <c r="AP8" s="1735"/>
      <c r="AQ8" s="1460" t="s">
        <v>63</v>
      </c>
      <c r="AR8" s="1735"/>
      <c r="AS8" s="1460" t="s">
        <v>63</v>
      </c>
      <c r="AT8" s="1349"/>
      <c r="AU8" s="2254" t="s">
        <v>473</v>
      </c>
      <c r="AV8" s="512">
        <f>STRCHECKDATE(V11:AT11)</f>
      </c>
      <c r="AW8" s="501"/>
      <c r="AX8" s="501" t="str">
        <f>IF(T8="","",T8)</f>
        <v/>
      </c>
      <c r="AY8" s="501"/>
      <c r="AZ8" s="501"/>
      <c r="BA8" s="1156">
        <v>0</v>
      </c>
    </row>
    <row customHeight="1" ht="11.25" hidden="1">
      <c r="A9" s="1364"/>
      <c r="B9" s="1364"/>
      <c r="C9" s="1364"/>
      <c r="D9" s="1364"/>
      <c r="E9" s="2260"/>
      <c r="F9" s="2260"/>
      <c r="G9" s="2260"/>
      <c r="H9" s="2260"/>
      <c r="I9" s="2287"/>
      <c r="J9" s="2287"/>
      <c r="K9" s="2257"/>
      <c r="L9" s="1365"/>
      <c r="P9" s="2258"/>
      <c r="Q9" s="2258"/>
      <c r="R9" s="2348"/>
      <c r="S9" s="2343"/>
      <c r="T9" s="2346"/>
      <c r="U9" s="301"/>
      <c r="V9" s="1394"/>
      <c r="W9" s="1398"/>
      <c r="X9" s="2266"/>
      <c r="Y9" s="2108"/>
      <c r="Z9" s="2266"/>
      <c r="AA9" s="2108"/>
      <c r="AB9" s="2108"/>
      <c r="AC9" s="2327"/>
      <c r="AD9" s="2206"/>
      <c r="AE9" s="2328"/>
      <c r="AF9" s="2108"/>
      <c r="AG9" s="2327"/>
      <c r="AH9" s="2206"/>
      <c r="AI9" s="2328"/>
      <c r="AJ9" s="2108"/>
      <c r="AK9" s="317"/>
      <c r="AL9" s="417"/>
      <c r="AM9" s="416" t="s">
        <v>474</v>
      </c>
      <c r="AN9" s="1394"/>
      <c r="AO9" s="1497"/>
      <c r="AP9" s="1394"/>
      <c r="AQ9" s="1394"/>
      <c r="AR9" s="1394"/>
      <c r="AS9" s="1394"/>
      <c r="AT9" s="1391"/>
      <c r="AU9" s="2255"/>
      <c r="AW9" s="501"/>
      <c r="AX9" s="501"/>
      <c r="AY9" s="501"/>
      <c r="AZ9" s="501"/>
      <c r="BA9" s="1156">
        <v>0</v>
      </c>
    </row>
    <row customHeight="1" ht="11.25" hidden="1">
      <c r="A10" s="1364"/>
      <c r="B10" s="1364"/>
      <c r="C10" s="1364"/>
      <c r="D10" s="1364"/>
      <c r="E10" s="2260"/>
      <c r="F10" s="2260"/>
      <c r="G10" s="2260"/>
      <c r="H10" s="2260"/>
      <c r="I10" s="2287"/>
      <c r="J10" s="2287"/>
      <c r="K10" s="2257"/>
      <c r="L10" s="1365"/>
      <c r="P10" s="2258"/>
      <c r="Q10" s="2258"/>
      <c r="R10" s="2348"/>
      <c r="S10" s="2343"/>
      <c r="T10" s="2346"/>
      <c r="U10" s="301"/>
      <c r="V10" s="1394"/>
      <c r="W10" s="1398"/>
      <c r="X10" s="2266"/>
      <c r="Y10" s="2108"/>
      <c r="Z10" s="2266"/>
      <c r="AA10" s="2108"/>
      <c r="AB10" s="2108"/>
      <c r="AC10" s="2327"/>
      <c r="AD10" s="2206"/>
      <c r="AE10" s="2328"/>
      <c r="AF10" s="2108"/>
      <c r="AG10" s="295"/>
      <c r="AH10" s="416"/>
      <c r="AI10" s="416" t="s">
        <v>475</v>
      </c>
      <c r="AJ10" s="1394"/>
      <c r="AK10" s="1394"/>
      <c r="AL10" s="1394"/>
      <c r="AM10" s="1394"/>
      <c r="AN10" s="1394"/>
      <c r="AO10" s="1497"/>
      <c r="AP10" s="1394"/>
      <c r="AQ10" s="1394"/>
      <c r="AR10" s="1394"/>
      <c r="AS10" s="1394"/>
      <c r="AT10" s="1391"/>
      <c r="AU10" s="2255"/>
      <c r="AW10" s="501"/>
      <c r="AX10" s="501"/>
      <c r="AY10" s="501"/>
      <c r="AZ10" s="501"/>
      <c r="BA10" s="1156">
        <v>0</v>
      </c>
    </row>
    <row customHeight="1" ht="11.25" hidden="1">
      <c r="A11" s="1364"/>
      <c r="B11" s="1364"/>
      <c r="C11" s="1364"/>
      <c r="D11" s="1364"/>
      <c r="E11" s="2260"/>
      <c r="F11" s="2260"/>
      <c r="G11" s="2260"/>
      <c r="H11" s="2260"/>
      <c r="I11" s="2287"/>
      <c r="J11" s="2287"/>
      <c r="K11" s="2257"/>
      <c r="L11" s="1365"/>
      <c r="P11" s="2258"/>
      <c r="Q11" s="2258"/>
      <c r="R11" s="2348"/>
      <c r="S11" s="2344"/>
      <c r="T11" s="2347"/>
      <c r="U11" s="301"/>
      <c r="V11" s="1394"/>
      <c r="W11" s="1397" t="str">
        <f>X8&amp;"-"&amp;Z8</f>
        <v>-</v>
      </c>
      <c r="X11" s="2267"/>
      <c r="Y11" s="2108"/>
      <c r="Z11" s="2267"/>
      <c r="AA11" s="2108"/>
      <c r="AB11" s="2108"/>
      <c r="AC11" s="313"/>
      <c r="AD11" s="315"/>
      <c r="AE11" s="416" t="s">
        <v>476</v>
      </c>
      <c r="AF11" s="1394"/>
      <c r="AG11" s="1394"/>
      <c r="AH11" s="1394"/>
      <c r="AI11" s="1394"/>
      <c r="AJ11" s="1394"/>
      <c r="AK11" s="1394"/>
      <c r="AL11" s="1394"/>
      <c r="AM11" s="1394"/>
      <c r="AN11" s="1394"/>
      <c r="AO11" s="1395" t="str">
        <f>AP8&amp;"-"&amp;AR8</f>
        <v>-</v>
      </c>
      <c r="AP11" s="1394"/>
      <c r="AQ11" s="1394"/>
      <c r="AR11" s="1394"/>
      <c r="AS11" s="1394"/>
      <c r="AT11" s="1350"/>
      <c r="AU11" s="2255"/>
      <c r="AW11" s="501"/>
      <c r="AX11" s="501" t="str">
        <f>IF(T11="","",T11)</f>
        <v/>
      </c>
      <c r="AY11" s="501"/>
      <c r="AZ11" s="501"/>
      <c r="BA11" s="1156">
        <v>0</v>
      </c>
    </row>
    <row customHeight="1" ht="11.25" hidden="1">
      <c r="A12" s="1364"/>
      <c r="B12" s="1364"/>
      <c r="C12" s="1364"/>
      <c r="D12" s="1364"/>
      <c r="E12" s="2260"/>
      <c r="F12" s="2260"/>
      <c r="G12" s="2260"/>
      <c r="H12" s="2260"/>
      <c r="I12" s="2287"/>
      <c r="J12" s="2257"/>
      <c r="K12" s="1364"/>
      <c r="L12" s="1365"/>
      <c r="P12" s="2258"/>
      <c r="Q12" s="2258"/>
      <c r="R12" s="357"/>
      <c r="S12" s="1279"/>
      <c r="T12" s="288" t="s">
        <v>477</v>
      </c>
      <c r="U12" s="368"/>
      <c r="V12" s="368"/>
      <c r="W12" s="368"/>
      <c r="X12" s="368"/>
      <c r="Y12" s="368"/>
      <c r="Z12" s="368"/>
      <c r="AA12" s="368"/>
      <c r="AB12" s="368"/>
      <c r="AC12" s="368"/>
      <c r="AD12" s="368"/>
      <c r="AE12" s="368"/>
      <c r="AF12" s="368"/>
      <c r="AG12" s="368"/>
      <c r="AH12" s="368"/>
      <c r="AI12" s="368"/>
      <c r="AJ12" s="368"/>
      <c r="AK12" s="368"/>
      <c r="AL12" s="368"/>
      <c r="AM12" s="368"/>
      <c r="AN12" s="368"/>
      <c r="AO12" s="368"/>
      <c r="AP12" s="368"/>
      <c r="AQ12" s="368"/>
      <c r="AR12" s="368"/>
      <c r="AS12" s="368"/>
      <c r="AT12" s="325"/>
      <c r="AU12" s="2256"/>
      <c r="AW12" s="501"/>
      <c r="AX12" s="501" t="str">
        <f>IF(T12="","",T12)</f>
        <v>Добавить строку</v>
      </c>
      <c r="AY12" s="501"/>
      <c r="AZ12" s="501"/>
      <c r="BA12" s="1156">
        <v>0</v>
      </c>
    </row>
    <row s="1643" customFormat="1" customHeight="1" ht="0.75" hidden="1">
      <c r="A13" s="1344"/>
      <c r="B13" s="1344"/>
      <c r="C13" s="1344"/>
      <c r="D13" s="1344"/>
      <c r="E13" s="2260"/>
      <c r="F13" s="2260"/>
      <c r="G13" s="2260"/>
      <c r="H13" s="2260"/>
      <c r="I13" s="2257"/>
      <c r="J13" s="1344"/>
      <c r="K13" s="1344"/>
      <c r="L13" s="1347"/>
      <c r="M13" s="511"/>
      <c r="N13" s="511"/>
      <c r="O13" s="511"/>
      <c r="P13" s="2258"/>
      <c r="Q13" s="1332"/>
      <c r="R13" s="357"/>
      <c r="S13" s="1387"/>
      <c r="T13" s="1388"/>
      <c r="U13" s="1389"/>
      <c r="V13" s="1389"/>
      <c r="W13" s="1389"/>
      <c r="X13" s="1389"/>
      <c r="Y13" s="1389"/>
      <c r="Z13" s="1389"/>
      <c r="AA13" s="1389"/>
      <c r="AB13" s="1389"/>
      <c r="AC13" s="1389"/>
      <c r="AD13" s="1389"/>
      <c r="AE13" s="1389"/>
      <c r="AF13" s="1389"/>
      <c r="AG13" s="1389"/>
      <c r="AH13" s="1389"/>
      <c r="AI13" s="1389"/>
      <c r="AJ13" s="1389"/>
      <c r="AK13" s="1389"/>
      <c r="AL13" s="1389"/>
      <c r="AM13" s="1389"/>
      <c r="AN13" s="1389"/>
      <c r="AO13" s="1389"/>
      <c r="AP13" s="1389"/>
      <c r="AQ13" s="1389"/>
      <c r="AR13" s="1389"/>
      <c r="AS13" s="1389"/>
      <c r="AT13" s="1389"/>
      <c r="AU13" s="1390"/>
      <c r="AW13" s="501"/>
      <c r="AX13" s="501" t="str">
        <f>IF(T13="","",T13)</f>
        <v/>
      </c>
      <c r="AY13" s="501"/>
      <c r="AZ13" s="501"/>
      <c r="BA13" s="512">
        <v>0</v>
      </c>
    </row>
    <row s="1643" customFormat="1" customHeight="1" ht="0.75" hidden="1">
      <c r="A14" s="1344"/>
      <c r="B14" s="1344"/>
      <c r="C14" s="1344"/>
      <c r="D14" s="1344"/>
      <c r="E14" s="2260"/>
      <c r="F14" s="2260"/>
      <c r="G14" s="2260"/>
      <c r="H14" s="2259"/>
      <c r="I14" s="1344"/>
      <c r="J14" s="1344"/>
      <c r="K14" s="1344"/>
      <c r="L14" s="1347"/>
      <c r="M14" s="1316"/>
      <c r="N14" s="1316"/>
      <c r="O14" s="519"/>
      <c r="P14" s="381"/>
      <c r="Q14" s="1345"/>
      <c r="R14" s="1402"/>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90"/>
      <c r="AW14" s="501"/>
      <c r="AX14" s="501" t="str">
        <f>IF(T14="","",T14)</f>
        <v/>
      </c>
      <c r="AY14" s="501"/>
      <c r="AZ14" s="501"/>
      <c r="BA14" s="512">
        <v>0</v>
      </c>
    </row>
    <row s="1643" customFormat="1" customHeight="1" ht="0.75" hidden="1">
      <c r="A15" s="1344"/>
      <c r="B15" s="1344"/>
      <c r="C15" s="1344"/>
      <c r="D15" s="1315"/>
      <c r="E15" s="2260"/>
      <c r="F15" s="2260"/>
      <c r="G15" s="2259"/>
      <c r="H15" s="1315"/>
      <c r="I15" s="1315"/>
      <c r="J15" s="1315"/>
      <c r="K15" s="1315"/>
      <c r="L15" s="1340"/>
      <c r="M15" s="1316"/>
      <c r="N15" s="1316"/>
      <c r="P15" s="1317"/>
      <c r="Q15" s="1318"/>
      <c r="R15" s="1317"/>
      <c r="S15" s="1323"/>
      <c r="T15" s="1326" t="s">
        <v>426</v>
      </c>
      <c r="U15" s="1325"/>
      <c r="V15" s="1325"/>
      <c r="W15" s="1325"/>
      <c r="X15" s="1325"/>
      <c r="Y15" s="1325"/>
      <c r="Z15" s="1325"/>
      <c r="AA15" s="1325"/>
      <c r="AB15" s="1325"/>
      <c r="AC15" s="1325"/>
      <c r="AD15" s="1325"/>
      <c r="AE15" s="1325"/>
      <c r="AF15" s="1325"/>
      <c r="AG15" s="1325"/>
      <c r="AH15" s="1325"/>
      <c r="AI15" s="1325"/>
      <c r="AJ15" s="1325"/>
      <c r="AK15" s="1325"/>
      <c r="AL15" s="1325"/>
      <c r="AM15" s="1325"/>
      <c r="AN15" s="1325"/>
      <c r="AO15" s="1325"/>
      <c r="AP15" s="1325"/>
      <c r="AQ15" s="1325"/>
      <c r="AR15" s="1325"/>
      <c r="AS15" s="1325"/>
      <c r="AT15" s="1325"/>
      <c r="AU15" s="1325"/>
      <c r="AW15" s="790"/>
      <c r="AX15" s="790" t="str">
        <f>IF(T15="","",T15)</f>
        <v>Добавить источник для дифференциации</v>
      </c>
      <c r="AY15" s="790"/>
      <c r="AZ15" s="790"/>
      <c r="BA15" s="519">
        <v>0</v>
      </c>
    </row>
    <row s="1643" customFormat="1" customHeight="1" ht="0.75" hidden="1">
      <c r="A16" s="1344"/>
      <c r="B16" s="1344"/>
      <c r="C16" s="1315"/>
      <c r="D16" s="1315"/>
      <c r="E16" s="2260"/>
      <c r="F16" s="2259"/>
      <c r="G16" s="1315"/>
      <c r="H16" s="1315"/>
      <c r="I16" s="1315"/>
      <c r="J16" s="1315"/>
      <c r="K16" s="1315"/>
      <c r="L16" s="1340"/>
      <c r="M16" s="1322"/>
      <c r="N16" s="1322"/>
      <c r="P16" s="1317"/>
      <c r="Q16" s="1318"/>
      <c r="R16" s="1317"/>
      <c r="S16" s="1323"/>
      <c r="T16" s="1326" t="s">
        <v>232</v>
      </c>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W16" s="790"/>
      <c r="AX16" s="790" t="str">
        <f>IF(T16="","",T16)</f>
        <v>Добавить централизованную систему для дифференциации</v>
      </c>
      <c r="AY16" s="790"/>
      <c r="AZ16" s="790"/>
      <c r="BA16" s="519">
        <v>0</v>
      </c>
    </row>
    <row s="1643" customFormat="1" customHeight="1" ht="0.75" hidden="1">
      <c r="A17" s="1344"/>
      <c r="B17" s="1344"/>
      <c r="C17" s="1344"/>
      <c r="D17" s="1344"/>
      <c r="E17" s="2259"/>
      <c r="F17" s="1344"/>
      <c r="G17" s="1344"/>
      <c r="H17" s="1344"/>
      <c r="I17" s="1344"/>
      <c r="J17" s="1344"/>
      <c r="K17" s="1344"/>
      <c r="L17" s="1347"/>
      <c r="M17" s="1322"/>
      <c r="N17" s="1322"/>
      <c r="O17" s="519"/>
      <c r="P17" s="381"/>
      <c r="Q17" s="1345"/>
      <c r="R17" s="381"/>
      <c r="S17" s="1323"/>
      <c r="T17" s="1326" t="s">
        <v>233</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W17" s="501"/>
      <c r="AX17" s="501" t="str">
        <f>IF(T17="","",T17)</f>
        <v>Добавить территорию для дифференциации</v>
      </c>
      <c r="AY17" s="501"/>
      <c r="AZ17" s="501"/>
      <c r="BA17" s="512">
        <v>0</v>
      </c>
    </row>
    <row customHeight="1" ht="14.25" hidden="1">
      <c r="AA18" s="328"/>
      <c r="AS18" s="328"/>
      <c r="BA18" s="1156">
        <v>0</v>
      </c>
    </row>
    <row customHeight="1" ht="14.25" hidden="1">
      <c r="AB19" s="1325" t="s">
        <v>19</v>
      </c>
      <c r="AC19" s="1502"/>
      <c r="AD19" s="549">
        <v>1</v>
      </c>
      <c r="AE19" s="1503"/>
      <c r="AF19" s="1325" t="s">
        <v>19</v>
      </c>
      <c r="AG19" s="1502"/>
      <c r="AH19" s="549">
        <v>1</v>
      </c>
      <c r="AI19" s="1503"/>
      <c r="AJ19" s="1325" t="s">
        <v>19</v>
      </c>
      <c r="AK19" s="1504"/>
      <c r="AL19" s="549">
        <v>1</v>
      </c>
      <c r="AM19" s="1507"/>
      <c r="AN19" s="1404"/>
      <c r="AO19" s="1405"/>
      <c r="AP19" s="1737"/>
      <c r="AQ19" s="1461" t="s">
        <v>63</v>
      </c>
      <c r="AR19" s="1737"/>
      <c r="AS19" s="1461" t="s">
        <v>63</v>
      </c>
      <c r="BA19" s="1156">
        <v>0</v>
      </c>
    </row>
    <row customHeight="1" ht="14.25" hidden="1">
      <c r="AV20" s="497"/>
      <c r="AW20" s="497"/>
      <c r="AX20" s="497"/>
      <c r="AY20" s="497"/>
      <c r="AZ20" s="497"/>
      <c r="BA20" s="1156">
        <v>0</v>
      </c>
    </row>
    <row customHeight="1" ht="14.25" hidden="1">
      <c r="O21" s="1368" t="s">
        <v>427</v>
      </c>
      <c r="X21" s="1346"/>
      <c r="Z21" s="1346"/>
      <c r="AA21" s="328"/>
      <c r="AP21" s="1346"/>
      <c r="AR21" s="1346"/>
      <c r="AS21" s="328"/>
      <c r="AV21" s="497"/>
      <c r="AW21" s="497"/>
      <c r="AX21" s="497"/>
      <c r="AY21" s="497"/>
      <c r="AZ21" s="497"/>
      <c r="BA21" s="1156">
        <v>0</v>
      </c>
    </row>
    <row customHeight="1" ht="14.25" hidden="1">
      <c r="AA22" s="328"/>
      <c r="AS22" s="328"/>
      <c r="AV22" s="497"/>
      <c r="AW22" s="497"/>
      <c r="AX22" s="497"/>
      <c r="AY22" s="497"/>
      <c r="AZ22" s="497"/>
      <c r="BA22" s="1156">
        <v>0</v>
      </c>
    </row>
    <row s="1510" customFormat="1" customHeight="1" ht="14.25" hidden="1">
      <c r="M23" s="1509"/>
      <c r="N23" s="1509"/>
      <c r="O23" s="1510" t="s">
        <v>428</v>
      </c>
      <c r="P23" s="1509"/>
      <c r="Q23" s="1511"/>
      <c r="R23" s="1511"/>
      <c r="Y23" s="1508" t="s">
        <v>430</v>
      </c>
      <c r="AA23" s="1508" t="s">
        <v>431</v>
      </c>
      <c r="AB23" s="1508" t="s">
        <v>478</v>
      </c>
      <c r="AE23" s="1508" t="s">
        <v>479</v>
      </c>
      <c r="AF23" s="1508" t="s">
        <v>478</v>
      </c>
      <c r="AI23" s="1508" t="s">
        <v>480</v>
      </c>
      <c r="AJ23" s="1508" t="s">
        <v>478</v>
      </c>
      <c r="AM23" s="1508" t="s">
        <v>481</v>
      </c>
      <c r="AQ23" s="1508" t="s">
        <v>430</v>
      </c>
      <c r="AS23" s="1508" t="s">
        <v>431</v>
      </c>
      <c r="AV23" s="1512"/>
      <c r="AW23" s="1512"/>
      <c r="AX23" s="1512"/>
      <c r="AY23" s="1512"/>
      <c r="AZ23" s="1512"/>
      <c r="BA23" s="1508">
        <v>0</v>
      </c>
    </row>
    <row customHeight="1" ht="14.25" hidden="1">
      <c r="O24" s="1365"/>
      <c r="AV24" s="497"/>
      <c r="AW24" s="497"/>
      <c r="AX24" s="497"/>
      <c r="AY24" s="497"/>
      <c r="AZ24" s="497"/>
      <c r="BA24" s="1156">
        <v>0</v>
      </c>
    </row>
    <row customHeight="1" ht="14.25" hidden="1">
      <c r="O25" s="1365"/>
      <c r="AV25" s="497"/>
      <c r="AW25" s="497"/>
      <c r="AX25" s="497"/>
      <c r="AY25" s="497"/>
      <c r="AZ25" s="497"/>
      <c r="BA25" s="1156">
        <v>0</v>
      </c>
    </row>
    <row customHeight="1" ht="14.699999999999998">
      <c r="Q26" s="292"/>
      <c r="R26" s="377"/>
      <c r="S26" s="1276"/>
      <c r="T26" s="364"/>
      <c r="U26" s="364"/>
      <c r="V26" s="510"/>
      <c r="W26" s="510"/>
      <c r="X26" s="510"/>
      <c r="Y26" s="510"/>
      <c r="Z26" s="510"/>
      <c r="AA26" s="510"/>
      <c r="AB26" s="510"/>
      <c r="AC26" s="510"/>
      <c r="AD26" s="510"/>
      <c r="AE26" s="510"/>
      <c r="AF26" s="510"/>
      <c r="AG26" s="510"/>
      <c r="AH26" s="510"/>
      <c r="AI26" s="510"/>
      <c r="AJ26" s="510"/>
      <c r="AK26" s="510"/>
      <c r="AL26" s="510"/>
      <c r="AM26" s="510"/>
      <c r="AN26" s="510"/>
      <c r="AO26" s="510"/>
      <c r="AP26" s="510"/>
      <c r="AQ26" s="510"/>
      <c r="AR26" s="510"/>
      <c r="AS26" s="510"/>
      <c r="BA26" s="1156">
        <v>14</v>
      </c>
    </row>
    <row customHeight="1" ht="27.299999999999997">
      <c r="Q27" s="292"/>
      <c r="R27" s="377"/>
      <c r="S27" s="2249" t="str">
        <f>IF(TEMPLATE_GROUP="P",PT_P_FORM_HEAT_7_NAME_FORM,PT_R_FORM_HEAT_24_NAME_FORM)</f>
        <v>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49"/>
      <c r="U27" s="2249"/>
      <c r="V27" s="2249"/>
      <c r="W27" s="2249"/>
      <c r="X27" s="2249"/>
      <c r="Y27" s="2249"/>
      <c r="Z27" s="2249"/>
      <c r="AA27" s="2249"/>
      <c r="AB27" s="2249"/>
      <c r="AC27" s="2249"/>
      <c r="AD27" s="2249"/>
      <c r="AE27" s="2249"/>
      <c r="AF27" s="2249"/>
      <c r="AG27" s="2249"/>
      <c r="AH27" s="2249"/>
      <c r="AI27" s="2249"/>
      <c r="AJ27" s="2249"/>
      <c r="AK27" s="2249"/>
      <c r="AL27" s="2249"/>
      <c r="AM27" s="2249"/>
      <c r="AN27" s="2249"/>
      <c r="AO27" s="2249"/>
      <c r="AP27" s="2249"/>
      <c r="AQ27" s="2249"/>
      <c r="AR27" s="2249"/>
      <c r="AS27" s="1244"/>
      <c r="BA27" s="1156">
        <v>26</v>
      </c>
    </row>
    <row customHeight="1" ht="14.699999999999998">
      <c r="Q28" s="292"/>
      <c r="R28" s="377"/>
      <c r="S28" s="2250" t="str">
        <f>IF(org=0,"Не определено",org)</f>
        <v>ИМУП «ПОСЖИЛКОМСЕРВИС»</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1244"/>
      <c r="BA28" s="1156">
        <v>14</v>
      </c>
    </row>
    <row customHeight="1" ht="14.25">
      <c r="Q29" s="292"/>
      <c r="R29" s="377"/>
      <c r="S29" s="1276"/>
      <c r="T29" s="364"/>
      <c r="U29" s="364"/>
      <c r="V29" s="323"/>
      <c r="W29" s="323"/>
      <c r="X29" s="323"/>
      <c r="Y29" s="323"/>
      <c r="Z29" s="323"/>
      <c r="AA29" s="323"/>
      <c r="AB29" s="323"/>
      <c r="AC29" s="323"/>
      <c r="AD29" s="323"/>
      <c r="AE29" s="323"/>
      <c r="AF29" s="323"/>
      <c r="AG29" s="323"/>
      <c r="AH29" s="323"/>
      <c r="AI29" s="323"/>
      <c r="AJ29" s="323"/>
      <c r="AK29" s="323"/>
      <c r="AL29" s="323"/>
      <c r="AM29" s="323"/>
      <c r="AN29" s="323"/>
      <c r="AO29" s="323"/>
      <c r="AP29" s="323"/>
      <c r="AQ29" s="323"/>
      <c r="AR29" s="323"/>
      <c r="AS29" s="323"/>
      <c r="AT29" s="510"/>
      <c r="BA29" s="1156">
        <v>0</v>
      </c>
    </row>
    <row s="1854" customFormat="1" customHeight="1" ht="25.5">
      <c r="A30" s="1369"/>
      <c r="B30" s="1369"/>
      <c r="C30" s="1369"/>
      <c r="D30" s="1369"/>
      <c r="E30" s="1369"/>
      <c r="F30" s="1369"/>
      <c r="G30" s="1369"/>
      <c r="H30" s="1369"/>
      <c r="I30" s="1369"/>
      <c r="J30" s="1369"/>
      <c r="K30" s="1369"/>
      <c r="L30" s="1370"/>
      <c r="M30" s="1369"/>
      <c r="N30" s="1369"/>
      <c r="O30" s="1369"/>
      <c r="P30" s="1369"/>
      <c r="Q30" s="1369"/>
      <c r="S30" s="2251" t="s">
        <v>42</v>
      </c>
      <c r="T30" s="2251"/>
      <c r="U30" s="1373"/>
      <c r="V30" s="2252" t="str">
        <f>IF(TITLE_NAME_OR_PR_CHANGE="",IF(TITLE_NAME_OR_PR="","",TITLE_NAME_OR_PR),TITLE_NAME_OR_PR_CHANGE)</f>
        <v>Управление по государственному регулированию цен (тарифов) Ненецкого автономного округа</v>
      </c>
      <c r="W30" s="2252"/>
      <c r="X30" s="2252"/>
      <c r="Y30" s="2252"/>
      <c r="Z30" s="2252"/>
      <c r="AA30" s="327"/>
      <c r="AB30" s="2252" t="str">
        <f>IF(TITLE_NAME_OR_PR_CHANGE="",IF(TITLE_NAME_OR_PR="","",TITLE_NAME_OR_PR),TITLE_NAME_OR_PR_CHANGE)</f>
        <v>Управление по государственному регулированию цен (тарифов) Ненецкого автономного округа</v>
      </c>
      <c r="AC30" s="2252"/>
      <c r="AD30" s="2252"/>
      <c r="AE30" s="2252"/>
      <c r="AF30" s="2252"/>
      <c r="AG30" s="2252"/>
      <c r="AH30" s="2252"/>
      <c r="AI30" s="2252"/>
      <c r="AJ30" s="2252"/>
      <c r="AK30" s="2252"/>
      <c r="AL30" s="2252"/>
      <c r="AM30" s="2252"/>
      <c r="AN30" s="2252"/>
      <c r="AO30" s="2252"/>
      <c r="AP30" s="2252"/>
      <c r="AQ30" s="2252"/>
      <c r="AR30" s="2252"/>
      <c r="AS30" s="327"/>
      <c r="AT30" s="327"/>
      <c r="AU30" s="281"/>
      <c r="AV30" s="369"/>
      <c r="AW30" s="369"/>
      <c r="AX30" s="369"/>
      <c r="AY30" s="369"/>
      <c r="AZ30" s="369"/>
      <c r="BA30" s="419">
        <v>0</v>
      </c>
    </row>
    <row s="1854" customFormat="1" customHeight="1" ht="18.75">
      <c r="A31" s="1369"/>
      <c r="B31" s="1369"/>
      <c r="C31" s="1369"/>
      <c r="D31" s="1369"/>
      <c r="E31" s="1369"/>
      <c r="F31" s="1369"/>
      <c r="G31" s="1369"/>
      <c r="H31" s="1369"/>
      <c r="I31" s="1369"/>
      <c r="J31" s="1369"/>
      <c r="K31" s="1369"/>
      <c r="L31" s="1370"/>
      <c r="M31" s="1369"/>
      <c r="N31" s="1369"/>
      <c r="O31" s="1369"/>
      <c r="P31" s="1369"/>
      <c r="Q31" s="1369"/>
      <c r="S31" s="2251" t="s">
        <v>433</v>
      </c>
      <c r="T31" s="2251"/>
      <c r="U31" s="1373"/>
      <c r="V31" s="2265" t="str">
        <f>IF(TITLE_DATE_PR_CHANGE="",IF(TITLE_DATE_PR="","",TITLE_DATE_PR),TITLE_DATE_PR_CHANGE)</f>
        <v>45642</v>
      </c>
      <c r="W31" s="2265"/>
      <c r="X31" s="2265"/>
      <c r="Y31" s="2265"/>
      <c r="Z31" s="2265"/>
      <c r="AA31" s="327"/>
      <c r="AB31" s="2265" t="str">
        <f>IF(TITLE_DATE_PR_CHANGE="",IF(TITLE_DATE_PR="","",TITLE_DATE_PR),TITLE_DATE_PR_CHANGE)</f>
        <v>45642</v>
      </c>
      <c r="AC31" s="2265"/>
      <c r="AD31" s="2265"/>
      <c r="AE31" s="2265"/>
      <c r="AF31" s="2265"/>
      <c r="AG31" s="2265"/>
      <c r="AH31" s="2265"/>
      <c r="AI31" s="2265"/>
      <c r="AJ31" s="2265"/>
      <c r="AK31" s="2265"/>
      <c r="AL31" s="2265"/>
      <c r="AM31" s="2265"/>
      <c r="AN31" s="2265"/>
      <c r="AO31" s="2265"/>
      <c r="AP31" s="2265"/>
      <c r="AQ31" s="2265"/>
      <c r="AR31" s="2265"/>
      <c r="AS31" s="327"/>
      <c r="AT31" s="327"/>
      <c r="AU31" s="281"/>
      <c r="AV31" s="369"/>
      <c r="AW31" s="369"/>
      <c r="AX31" s="369"/>
      <c r="AY31" s="369"/>
      <c r="AZ31" s="369"/>
      <c r="BA31" s="419">
        <v>0</v>
      </c>
    </row>
    <row s="1854" customFormat="1" customHeight="1" ht="18.75">
      <c r="A32" s="1369"/>
      <c r="B32" s="1369"/>
      <c r="C32" s="1369"/>
      <c r="D32" s="1369"/>
      <c r="E32" s="1369"/>
      <c r="F32" s="1369"/>
      <c r="G32" s="1369"/>
      <c r="H32" s="1369"/>
      <c r="I32" s="1369"/>
      <c r="J32" s="1369"/>
      <c r="K32" s="1369"/>
      <c r="L32" s="1370"/>
      <c r="M32" s="1369"/>
      <c r="N32" s="1369"/>
      <c r="O32" s="1369"/>
      <c r="P32" s="1369"/>
      <c r="Q32" s="1369"/>
      <c r="S32" s="2251" t="s">
        <v>434</v>
      </c>
      <c r="T32" s="2251"/>
      <c r="U32" s="1373"/>
      <c r="V32" s="2252" t="str">
        <f>IF(TITLE_NUMBER_PR_CHANGE="",IF(TITLE_NUMBER_PR="","",TITLE_NUMBER_PR),TITLE_NUMBER_PR_CHANGE)</f>
        <v>58</v>
      </c>
      <c r="W32" s="2252"/>
      <c r="X32" s="2252"/>
      <c r="Y32" s="2252"/>
      <c r="Z32" s="2252"/>
      <c r="AA32" s="327"/>
      <c r="AB32" s="2252" t="str">
        <f>IF(TITLE_NUMBER_PR_CHANGE="",IF(TITLE_NUMBER_PR="","",TITLE_NUMBER_PR),TITLE_NUMBER_PR_CHANGE)</f>
        <v>58</v>
      </c>
      <c r="AC32" s="2252"/>
      <c r="AD32" s="2252"/>
      <c r="AE32" s="2252"/>
      <c r="AF32" s="2252"/>
      <c r="AG32" s="2252"/>
      <c r="AH32" s="2252"/>
      <c r="AI32" s="2252"/>
      <c r="AJ32" s="2252"/>
      <c r="AK32" s="2252"/>
      <c r="AL32" s="2252"/>
      <c r="AM32" s="2252"/>
      <c r="AN32" s="2252"/>
      <c r="AO32" s="2252"/>
      <c r="AP32" s="2252"/>
      <c r="AQ32" s="2252"/>
      <c r="AR32" s="2252"/>
      <c r="AS32" s="327"/>
      <c r="AT32" s="327"/>
      <c r="AU32" s="281"/>
      <c r="AV32" s="369"/>
      <c r="AW32" s="369"/>
      <c r="AX32" s="369"/>
      <c r="AY32" s="369"/>
      <c r="AZ32" s="369"/>
      <c r="BA32" s="419">
        <v>0</v>
      </c>
    </row>
    <row s="1854" customFormat="1" customHeight="1" ht="18.75">
      <c r="A33" s="1369"/>
      <c r="B33" s="1369"/>
      <c r="C33" s="1369"/>
      <c r="D33" s="1369"/>
      <c r="E33" s="1369"/>
      <c r="F33" s="1369"/>
      <c r="G33" s="1369"/>
      <c r="H33" s="1369"/>
      <c r="I33" s="1369"/>
      <c r="J33" s="1369"/>
      <c r="K33" s="1369"/>
      <c r="L33" s="1370"/>
      <c r="M33" s="1369"/>
      <c r="N33" s="1369"/>
      <c r="O33" s="1369"/>
      <c r="P33" s="1369"/>
      <c r="Q33" s="1369"/>
      <c r="S33" s="2251" t="s">
        <v>44</v>
      </c>
      <c r="T33" s="2251"/>
      <c r="U33" s="1373"/>
      <c r="V33" s="2252" t="str">
        <f>IF(TITLE_IST_PUB_CHANGE="",IF(TITLE_IST_PUB="","",TITLE_IST_PUB),TITLE_IST_PUB_CHANGE)</f>
        <v>Официальный интернет портал правовой информации http://pravo.gov.ru </v>
      </c>
      <c r="W33" s="2252"/>
      <c r="X33" s="2252"/>
      <c r="Y33" s="2252"/>
      <c r="Z33" s="2252"/>
      <c r="AA33" s="327"/>
      <c r="AB33" s="2252" t="str">
        <f>IF(TITLE_IST_PUB_CHANGE="",IF(TITLE_IST_PUB="","",TITLE_IST_PUB),TITLE_IST_PUB_CHANGE)</f>
        <v>Официальный интернет портал правовой информации http://pravo.gov.ru </v>
      </c>
      <c r="AC33" s="2252"/>
      <c r="AD33" s="2252"/>
      <c r="AE33" s="2252"/>
      <c r="AF33" s="2252"/>
      <c r="AG33" s="2252"/>
      <c r="AH33" s="2252"/>
      <c r="AI33" s="2252"/>
      <c r="AJ33" s="2252"/>
      <c r="AK33" s="2252"/>
      <c r="AL33" s="2252"/>
      <c r="AM33" s="2252"/>
      <c r="AN33" s="2252"/>
      <c r="AO33" s="2252"/>
      <c r="AP33" s="2252"/>
      <c r="AQ33" s="2252"/>
      <c r="AR33" s="2252"/>
      <c r="AS33" s="327"/>
      <c r="AT33" s="327"/>
      <c r="AU33" s="281"/>
      <c r="AV33" s="369"/>
      <c r="AW33" s="369"/>
      <c r="AX33" s="369"/>
      <c r="AY33" s="369"/>
      <c r="AZ33" s="369"/>
      <c r="BA33" s="419">
        <v>0</v>
      </c>
    </row>
    <row customHeight="1" ht="14.25" hidden="1">
      <c r="Q34" s="292"/>
      <c r="R34" s="377"/>
      <c r="S34" s="1276"/>
      <c r="T34" s="364"/>
      <c r="U34" s="364"/>
      <c r="V34" s="323"/>
      <c r="W34" s="323"/>
      <c r="X34" s="323"/>
      <c r="Y34" s="323"/>
      <c r="Z34" s="323"/>
      <c r="AA34" s="323"/>
      <c r="AB34" s="323"/>
      <c r="AC34" s="323"/>
      <c r="AD34" s="323"/>
      <c r="AE34" s="323"/>
      <c r="AF34" s="323"/>
      <c r="AG34" s="323"/>
      <c r="AH34" s="323"/>
      <c r="AI34" s="323"/>
      <c r="AJ34" s="323"/>
      <c r="AK34" s="323"/>
      <c r="AL34" s="323"/>
      <c r="AM34" s="323"/>
      <c r="AN34" s="323"/>
      <c r="AO34" s="323"/>
      <c r="AP34" s="323"/>
      <c r="AQ34" s="323"/>
      <c r="AR34" s="323"/>
      <c r="AS34" s="323"/>
      <c r="AT34" s="510"/>
      <c r="BA34" s="1156">
        <v>0</v>
      </c>
    </row>
    <row s="1854" customFormat="1" customHeight="1" ht="18.75" hidden="1">
      <c r="A35" s="1369"/>
      <c r="B35" s="1369"/>
      <c r="C35" s="1369"/>
      <c r="D35" s="1369"/>
      <c r="E35" s="1369"/>
      <c r="F35" s="1369"/>
      <c r="G35" s="1369"/>
      <c r="H35" s="1369"/>
      <c r="I35" s="1369"/>
      <c r="J35" s="1369"/>
      <c r="K35" s="1369"/>
      <c r="L35" s="1370"/>
      <c r="M35" s="1369"/>
      <c r="N35" s="1369"/>
      <c r="O35" s="1369"/>
      <c r="P35" s="1369"/>
      <c r="Q35" s="1369"/>
      <c r="S35" s="2251" t="s">
        <v>433</v>
      </c>
      <c r="T35" s="2251"/>
      <c r="U35" s="1373"/>
      <c r="V35" s="2265" t="str">
        <f>IF(TITLE_DATE_PR_CHANGE="",IF(TITLE_DATE_PR="","",TITLE_DATE_PR),TITLE_DATE_PR_CHANGE)</f>
        <v>45642</v>
      </c>
      <c r="W35" s="2265"/>
      <c r="X35" s="2265"/>
      <c r="Y35" s="2265"/>
      <c r="Z35" s="2265"/>
      <c r="AA35" s="327"/>
      <c r="AB35" s="2265" t="str">
        <f>IF(TITLE_DATE_PR_CHANGE="",IF(TITLE_DATE_PR="","",TITLE_DATE_PR),TITLE_DATE_PR_CHANGE)</f>
        <v>45642</v>
      </c>
      <c r="AC35" s="2265"/>
      <c r="AD35" s="2265"/>
      <c r="AE35" s="2265"/>
      <c r="AF35" s="2265"/>
      <c r="AG35" s="2265"/>
      <c r="AH35" s="2265"/>
      <c r="AI35" s="2265"/>
      <c r="AJ35" s="2265"/>
      <c r="AK35" s="2265"/>
      <c r="AL35" s="2265"/>
      <c r="AM35" s="2265"/>
      <c r="AN35" s="2265"/>
      <c r="AO35" s="2265"/>
      <c r="AP35" s="2265"/>
      <c r="AQ35" s="2265"/>
      <c r="AR35" s="2265"/>
      <c r="AS35" s="327"/>
      <c r="AT35" s="327"/>
      <c r="AU35" s="281"/>
      <c r="AV35" s="369"/>
      <c r="AW35" s="369"/>
      <c r="AX35" s="369"/>
      <c r="AY35" s="369"/>
      <c r="AZ35" s="369"/>
      <c r="BA35" s="419">
        <v>0</v>
      </c>
    </row>
    <row s="1854" customFormat="1" customHeight="1" ht="18" hidden="1">
      <c r="A36" s="1369"/>
      <c r="B36" s="1369"/>
      <c r="C36" s="1369"/>
      <c r="D36" s="1369"/>
      <c r="E36" s="1369"/>
      <c r="F36" s="1369"/>
      <c r="G36" s="1369"/>
      <c r="H36" s="1369"/>
      <c r="I36" s="1369"/>
      <c r="J36" s="1369"/>
      <c r="K36" s="1369"/>
      <c r="L36" s="1370"/>
      <c r="M36" s="1369"/>
      <c r="N36" s="1369"/>
      <c r="O36" s="1369"/>
      <c r="P36" s="1369"/>
      <c r="Q36" s="1369"/>
      <c r="S36" s="2251" t="s">
        <v>434</v>
      </c>
      <c r="T36" s="2251"/>
      <c r="U36" s="1373"/>
      <c r="V36" s="2252" t="str">
        <f>IF(TITLE_NUMBER_PR_CHANGE="",IF(TITLE_NUMBER_PR="","",TITLE_NUMBER_PR),TITLE_NUMBER_PR_CHANGE)</f>
        <v>58</v>
      </c>
      <c r="W36" s="2252"/>
      <c r="X36" s="2252"/>
      <c r="Y36" s="2252"/>
      <c r="Z36" s="2252"/>
      <c r="AA36" s="327"/>
      <c r="AB36" s="2252" t="str">
        <f>IF(TITLE_NUMBER_PR_CHANGE="",IF(TITLE_NUMBER_PR="","",TITLE_NUMBER_PR),TITLE_NUMBER_PR_CHANGE)</f>
        <v>58</v>
      </c>
      <c r="AC36" s="2252"/>
      <c r="AD36" s="2252"/>
      <c r="AE36" s="2252"/>
      <c r="AF36" s="2252"/>
      <c r="AG36" s="2252"/>
      <c r="AH36" s="2252"/>
      <c r="AI36" s="2252"/>
      <c r="AJ36" s="2252"/>
      <c r="AK36" s="2252"/>
      <c r="AL36" s="2252"/>
      <c r="AM36" s="2252"/>
      <c r="AN36" s="2252"/>
      <c r="AO36" s="2252"/>
      <c r="AP36" s="2252"/>
      <c r="AQ36" s="2252"/>
      <c r="AR36" s="2252"/>
      <c r="AS36" s="327"/>
      <c r="AT36" s="327"/>
      <c r="AU36" s="281"/>
      <c r="AV36" s="369"/>
      <c r="AW36" s="369"/>
      <c r="AX36" s="369"/>
      <c r="AY36" s="369"/>
      <c r="AZ36" s="369"/>
      <c r="BA36" s="419">
        <v>0</v>
      </c>
    </row>
    <row s="1854" customFormat="1" customHeight="1" ht="1.05">
      <c r="A37" s="1369"/>
      <c r="B37" s="1369"/>
      <c r="C37" s="1369"/>
      <c r="D37" s="1369"/>
      <c r="E37" s="1369"/>
      <c r="F37" s="1369"/>
      <c r="G37" s="1369"/>
      <c r="H37" s="1369"/>
      <c r="I37" s="1369"/>
      <c r="J37" s="1369"/>
      <c r="K37" s="1369"/>
      <c r="L37" s="1370"/>
      <c r="M37" s="1369"/>
      <c r="N37" s="1369"/>
      <c r="O37" s="1369"/>
      <c r="P37" s="1369"/>
      <c r="Q37" s="1369"/>
      <c r="S37" s="324"/>
      <c r="T37" s="324"/>
      <c r="U37" s="1341"/>
      <c r="V37" s="327"/>
      <c r="W37" s="327"/>
      <c r="X37" s="327"/>
      <c r="Y37" s="327"/>
      <c r="Z37" s="327"/>
      <c r="AA37" s="279" t="s">
        <v>437</v>
      </c>
      <c r="AB37" s="327"/>
      <c r="AC37" s="327"/>
      <c r="AD37" s="327"/>
      <c r="AE37" s="327"/>
      <c r="AF37" s="327"/>
      <c r="AG37" s="327"/>
      <c r="AH37" s="327"/>
      <c r="AI37" s="327"/>
      <c r="AJ37" s="327"/>
      <c r="AK37" s="327"/>
      <c r="AL37" s="327"/>
      <c r="AM37" s="327"/>
      <c r="AN37" s="327"/>
      <c r="AO37" s="327"/>
      <c r="AP37" s="327"/>
      <c r="AQ37" s="327"/>
      <c r="AR37" s="327"/>
      <c r="AS37" s="279" t="s">
        <v>437</v>
      </c>
      <c r="AV37" s="369"/>
      <c r="AW37" s="369"/>
      <c r="AX37" s="369"/>
      <c r="AY37" s="369"/>
      <c r="AZ37" s="369"/>
      <c r="BA37" s="419">
        <v>1</v>
      </c>
    </row>
    <row customHeight="1" ht="14.699999999999998">
      <c r="Q38" s="292"/>
      <c r="R38" s="377"/>
      <c r="S38" s="1276"/>
      <c r="T38" s="364"/>
      <c r="U38" s="1245"/>
      <c r="V38" s="2253"/>
      <c r="W38" s="2253"/>
      <c r="X38" s="2253"/>
      <c r="Y38" s="2253"/>
      <c r="Z38" s="2253"/>
      <c r="AA38" s="2253"/>
      <c r="AB38" s="2253"/>
      <c r="AC38" s="2253"/>
      <c r="AD38" s="2253"/>
      <c r="AE38" s="2253"/>
      <c r="AF38" s="2253"/>
      <c r="AG38" s="2253"/>
      <c r="AH38" s="2253"/>
      <c r="AI38" s="2253"/>
      <c r="AJ38" s="2253"/>
      <c r="AK38" s="2253"/>
      <c r="AL38" s="2253"/>
      <c r="AM38" s="2253"/>
      <c r="AN38" s="2253"/>
      <c r="AO38" s="2253"/>
      <c r="AP38" s="2253"/>
      <c r="AQ38" s="2253"/>
      <c r="AR38" s="2253"/>
      <c r="AS38" s="2253"/>
      <c r="BA38" s="1156">
        <v>14</v>
      </c>
    </row>
    <row customHeight="1" ht="14.699999999999998">
      <c r="Q39" s="292"/>
      <c r="R39" s="377"/>
      <c r="S39" s="2128" t="s">
        <v>312</v>
      </c>
      <c r="T39" s="2128"/>
      <c r="U39" s="2128"/>
      <c r="V39" s="2128"/>
      <c r="W39" s="2128"/>
      <c r="X39" s="2128"/>
      <c r="Y39" s="2128"/>
      <c r="Z39" s="2128"/>
      <c r="AA39" s="2128"/>
      <c r="AB39" s="2176"/>
      <c r="AC39" s="2176"/>
      <c r="AD39" s="2176"/>
      <c r="AE39" s="2176"/>
      <c r="AF39" s="2128"/>
      <c r="AG39" s="2128"/>
      <c r="AH39" s="2128"/>
      <c r="AI39" s="2128"/>
      <c r="AJ39" s="2128"/>
      <c r="AK39" s="2128"/>
      <c r="AL39" s="2128"/>
      <c r="AM39" s="2128"/>
      <c r="AN39" s="2128"/>
      <c r="AO39" s="2128"/>
      <c r="AP39" s="2128"/>
      <c r="AQ39" s="2128"/>
      <c r="AR39" s="2128"/>
      <c r="AS39" s="2128"/>
      <c r="AT39" s="2128"/>
      <c r="AU39" s="2128" t="s">
        <v>313</v>
      </c>
      <c r="BA39" s="1156">
        <v>14</v>
      </c>
    </row>
    <row customHeight="1" ht="14.699999999999998">
      <c r="Q40" s="292"/>
      <c r="R40" s="377"/>
      <c r="S40" s="2274" t="s">
        <v>90</v>
      </c>
      <c r="T40" s="2210" t="s">
        <v>482</v>
      </c>
      <c r="U40" s="302"/>
      <c r="V40" s="2276"/>
      <c r="W40" s="2276"/>
      <c r="X40" s="2276"/>
      <c r="Y40" s="2276"/>
      <c r="Z40" s="2277"/>
      <c r="AA40" s="2337" t="s">
        <v>440</v>
      </c>
      <c r="AB40" s="2329" t="s">
        <v>483</v>
      </c>
      <c r="AC40" s="2292"/>
      <c r="AD40" s="2292"/>
      <c r="AE40" s="2330"/>
      <c r="AF40" s="2292" t="s">
        <v>484</v>
      </c>
      <c r="AG40" s="2292"/>
      <c r="AH40" s="2292"/>
      <c r="AI40" s="2330"/>
      <c r="AJ40" s="2329" t="s">
        <v>485</v>
      </c>
      <c r="AK40" s="2292"/>
      <c r="AL40" s="2292"/>
      <c r="AM40" s="2330"/>
      <c r="AN40" s="2329" t="s">
        <v>439</v>
      </c>
      <c r="AO40" s="2292"/>
      <c r="AP40" s="2276"/>
      <c r="AQ40" s="2276"/>
      <c r="AR40" s="2277"/>
      <c r="AS40" s="2278" t="s">
        <v>440</v>
      </c>
      <c r="AT40" s="2281" t="s">
        <v>442</v>
      </c>
      <c r="AU40" s="2128"/>
      <c r="BA40" s="1156">
        <v>14</v>
      </c>
    </row>
    <row customHeight="1" ht="35.699999999999996">
      <c r="Q41" s="292"/>
      <c r="R41" s="377"/>
      <c r="S41" s="2274"/>
      <c r="T41" s="2210"/>
      <c r="U41" s="1032"/>
      <c r="V41" s="2128" t="s">
        <v>486</v>
      </c>
      <c r="W41" s="2128"/>
      <c r="X41" s="2295" t="s">
        <v>446</v>
      </c>
      <c r="Y41" s="2314"/>
      <c r="Z41" s="2315"/>
      <c r="AA41" s="2338"/>
      <c r="AB41" s="2331"/>
      <c r="AC41" s="2332"/>
      <c r="AD41" s="2332"/>
      <c r="AE41" s="2333"/>
      <c r="AF41" s="2332"/>
      <c r="AG41" s="2332"/>
      <c r="AH41" s="2332"/>
      <c r="AI41" s="2333"/>
      <c r="AJ41" s="2331"/>
      <c r="AK41" s="2332"/>
      <c r="AL41" s="2332"/>
      <c r="AM41" s="2332"/>
      <c r="AN41" s="2128" t="s">
        <v>486</v>
      </c>
      <c r="AO41" s="2128"/>
      <c r="AP41" s="2314" t="s">
        <v>446</v>
      </c>
      <c r="AQ41" s="2314"/>
      <c r="AR41" s="2315"/>
      <c r="AS41" s="2279"/>
      <c r="AT41" s="2282"/>
      <c r="AU41" s="2128"/>
      <c r="BA41" s="1156">
        <v>34</v>
      </c>
    </row>
    <row customHeight="1" ht="14.699999999999998">
      <c r="Q42" s="292"/>
      <c r="R42" s="377"/>
      <c r="S42" s="2274"/>
      <c r="T42" s="2210"/>
      <c r="U42" s="1032"/>
      <c r="V42" s="2341" t="str">
        <f>IF($AN$42&lt;&gt;"",$AN$42,"")</f>
        <v/>
      </c>
      <c r="W42" s="2341"/>
      <c r="X42" s="2296"/>
      <c r="Y42" s="2316"/>
      <c r="Z42" s="2317"/>
      <c r="AA42" s="2338"/>
      <c r="AB42" s="2331"/>
      <c r="AC42" s="2332"/>
      <c r="AD42" s="2332"/>
      <c r="AE42" s="2333"/>
      <c r="AF42" s="2332"/>
      <c r="AG42" s="2332"/>
      <c r="AH42" s="2332"/>
      <c r="AI42" s="2333"/>
      <c r="AJ42" s="2331"/>
      <c r="AK42" s="2332"/>
      <c r="AL42" s="2332"/>
      <c r="AM42" s="2332"/>
      <c r="AN42" s="2340"/>
      <c r="AO42" s="2340"/>
      <c r="AP42" s="2316"/>
      <c r="AQ42" s="2316"/>
      <c r="AR42" s="2317"/>
      <c r="AS42" s="2279"/>
      <c r="AT42" s="2282"/>
      <c r="AU42" s="2128"/>
      <c r="BA42" s="1156">
        <v>14</v>
      </c>
    </row>
    <row customHeight="1" ht="14.699999999999998">
      <c r="A43" s="1371"/>
      <c r="B43" s="1371" t="s">
        <v>138</v>
      </c>
      <c r="C43" s="1371" t="s">
        <v>139</v>
      </c>
      <c r="D43" s="1371" t="s">
        <v>140</v>
      </c>
      <c r="E43" s="1365" t="s">
        <v>447</v>
      </c>
      <c r="F43" s="1365" t="s">
        <v>448</v>
      </c>
      <c r="G43" s="1365" t="s">
        <v>449</v>
      </c>
      <c r="H43" s="1365" t="s">
        <v>450</v>
      </c>
      <c r="I43" s="1365" t="s">
        <v>451</v>
      </c>
      <c r="J43" s="1365" t="s">
        <v>452</v>
      </c>
      <c r="K43" s="1365" t="s">
        <v>453</v>
      </c>
      <c r="L43" s="1365" t="s">
        <v>428</v>
      </c>
      <c r="Q43" s="292"/>
      <c r="R43" s="377"/>
      <c r="S43" s="2274"/>
      <c r="T43" s="2210"/>
      <c r="U43" s="303"/>
      <c r="V43" s="1331" t="s">
        <v>487</v>
      </c>
      <c r="W43" s="1331" t="s">
        <v>488</v>
      </c>
      <c r="X43" s="1339" t="s">
        <v>456</v>
      </c>
      <c r="Y43" s="2271" t="s">
        <v>457</v>
      </c>
      <c r="Z43" s="2272"/>
      <c r="AA43" s="2339"/>
      <c r="AB43" s="2334"/>
      <c r="AC43" s="2335"/>
      <c r="AD43" s="2335"/>
      <c r="AE43" s="2336"/>
      <c r="AF43" s="2335"/>
      <c r="AG43" s="2335"/>
      <c r="AH43" s="2335"/>
      <c r="AI43" s="2336"/>
      <c r="AJ43" s="2334"/>
      <c r="AK43" s="2335"/>
      <c r="AL43" s="2335"/>
      <c r="AM43" s="2336"/>
      <c r="AN43" s="1861" t="s">
        <v>487</v>
      </c>
      <c r="AO43" s="1861" t="s">
        <v>488</v>
      </c>
      <c r="AP43" s="1339" t="s">
        <v>456</v>
      </c>
      <c r="AQ43" s="2271" t="s">
        <v>457</v>
      </c>
      <c r="AR43" s="2272"/>
      <c r="AS43" s="2280"/>
      <c r="AT43" s="2283"/>
      <c r="AU43" s="2128"/>
      <c r="BA43" s="1156">
        <v>14</v>
      </c>
    </row>
    <row s="1642" customFormat="1" customHeight="1" ht="11.25" hidden="1">
      <c r="A44" s="1371"/>
      <c r="B44" s="1371"/>
      <c r="C44" s="1371"/>
      <c r="D44" s="1371"/>
      <c r="E44" s="1371"/>
      <c r="F44" s="1371"/>
      <c r="G44" s="1371"/>
      <c r="H44" s="1371"/>
      <c r="I44" s="1371"/>
      <c r="J44" s="1371"/>
      <c r="K44" s="1371"/>
      <c r="L44" s="1365"/>
      <c r="M44" s="1363"/>
      <c r="N44" s="1363"/>
      <c r="O44" s="1363"/>
      <c r="P44" s="511"/>
      <c r="Q44" s="1255"/>
      <c r="R44" s="1255">
        <v>1</v>
      </c>
      <c r="S44" s="1278" t="s">
        <v>112</v>
      </c>
      <c r="T44" s="1256" t="s">
        <v>113</v>
      </c>
      <c r="U44" s="1246" t="str">
        <f>OFFSET(U44,0,-1)</f>
        <v>2</v>
      </c>
      <c r="V44" s="1336">
        <f>OFFSET(V44,0,-1)+1</f>
        <v>3</v>
      </c>
      <c r="W44" s="1336">
        <f>OFFSET(W44,0,-1)+1</f>
        <v>4</v>
      </c>
      <c r="X44" s="1336">
        <f>OFFSET(X44,0,-1)+1</f>
        <v>5</v>
      </c>
      <c r="Y44" s="2273">
        <f>OFFSET(Y44,0,-1)+1</f>
        <v>6</v>
      </c>
      <c r="Z44" s="2273"/>
      <c r="AA44" s="1336">
        <f>OFFSET(AA44,0,-2)+1</f>
        <v>7</v>
      </c>
      <c r="AB44" s="1342">
        <f>OFFSET(AB44,0,-1)+1</f>
        <v>8</v>
      </c>
      <c r="AC44" s="1342"/>
      <c r="AD44" s="1342"/>
      <c r="AE44" s="1342"/>
      <c r="AF44" s="1336"/>
      <c r="AG44" s="1336"/>
      <c r="AH44" s="1336"/>
      <c r="AI44" s="1336"/>
      <c r="AJ44" s="1336"/>
      <c r="AK44" s="1336"/>
      <c r="AL44" s="1336"/>
      <c r="AM44" s="1336"/>
      <c r="AN44" s="1336">
        <f>OFFSET(AN44,0,-1)+1</f>
        <v>1</v>
      </c>
      <c r="AO44" s="1336">
        <f>OFFSET(AO44,0,-1)+1</f>
        <v>2</v>
      </c>
      <c r="AP44" s="1336">
        <f>OFFSET(AP44,0,-1)+1</f>
        <v>3</v>
      </c>
      <c r="AQ44" s="2273">
        <f>OFFSET(AQ44,0,-1)+1</f>
        <v>4</v>
      </c>
      <c r="AR44" s="2273"/>
      <c r="AS44" s="1336">
        <f>OFFSET(AS44,0,-2)+1</f>
        <v>5</v>
      </c>
      <c r="AT44" s="1246">
        <f>OFFSET(AT44,0,-1)</f>
        <v>5</v>
      </c>
      <c r="AU44" s="1336">
        <f>OFFSET(AU44,0,-1)+1</f>
        <v>6</v>
      </c>
      <c r="AV44" s="512"/>
      <c r="AW44" s="512"/>
      <c r="AX44" s="512"/>
      <c r="AY44" s="512"/>
      <c r="AZ44" s="512"/>
      <c r="BA44" s="497">
        <v>0</v>
      </c>
    </row>
    <row customHeight="1" ht="107.25">
      <c r="A45" s="1364" t="s">
        <v>201</v>
      </c>
      <c r="B45" s="1364"/>
      <c r="C45" s="1364"/>
      <c r="D45" s="1364"/>
      <c r="E45" s="2259">
        <v>1</v>
      </c>
      <c r="F45" s="1364"/>
      <c r="G45" s="1364"/>
      <c r="H45" s="1364"/>
      <c r="I45" s="1364"/>
      <c r="J45" s="1364"/>
      <c r="K45" s="1364"/>
      <c r="L45" s="1365"/>
      <c r="M45" s="1366"/>
      <c r="N45" s="1366"/>
      <c r="O45" s="1366"/>
      <c r="P45" s="1410"/>
      <c r="Q45" s="874"/>
      <c r="R45" s="356"/>
      <c r="S45" s="1337">
        <f>INDEX(PT_DIFFERENTIATION_NUM_NTAR,MATCH(A45,PT_DIFFERENTIATION_NTAR_ID,0))</f>
        <v>0</v>
      </c>
      <c r="T45" s="299" t="s">
        <v>126</v>
      </c>
      <c r="U45" s="301"/>
      <c r="V45" s="2244"/>
      <c r="W45" s="2244"/>
      <c r="X45" s="2244"/>
      <c r="Y45" s="2244"/>
      <c r="Z45" s="2244"/>
      <c r="AA45" s="2245"/>
      <c r="AB45" s="2243" t="str">
        <f>INDEX(PT_DIFFERENTIATION_NTAR,MATCH(A45,PT_DIFFERENTIATION_NTAR_ID,0))</f>
        <v/>
      </c>
      <c r="AC45" s="2244"/>
      <c r="AD45" s="2244"/>
      <c r="AE45" s="2244"/>
      <c r="AF45" s="2244"/>
      <c r="AG45" s="2244"/>
      <c r="AH45" s="2244"/>
      <c r="AI45" s="2244"/>
      <c r="AJ45" s="2244"/>
      <c r="AK45" s="2244"/>
      <c r="AL45" s="2244"/>
      <c r="AM45" s="2244"/>
      <c r="AN45" s="2244"/>
      <c r="AO45" s="2244"/>
      <c r="AP45" s="2244"/>
      <c r="AQ45" s="2244"/>
      <c r="AR45" s="2244"/>
      <c r="AS45" s="2244"/>
      <c r="AT45" s="2245"/>
      <c r="AU45"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W45" s="501"/>
      <c r="AX45" s="501" t="str">
        <f>IF(T45="","",T45)</f>
        <v>Наименование тарифа</v>
      </c>
      <c r="AY45" s="501"/>
      <c r="AZ45" s="501"/>
      <c r="BA45" s="1156">
        <v>102</v>
      </c>
    </row>
    <row customHeight="1" ht="22.049999999999997">
      <c r="A46" s="1364" t="s">
        <v>201</v>
      </c>
      <c r="B46" s="1364" t="s">
        <v>202</v>
      </c>
      <c r="C46" s="1364"/>
      <c r="D46" s="1364"/>
      <c r="E46" s="2260"/>
      <c r="F46" s="2259">
        <v>1</v>
      </c>
      <c r="G46" s="1364"/>
      <c r="H46" s="1364"/>
      <c r="I46" s="1364"/>
      <c r="J46" s="1364"/>
      <c r="K46" s="1364"/>
      <c r="L46" s="1365"/>
      <c r="M46" s="1366"/>
      <c r="N46" s="1366"/>
      <c r="O46" s="1366"/>
      <c r="P46" s="1411"/>
      <c r="Q46" s="1412"/>
      <c r="R46" s="354"/>
      <c r="S46" s="1337" t="str">
        <f>INDEX(PT_DIFFERENTIATION_NUM_TER,MATCH(B46,PT_DIFFERENTIATION_TER_ID,0))</f>
        <v>.</v>
      </c>
      <c r="T46" s="309" t="s">
        <v>409</v>
      </c>
      <c r="U46" s="301"/>
      <c r="V46" s="2244"/>
      <c r="W46" s="2244"/>
      <c r="X46" s="2244"/>
      <c r="Y46" s="2244"/>
      <c r="Z46" s="2244"/>
      <c r="AA46" s="2245"/>
      <c r="AB46" s="2243" t="str">
        <f>INDEX(PT_DIFFERENTIATION_TER,MATCH(B46,PT_DIFFERENTIATION_TER_ID,0))</f>
        <v/>
      </c>
      <c r="AC46" s="2244"/>
      <c r="AD46" s="2244"/>
      <c r="AE46" s="2244"/>
      <c r="AF46" s="2244"/>
      <c r="AG46" s="2244"/>
      <c r="AH46" s="2244"/>
      <c r="AI46" s="2244"/>
      <c r="AJ46" s="2244"/>
      <c r="AK46" s="2244"/>
      <c r="AL46" s="2244"/>
      <c r="AM46" s="2244"/>
      <c r="AN46" s="2244"/>
      <c r="AO46" s="2244"/>
      <c r="AP46" s="2244"/>
      <c r="AQ46" s="2244"/>
      <c r="AR46" s="2244"/>
      <c r="AS46" s="2244"/>
      <c r="AT46" s="2245"/>
      <c r="AU46" s="1259" t="s">
        <v>410</v>
      </c>
      <c r="AW46" s="501"/>
      <c r="AX46" s="501" t="str">
        <f>IF(T46="","",T46)</f>
        <v>Территория действия тарифа</v>
      </c>
      <c r="AY46" s="501"/>
      <c r="AZ46" s="501"/>
      <c r="BA46" s="1156">
        <v>21</v>
      </c>
    </row>
    <row customHeight="1" ht="24">
      <c r="A47" s="1364" t="s">
        <v>201</v>
      </c>
      <c r="B47" s="1364" t="s">
        <v>202</v>
      </c>
      <c r="C47" s="1364" t="s">
        <v>203</v>
      </c>
      <c r="D47" s="1364"/>
      <c r="E47" s="2260"/>
      <c r="F47" s="2260"/>
      <c r="G47" s="2259">
        <v>1</v>
      </c>
      <c r="H47" s="1364"/>
      <c r="I47" s="1364"/>
      <c r="J47" s="1364"/>
      <c r="K47" s="1364"/>
      <c r="L47" s="1365"/>
      <c r="M47" s="1366"/>
      <c r="N47" s="1366"/>
      <c r="O47" s="1366"/>
      <c r="P47" s="1413"/>
      <c r="Q47" s="1412"/>
      <c r="R47" s="354"/>
      <c r="S47" s="1337" t="str">
        <f>INDEX(PT_DIFFERENTIATION_NUM_CS,MATCH(C47,PT_DIFFERENTIATION_CS_ID,0))</f>
        <v>..</v>
      </c>
      <c r="T47" s="310" t="s">
        <v>411</v>
      </c>
      <c r="U47" s="301"/>
      <c r="V47" s="2244"/>
      <c r="W47" s="2244"/>
      <c r="X47" s="2244"/>
      <c r="Y47" s="2244"/>
      <c r="Z47" s="2244"/>
      <c r="AA47" s="2245"/>
      <c r="AB47" s="2243" t="str">
        <f>INDEX(PT_DIFFERENTIATION_CS,MATCH(C47,PT_DIFFERENTIATION_CS_ID,0))</f>
        <v/>
      </c>
      <c r="AC47" s="2244"/>
      <c r="AD47" s="2244"/>
      <c r="AE47" s="2244"/>
      <c r="AF47" s="2244"/>
      <c r="AG47" s="2244"/>
      <c r="AH47" s="2244"/>
      <c r="AI47" s="2244"/>
      <c r="AJ47" s="2244"/>
      <c r="AK47" s="2244"/>
      <c r="AL47" s="2244"/>
      <c r="AM47" s="2244"/>
      <c r="AN47" s="2244"/>
      <c r="AO47" s="2244"/>
      <c r="AP47" s="2244"/>
      <c r="AQ47" s="2244"/>
      <c r="AR47" s="2244"/>
      <c r="AS47" s="2244"/>
      <c r="AT47" s="2245"/>
      <c r="AU47" s="1259" t="s">
        <v>412</v>
      </c>
      <c r="AW47" s="501"/>
      <c r="AX47" s="501" t="str">
        <f>IF(T47="","",T47)</f>
        <v>Наименование системы теплоснабжения </v>
      </c>
      <c r="AY47" s="501"/>
      <c r="AZ47" s="501"/>
      <c r="BA47" s="1156">
        <v>23</v>
      </c>
    </row>
    <row customHeight="1" ht="21">
      <c r="A48" s="1364" t="s">
        <v>201</v>
      </c>
      <c r="B48" s="1364" t="s">
        <v>202</v>
      </c>
      <c r="C48" s="1364" t="s">
        <v>203</v>
      </c>
      <c r="D48" s="1364" t="s">
        <v>204</v>
      </c>
      <c r="E48" s="2260"/>
      <c r="F48" s="2260"/>
      <c r="G48" s="2260"/>
      <c r="H48" s="2259">
        <v>1</v>
      </c>
      <c r="I48" s="1364"/>
      <c r="J48" s="1364"/>
      <c r="K48" s="1364"/>
      <c r="L48" s="1365"/>
      <c r="M48" s="1366"/>
      <c r="N48" s="1366"/>
      <c r="O48" s="1366"/>
      <c r="P48" s="1413"/>
      <c r="Q48" s="1412"/>
      <c r="R48" s="354"/>
      <c r="S48" s="1337" t="str">
        <f>INDEX(PT_DIFFERENTIATION_NUM_IST_TE,MATCH(D48,PT_DIFFERENTIATION_IST_TE_ID,0))</f>
        <v>...</v>
      </c>
      <c r="T48" s="311" t="s">
        <v>413</v>
      </c>
      <c r="U48" s="301"/>
      <c r="V48" s="2244"/>
      <c r="W48" s="2244"/>
      <c r="X48" s="2244"/>
      <c r="Y48" s="2244"/>
      <c r="Z48" s="2244"/>
      <c r="AA48" s="2245"/>
      <c r="AB48" s="2243" t="str">
        <f>INDEX(PT_DIFFERENTIATION_IST_TE,MATCH(D48,PT_DIFFERENTIATION_IST_TE_ID,0))</f>
        <v/>
      </c>
      <c r="AC48" s="2244"/>
      <c r="AD48" s="2244"/>
      <c r="AE48" s="2244"/>
      <c r="AF48" s="2244"/>
      <c r="AG48" s="2244"/>
      <c r="AH48" s="2244"/>
      <c r="AI48" s="2244"/>
      <c r="AJ48" s="2244"/>
      <c r="AK48" s="2244"/>
      <c r="AL48" s="2244"/>
      <c r="AM48" s="2244"/>
      <c r="AN48" s="2244"/>
      <c r="AO48" s="2244"/>
      <c r="AP48" s="2244"/>
      <c r="AQ48" s="2244"/>
      <c r="AR48" s="2244"/>
      <c r="AS48" s="2244"/>
      <c r="AT48" s="2245"/>
      <c r="AU48" s="1259" t="s">
        <v>414</v>
      </c>
      <c r="AW48" s="501"/>
      <c r="AX48" s="501" t="str">
        <f>IF(T48="","",T48)</f>
        <v>Источник тепловой энергии  </v>
      </c>
      <c r="AY48" s="501"/>
      <c r="AZ48" s="501"/>
      <c r="BA48" s="1156">
        <v>20</v>
      </c>
    </row>
    <row s="1643" customFormat="1" customHeight="1" ht="1.05">
      <c r="A49" s="1344" t="s">
        <v>201</v>
      </c>
      <c r="B49" s="1344" t="s">
        <v>202</v>
      </c>
      <c r="C49" s="1344" t="s">
        <v>203</v>
      </c>
      <c r="D49" s="1344" t="s">
        <v>204</v>
      </c>
      <c r="E49" s="2260"/>
      <c r="F49" s="2260"/>
      <c r="G49" s="2260"/>
      <c r="H49" s="2260"/>
      <c r="I49" s="2257" t="str">
        <f>S48&amp;".1"</f>
        <v>....1</v>
      </c>
      <c r="J49" s="1344"/>
      <c r="K49" s="1344"/>
      <c r="L49" s="1347" t="s">
        <v>415</v>
      </c>
      <c r="M49" s="511"/>
      <c r="N49" s="511"/>
      <c r="O49" s="511"/>
      <c r="P49" s="2258">
        <v>1</v>
      </c>
      <c r="Q49" s="1332"/>
      <c r="R49" s="357"/>
      <c r="S49" s="1043"/>
      <c r="T49" s="1384"/>
      <c r="U49" s="1385"/>
      <c r="V49" s="2298"/>
      <c r="W49" s="2298"/>
      <c r="X49" s="2298"/>
      <c r="Y49" s="2298"/>
      <c r="Z49" s="2298"/>
      <c r="AA49" s="2299"/>
      <c r="AB49" s="2297"/>
      <c r="AC49" s="2298"/>
      <c r="AD49" s="2298"/>
      <c r="AE49" s="2298"/>
      <c r="AF49" s="2298"/>
      <c r="AG49" s="2298"/>
      <c r="AH49" s="2298"/>
      <c r="AI49" s="2298"/>
      <c r="AJ49" s="2298"/>
      <c r="AK49" s="2298"/>
      <c r="AL49" s="2298"/>
      <c r="AM49" s="2298"/>
      <c r="AN49" s="2298"/>
      <c r="AO49" s="2298"/>
      <c r="AP49" s="2298"/>
      <c r="AQ49" s="2298"/>
      <c r="AR49" s="2298"/>
      <c r="AS49" s="2298"/>
      <c r="AT49" s="2299"/>
      <c r="AU49" s="1386"/>
      <c r="AW49" s="501"/>
      <c r="AX49" s="501" t="str">
        <f>IF(T49="","",T49)</f>
        <v/>
      </c>
      <c r="AY49" s="501"/>
      <c r="AZ49" s="501"/>
      <c r="BA49" s="512">
        <v>1</v>
      </c>
    </row>
    <row s="1643" customFormat="1" customHeight="1" ht="1.05">
      <c r="A50" s="1344" t="s">
        <v>201</v>
      </c>
      <c r="B50" s="1344" t="s">
        <v>202</v>
      </c>
      <c r="C50" s="1344" t="s">
        <v>203</v>
      </c>
      <c r="D50" s="1344" t="s">
        <v>204</v>
      </c>
      <c r="E50" s="2260"/>
      <c r="F50" s="2260"/>
      <c r="G50" s="2260"/>
      <c r="H50" s="2260"/>
      <c r="I50" s="2287"/>
      <c r="J50" s="2257" t="str">
        <f>S48&amp;".1"</f>
        <v>....1</v>
      </c>
      <c r="K50" s="1344"/>
      <c r="L50" s="1347"/>
      <c r="M50" s="511"/>
      <c r="N50" s="511"/>
      <c r="O50" s="511"/>
      <c r="P50" s="2258"/>
      <c r="Q50" s="2258">
        <v>1</v>
      </c>
      <c r="R50" s="358"/>
      <c r="S50" s="1043"/>
      <c r="T50" s="1400"/>
      <c r="U50" s="1385"/>
      <c r="V50" s="2298"/>
      <c r="W50" s="2298"/>
      <c r="X50" s="2298"/>
      <c r="Y50" s="2298"/>
      <c r="Z50" s="2298"/>
      <c r="AA50" s="2299"/>
      <c r="AB50" s="2297"/>
      <c r="AC50" s="2298"/>
      <c r="AD50" s="2298"/>
      <c r="AE50" s="2298"/>
      <c r="AF50" s="2298"/>
      <c r="AG50" s="2298"/>
      <c r="AH50" s="2298"/>
      <c r="AI50" s="2298"/>
      <c r="AJ50" s="2298"/>
      <c r="AK50" s="2298"/>
      <c r="AL50" s="2298"/>
      <c r="AM50" s="2298"/>
      <c r="AN50" s="2298"/>
      <c r="AO50" s="2298"/>
      <c r="AP50" s="2298"/>
      <c r="AQ50" s="2298"/>
      <c r="AR50" s="2298"/>
      <c r="AS50" s="2298"/>
      <c r="AT50" s="2299"/>
      <c r="AU50" s="1386"/>
      <c r="AW50" s="501"/>
      <c r="AX50" s="501" t="str">
        <f>IF(T50="","",T50)</f>
        <v/>
      </c>
      <c r="AY50" s="501"/>
      <c r="AZ50" s="501"/>
      <c r="BA50" s="512">
        <v>1</v>
      </c>
    </row>
    <row customHeight="1" ht="22.049999999999997">
      <c r="A51" s="1364" t="s">
        <v>201</v>
      </c>
      <c r="B51" s="1364" t="s">
        <v>202</v>
      </c>
      <c r="C51" s="1364" t="s">
        <v>203</v>
      </c>
      <c r="D51" s="1364" t="s">
        <v>204</v>
      </c>
      <c r="E51" s="2260"/>
      <c r="F51" s="2260"/>
      <c r="G51" s="2260"/>
      <c r="H51" s="2260"/>
      <c r="I51" s="2287"/>
      <c r="J51" s="2287"/>
      <c r="K51" s="2257" t="str">
        <f>S48&amp;".1"</f>
        <v>....1</v>
      </c>
      <c r="L51" s="1365"/>
      <c r="P51" s="2258"/>
      <c r="Q51" s="2258"/>
      <c r="R51" s="358">
        <v>1</v>
      </c>
      <c r="S51" s="2342" t="str">
        <f>$K51</f>
        <v>....1</v>
      </c>
      <c r="T51" s="2345"/>
      <c r="U51" s="301"/>
      <c r="V51" s="752"/>
      <c r="W51" s="1258"/>
      <c r="X51" s="1735"/>
      <c r="Y51" s="1460" t="s">
        <v>63</v>
      </c>
      <c r="Z51" s="1735"/>
      <c r="AA51" s="1460" t="s">
        <v>63</v>
      </c>
      <c r="AB51" s="2108" t="s">
        <v>19</v>
      </c>
      <c r="AC51" s="2327"/>
      <c r="AD51" s="2206">
        <v>1</v>
      </c>
      <c r="AE51" s="2349" t="s">
        <v>28</v>
      </c>
      <c r="AF51" s="2108" t="s">
        <v>19</v>
      </c>
      <c r="AG51" s="2327"/>
      <c r="AH51" s="2206">
        <v>1</v>
      </c>
      <c r="AI51" s="2349" t="s">
        <v>28</v>
      </c>
      <c r="AJ51" s="2108" t="s">
        <v>19</v>
      </c>
      <c r="AK51" s="312"/>
      <c r="AL51" s="1338">
        <v>1</v>
      </c>
      <c r="AM51" s="1403"/>
      <c r="AN51" s="752"/>
      <c r="AO51" s="1258"/>
      <c r="AP51" s="1735"/>
      <c r="AQ51" s="1460" t="s">
        <v>63</v>
      </c>
      <c r="AR51" s="1735"/>
      <c r="AS51" s="1460" t="s">
        <v>63</v>
      </c>
      <c r="AT51" s="1349"/>
      <c r="AU51" s="2254" t="s">
        <v>489</v>
      </c>
      <c r="AV51" s="512">
        <f>STRCHECKDATE(V54:AT54)</f>
      </c>
      <c r="AW51" s="501"/>
      <c r="AX51" s="501" t="str">
        <f>IF(T51="","",T51)</f>
        <v/>
      </c>
      <c r="AY51" s="501"/>
      <c r="AZ51" s="501"/>
      <c r="BA51" s="1156">
        <v>21</v>
      </c>
    </row>
    <row customHeight="1" ht="11.549999999999999">
      <c r="A52" s="1364" t="s">
        <v>201</v>
      </c>
      <c r="B52" s="1364"/>
      <c r="C52" s="1364"/>
      <c r="D52" s="1364"/>
      <c r="E52" s="2260"/>
      <c r="F52" s="2260"/>
      <c r="G52" s="2260"/>
      <c r="H52" s="2260"/>
      <c r="I52" s="2287"/>
      <c r="J52" s="2287"/>
      <c r="K52" s="2257"/>
      <c r="L52" s="1365"/>
      <c r="P52" s="2258"/>
      <c r="Q52" s="2258"/>
      <c r="R52" s="358"/>
      <c r="S52" s="2343"/>
      <c r="T52" s="2346"/>
      <c r="U52" s="301"/>
      <c r="V52" s="1394"/>
      <c r="W52" s="1497"/>
      <c r="X52" s="1394"/>
      <c r="Y52" s="1394"/>
      <c r="Z52" s="1394"/>
      <c r="AA52" s="1394"/>
      <c r="AB52" s="2108"/>
      <c r="AC52" s="2327"/>
      <c r="AD52" s="2206"/>
      <c r="AE52" s="2349"/>
      <c r="AF52" s="2108"/>
      <c r="AG52" s="2327"/>
      <c r="AH52" s="2206"/>
      <c r="AI52" s="2349"/>
      <c r="AJ52" s="2108"/>
      <c r="AK52" s="317"/>
      <c r="AL52" s="417"/>
      <c r="AM52" s="416" t="s">
        <v>474</v>
      </c>
      <c r="AN52" s="1394"/>
      <c r="AO52" s="1497"/>
      <c r="AP52" s="1394"/>
      <c r="AQ52" s="1394"/>
      <c r="AR52" s="1394"/>
      <c r="AS52" s="1394"/>
      <c r="AT52" s="1391"/>
      <c r="AU52" s="2255"/>
      <c r="AW52" s="501"/>
      <c r="AX52" s="501"/>
      <c r="AY52" s="501"/>
      <c r="AZ52" s="501"/>
      <c r="BA52" s="1156">
        <v>11</v>
      </c>
    </row>
    <row customHeight="1" ht="11.549999999999999">
      <c r="A53" s="1364" t="s">
        <v>201</v>
      </c>
      <c r="B53" s="1364"/>
      <c r="C53" s="1364"/>
      <c r="D53" s="1364"/>
      <c r="E53" s="2260"/>
      <c r="F53" s="2260"/>
      <c r="G53" s="2260"/>
      <c r="H53" s="2260"/>
      <c r="I53" s="2287"/>
      <c r="J53" s="2287"/>
      <c r="K53" s="2257"/>
      <c r="L53" s="1365"/>
      <c r="P53" s="2258"/>
      <c r="Q53" s="2258"/>
      <c r="R53" s="358"/>
      <c r="S53" s="2343"/>
      <c r="T53" s="2346"/>
      <c r="U53" s="301"/>
      <c r="V53" s="1394"/>
      <c r="W53" s="1497"/>
      <c r="X53" s="1394"/>
      <c r="Y53" s="1394"/>
      <c r="Z53" s="1394"/>
      <c r="AA53" s="1394"/>
      <c r="AB53" s="2108"/>
      <c r="AC53" s="2327"/>
      <c r="AD53" s="2206"/>
      <c r="AE53" s="2349"/>
      <c r="AF53" s="2108"/>
      <c r="AG53" s="295"/>
      <c r="AH53" s="416"/>
      <c r="AI53" s="416" t="s">
        <v>475</v>
      </c>
      <c r="AJ53" s="1394"/>
      <c r="AK53" s="1394"/>
      <c r="AL53" s="1394"/>
      <c r="AM53" s="1394"/>
      <c r="AN53" s="1394"/>
      <c r="AO53" s="1497"/>
      <c r="AP53" s="1394"/>
      <c r="AQ53" s="1394"/>
      <c r="AR53" s="1394"/>
      <c r="AS53" s="1394"/>
      <c r="AT53" s="1391"/>
      <c r="AU53" s="2255"/>
      <c r="AW53" s="501"/>
      <c r="AX53" s="501"/>
      <c r="AY53" s="501"/>
      <c r="AZ53" s="501"/>
      <c r="BA53" s="1156">
        <v>11</v>
      </c>
    </row>
    <row customHeight="1" ht="11.549999999999999">
      <c r="A54" s="1364" t="s">
        <v>201</v>
      </c>
      <c r="B54" s="1364" t="s">
        <v>202</v>
      </c>
      <c r="C54" s="1364" t="s">
        <v>203</v>
      </c>
      <c r="D54" s="1364" t="s">
        <v>204</v>
      </c>
      <c r="E54" s="2260"/>
      <c r="F54" s="2260"/>
      <c r="G54" s="2260"/>
      <c r="H54" s="2260"/>
      <c r="I54" s="2287"/>
      <c r="J54" s="2287"/>
      <c r="K54" s="2257"/>
      <c r="L54" s="1365"/>
      <c r="P54" s="2258"/>
      <c r="Q54" s="2258"/>
      <c r="R54" s="358"/>
      <c r="S54" s="2344"/>
      <c r="T54" s="2347"/>
      <c r="U54" s="301"/>
      <c r="V54" s="1394"/>
      <c r="W54" s="1395" t="str">
        <f>X51&amp;"-"&amp;Z51</f>
        <v>-</v>
      </c>
      <c r="X54" s="1394"/>
      <c r="Y54" s="1394"/>
      <c r="Z54" s="1394"/>
      <c r="AA54" s="1394"/>
      <c r="AB54" s="2108"/>
      <c r="AC54" s="313"/>
      <c r="AD54" s="315"/>
      <c r="AE54" s="416" t="s">
        <v>476</v>
      </c>
      <c r="AF54" s="1394"/>
      <c r="AG54" s="1394"/>
      <c r="AH54" s="1394"/>
      <c r="AI54" s="1394"/>
      <c r="AJ54" s="1394"/>
      <c r="AK54" s="1394"/>
      <c r="AL54" s="1394"/>
      <c r="AM54" s="1394"/>
      <c r="AN54" s="1394"/>
      <c r="AO54" s="1395" t="str">
        <f>AP51&amp;"-"&amp;AR51</f>
        <v>-</v>
      </c>
      <c r="AP54" s="1394"/>
      <c r="AQ54" s="1394"/>
      <c r="AR54" s="1394"/>
      <c r="AS54" s="1394"/>
      <c r="AT54" s="1350"/>
      <c r="AU54" s="2255"/>
      <c r="AW54" s="501"/>
      <c r="AX54" s="501" t="str">
        <f>IF(T54="","",T54)</f>
        <v/>
      </c>
      <c r="AY54" s="501"/>
      <c r="AZ54" s="501"/>
      <c r="BA54" s="1156">
        <v>11</v>
      </c>
    </row>
    <row customHeight="1" ht="11.549999999999999">
      <c r="A55" s="1364" t="s">
        <v>201</v>
      </c>
      <c r="B55" s="1364" t="s">
        <v>202</v>
      </c>
      <c r="C55" s="1364" t="s">
        <v>203</v>
      </c>
      <c r="D55" s="1364" t="s">
        <v>204</v>
      </c>
      <c r="E55" s="2260"/>
      <c r="F55" s="2260"/>
      <c r="G55" s="2260"/>
      <c r="H55" s="2260"/>
      <c r="I55" s="2287"/>
      <c r="J55" s="2257"/>
      <c r="K55" s="1364"/>
      <c r="L55" s="1365"/>
      <c r="P55" s="2258"/>
      <c r="Q55" s="2258"/>
      <c r="R55" s="357"/>
      <c r="S55" s="1279"/>
      <c r="T55" s="288" t="s">
        <v>477</v>
      </c>
      <c r="U55" s="368"/>
      <c r="V55" s="368"/>
      <c r="W55" s="368"/>
      <c r="X55" s="368"/>
      <c r="Y55" s="368"/>
      <c r="Z55" s="368"/>
      <c r="AA55" s="325"/>
      <c r="AB55" s="1506"/>
      <c r="AC55" s="368"/>
      <c r="AD55" s="368"/>
      <c r="AE55" s="368"/>
      <c r="AF55" s="368"/>
      <c r="AG55" s="368"/>
      <c r="AH55" s="368"/>
      <c r="AI55" s="368"/>
      <c r="AJ55" s="368"/>
      <c r="AK55" s="368"/>
      <c r="AL55" s="368"/>
      <c r="AM55" s="368"/>
      <c r="AN55" s="368"/>
      <c r="AO55" s="368"/>
      <c r="AP55" s="368"/>
      <c r="AQ55" s="368"/>
      <c r="AR55" s="368"/>
      <c r="AS55" s="368"/>
      <c r="AT55" s="325"/>
      <c r="AU55" s="2256"/>
      <c r="AW55" s="501"/>
      <c r="AX55" s="501" t="str">
        <f>IF(T55="","",T55)</f>
        <v>Добавить строку</v>
      </c>
      <c r="AY55" s="501"/>
      <c r="AZ55" s="501"/>
      <c r="BA55" s="1156">
        <v>11</v>
      </c>
    </row>
    <row s="1643" customFormat="1" customHeight="1" ht="1.05">
      <c r="A56" s="1344" t="s">
        <v>201</v>
      </c>
      <c r="B56" s="1344" t="s">
        <v>202</v>
      </c>
      <c r="C56" s="1344" t="s">
        <v>203</v>
      </c>
      <c r="D56" s="1344" t="s">
        <v>204</v>
      </c>
      <c r="E56" s="2260"/>
      <c r="F56" s="2260"/>
      <c r="G56" s="2260"/>
      <c r="H56" s="2260"/>
      <c r="I56" s="2257"/>
      <c r="J56" s="1344"/>
      <c r="K56" s="1344"/>
      <c r="L56" s="1347"/>
      <c r="M56" s="511"/>
      <c r="N56" s="511"/>
      <c r="O56" s="511"/>
      <c r="P56" s="2258"/>
      <c r="Q56" s="1332"/>
      <c r="R56" s="357"/>
      <c r="S56" s="1387"/>
      <c r="T56" s="1388" t="s">
        <v>424</v>
      </c>
      <c r="U56" s="1389"/>
      <c r="V56" s="1389"/>
      <c r="W56" s="1389"/>
      <c r="X56" s="1389"/>
      <c r="Y56" s="1389"/>
      <c r="Z56" s="1389"/>
      <c r="AA56" s="1389"/>
      <c r="AB56" s="1389"/>
      <c r="AC56" s="1389"/>
      <c r="AD56" s="1389"/>
      <c r="AE56" s="1389"/>
      <c r="AF56" s="1389"/>
      <c r="AG56" s="1389"/>
      <c r="AH56" s="1389"/>
      <c r="AI56" s="1389"/>
      <c r="AJ56" s="1389"/>
      <c r="AK56" s="1389"/>
      <c r="AL56" s="1389"/>
      <c r="AM56" s="1389"/>
      <c r="AN56" s="1389"/>
      <c r="AO56" s="1389"/>
      <c r="AP56" s="1389"/>
      <c r="AQ56" s="1389"/>
      <c r="AR56" s="1389"/>
      <c r="AS56" s="1389"/>
      <c r="AT56" s="1389"/>
      <c r="AU56" s="1390"/>
      <c r="AW56" s="501"/>
      <c r="AX56" s="501" t="str">
        <f>IF(T56="","",T56)</f>
        <v>Добавить группу потребителей</v>
      </c>
      <c r="AY56" s="501"/>
      <c r="AZ56" s="501"/>
      <c r="BA56" s="512">
        <v>1</v>
      </c>
    </row>
    <row s="1642" customFormat="1" customHeight="1" ht="1.05">
      <c r="A57" s="1344" t="s">
        <v>201</v>
      </c>
      <c r="B57" s="1344" t="s">
        <v>202</v>
      </c>
      <c r="C57" s="1344" t="s">
        <v>203</v>
      </c>
      <c r="D57" s="1344" t="s">
        <v>204</v>
      </c>
      <c r="E57" s="2260"/>
      <c r="F57" s="2260"/>
      <c r="G57" s="2260"/>
      <c r="H57" s="2259"/>
      <c r="I57" s="1344"/>
      <c r="J57" s="1344"/>
      <c r="K57" s="1344"/>
      <c r="L57" s="1347"/>
      <c r="M57" s="1316"/>
      <c r="N57" s="1316"/>
      <c r="O57" s="519"/>
      <c r="P57" s="381"/>
      <c r="Q57" s="1345"/>
      <c r="R57" s="1401"/>
      <c r="S57" s="1387"/>
      <c r="T57" s="1388"/>
      <c r="U57" s="1389"/>
      <c r="V57" s="1389"/>
      <c r="W57" s="1389"/>
      <c r="X57" s="1389"/>
      <c r="Y57" s="1389"/>
      <c r="Z57" s="1389"/>
      <c r="AA57" s="1389"/>
      <c r="AB57" s="1389"/>
      <c r="AC57" s="1389"/>
      <c r="AD57" s="1389"/>
      <c r="AE57" s="1389"/>
      <c r="AF57" s="1389"/>
      <c r="AG57" s="1389"/>
      <c r="AH57" s="1389"/>
      <c r="AI57" s="1389"/>
      <c r="AJ57" s="1389"/>
      <c r="AK57" s="1389"/>
      <c r="AL57" s="1389"/>
      <c r="AM57" s="1389"/>
      <c r="AN57" s="1389"/>
      <c r="AO57" s="1389"/>
      <c r="AP57" s="1389"/>
      <c r="AQ57" s="1389"/>
      <c r="AR57" s="1389"/>
      <c r="AS57" s="1389"/>
      <c r="AT57" s="1389"/>
      <c r="AU57" s="1390"/>
      <c r="AV57" s="512"/>
      <c r="AW57" s="501"/>
      <c r="AX57" s="501" t="str">
        <f>IF(T57="","",T57)</f>
        <v/>
      </c>
      <c r="AY57" s="501"/>
      <c r="AZ57" s="501"/>
      <c r="BA57" s="497">
        <v>1</v>
      </c>
    </row>
    <row s="1643" customFormat="1" customHeight="1" ht="1.05">
      <c r="A58" s="1344" t="s">
        <v>201</v>
      </c>
      <c r="B58" s="1344" t="s">
        <v>202</v>
      </c>
      <c r="C58" s="1344" t="s">
        <v>203</v>
      </c>
      <c r="D58" s="1315"/>
      <c r="E58" s="2260"/>
      <c r="F58" s="2260"/>
      <c r="G58" s="2259"/>
      <c r="H58" s="1315"/>
      <c r="I58" s="1315"/>
      <c r="J58" s="1315"/>
      <c r="K58" s="1315"/>
      <c r="L58" s="1340"/>
      <c r="M58" s="1316"/>
      <c r="N58" s="1316"/>
      <c r="P58" s="1317"/>
      <c r="Q58" s="1318"/>
      <c r="R58" s="1317"/>
      <c r="S58" s="1323"/>
      <c r="T58" s="1326" t="s">
        <v>426</v>
      </c>
      <c r="U58" s="1325"/>
      <c r="V58" s="1325"/>
      <c r="W58" s="1325"/>
      <c r="X58" s="1325"/>
      <c r="Y58" s="1325"/>
      <c r="Z58" s="1325"/>
      <c r="AA58" s="1325"/>
      <c r="AB58" s="1325"/>
      <c r="AC58" s="1325"/>
      <c r="AD58" s="1325"/>
      <c r="AE58" s="1325"/>
      <c r="AF58" s="1325"/>
      <c r="AG58" s="1325"/>
      <c r="AH58" s="1325"/>
      <c r="AI58" s="1325"/>
      <c r="AJ58" s="1325"/>
      <c r="AK58" s="1325"/>
      <c r="AL58" s="1325"/>
      <c r="AM58" s="1325"/>
      <c r="AN58" s="1325"/>
      <c r="AO58" s="1325"/>
      <c r="AP58" s="1325"/>
      <c r="AQ58" s="1325"/>
      <c r="AR58" s="1325"/>
      <c r="AS58" s="1325"/>
      <c r="AT58" s="1325"/>
      <c r="AU58" s="1325"/>
      <c r="AW58" s="790"/>
      <c r="AX58" s="790" t="str">
        <f>IF(T58="","",T58)</f>
        <v>Добавить источник для дифференциации</v>
      </c>
      <c r="AY58" s="790"/>
      <c r="AZ58" s="790"/>
      <c r="BA58" s="519">
        <v>1</v>
      </c>
    </row>
    <row s="1643" customFormat="1" customHeight="1" ht="1.05">
      <c r="A59" s="1344" t="s">
        <v>201</v>
      </c>
      <c r="B59" s="1344" t="s">
        <v>202</v>
      </c>
      <c r="C59" s="1315"/>
      <c r="D59" s="1315"/>
      <c r="E59" s="2260"/>
      <c r="F59" s="2259"/>
      <c r="G59" s="1315"/>
      <c r="H59" s="1315"/>
      <c r="I59" s="1315"/>
      <c r="J59" s="1315"/>
      <c r="K59" s="1315"/>
      <c r="L59" s="1340"/>
      <c r="M59" s="1322"/>
      <c r="N59" s="1322"/>
      <c r="P59" s="1317"/>
      <c r="Q59" s="1318"/>
      <c r="R59" s="1317"/>
      <c r="S59" s="1323"/>
      <c r="T59" s="1326" t="s">
        <v>232</v>
      </c>
      <c r="U59" s="1325"/>
      <c r="V59" s="1325"/>
      <c r="W59" s="1325"/>
      <c r="X59" s="1325"/>
      <c r="Y59" s="1325"/>
      <c r="Z59" s="1325"/>
      <c r="AA59" s="1325"/>
      <c r="AB59" s="1325"/>
      <c r="AC59" s="1325"/>
      <c r="AD59" s="1325"/>
      <c r="AE59" s="1325"/>
      <c r="AF59" s="1325"/>
      <c r="AG59" s="1325"/>
      <c r="AH59" s="1325"/>
      <c r="AI59" s="1325"/>
      <c r="AJ59" s="1325"/>
      <c r="AK59" s="1325"/>
      <c r="AL59" s="1325"/>
      <c r="AM59" s="1325"/>
      <c r="AN59" s="1325"/>
      <c r="AO59" s="1325"/>
      <c r="AP59" s="1325"/>
      <c r="AQ59" s="1325"/>
      <c r="AR59" s="1325"/>
      <c r="AS59" s="1325"/>
      <c r="AT59" s="1325"/>
      <c r="AU59" s="1325"/>
      <c r="AW59" s="790"/>
      <c r="AX59" s="790" t="str">
        <f>IF(T59="","",T59)</f>
        <v>Добавить централизованную систему для дифференциации</v>
      </c>
      <c r="AY59" s="790"/>
      <c r="AZ59" s="790"/>
      <c r="BA59" s="519">
        <v>1</v>
      </c>
    </row>
    <row s="1643" customFormat="1" customHeight="1" ht="1.05">
      <c r="A60" s="1344" t="s">
        <v>201</v>
      </c>
      <c r="B60" s="1344"/>
      <c r="C60" s="1344"/>
      <c r="D60" s="1344"/>
      <c r="E60" s="2260"/>
      <c r="F60" s="1344"/>
      <c r="G60" s="1344"/>
      <c r="H60" s="1344"/>
      <c r="I60" s="1344"/>
      <c r="J60" s="1344"/>
      <c r="K60" s="1344"/>
      <c r="L60" s="1347"/>
      <c r="M60" s="1322"/>
      <c r="N60" s="1322"/>
      <c r="O60" s="519"/>
      <c r="P60" s="381"/>
      <c r="Q60" s="1345"/>
      <c r="R60" s="381"/>
      <c r="S60" s="1323"/>
      <c r="T60" s="1326" t="s">
        <v>233</v>
      </c>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W60" s="501"/>
      <c r="AX60" s="501" t="str">
        <f>IF(T60="","",T60)</f>
        <v>Добавить территорию для дифференциации</v>
      </c>
      <c r="AY60" s="501"/>
      <c r="AZ60" s="501"/>
      <c r="BA60" s="512">
        <v>1</v>
      </c>
    </row>
    <row s="1643" customFormat="1" customHeight="1" ht="1.05">
      <c r="A61" s="1344" t="s">
        <v>201</v>
      </c>
      <c r="B61" s="1344"/>
      <c r="C61" s="1344"/>
      <c r="D61" s="1344"/>
      <c r="E61" s="2259"/>
      <c r="F61" s="1344"/>
      <c r="G61" s="1344"/>
      <c r="H61" s="1344"/>
      <c r="I61" s="1344"/>
      <c r="J61" s="1344"/>
      <c r="K61" s="1344"/>
      <c r="L61" s="1347"/>
      <c r="M61" s="1322"/>
      <c r="N61" s="1322"/>
      <c r="O61" s="519"/>
      <c r="P61" s="381"/>
      <c r="Q61" s="1345"/>
      <c r="R61" s="381"/>
      <c r="S61" s="1323"/>
      <c r="T61" s="1326" t="s">
        <v>233</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W61" s="501"/>
      <c r="AX61" s="501" t="str">
        <f>IF(T61="","",T61)</f>
        <v>Добавить территорию для дифференциации</v>
      </c>
      <c r="AY61" s="501"/>
      <c r="AZ61" s="501"/>
      <c r="BA61" s="512">
        <v>1</v>
      </c>
    </row>
    <row s="1643" customFormat="1" customHeight="1" ht="1.05">
      <c r="A62" s="1315"/>
      <c r="B62" s="1315"/>
      <c r="C62" s="1315"/>
      <c r="D62" s="1315"/>
      <c r="E62" s="1344"/>
      <c r="F62" s="1315"/>
      <c r="G62" s="1315"/>
      <c r="H62" s="1315"/>
      <c r="I62" s="1315"/>
      <c r="J62" s="1315"/>
      <c r="K62" s="1315"/>
      <c r="L62" s="1340"/>
      <c r="M62" s="1322"/>
      <c r="N62" s="1322"/>
      <c r="P62" s="1317"/>
      <c r="Q62" s="1318"/>
      <c r="R62" s="1317"/>
      <c r="S62" s="1323"/>
      <c r="T62" s="1326" t="s">
        <v>240</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W62" s="790"/>
      <c r="AX62" s="790" t="str">
        <f>IF(T62="","",T62)</f>
        <v>Добавить наименование тарифа</v>
      </c>
      <c r="AY62" s="790"/>
      <c r="AZ62" s="790"/>
      <c r="BA62" s="519">
        <v>1</v>
      </c>
    </row>
    <row customHeight="1" ht="11.549999999999999">
      <c r="M63" s="1161"/>
      <c r="N63" s="1161"/>
      <c r="O63" s="538"/>
      <c r="P63" s="1161"/>
      <c r="Q63" s="1161"/>
      <c r="R63" s="1156"/>
      <c r="S63" s="1156"/>
      <c r="AV63" s="1156"/>
      <c r="AW63" s="1156"/>
      <c r="AX63" s="1156"/>
      <c r="AY63" s="1156"/>
      <c r="AZ63" s="1156"/>
      <c r="BA63" s="1156">
        <v>11</v>
      </c>
    </row>
    <row customHeight="1" ht="19.9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N64" s="2286"/>
      <c r="AO64" s="2286"/>
      <c r="AP64" s="2286"/>
      <c r="AQ64" s="2286"/>
      <c r="AR64" s="2286"/>
      <c r="AS64" s="2286"/>
      <c r="AT64" s="2286"/>
      <c r="AU64" s="2286"/>
      <c r="BA64" s="1156">
        <v>19</v>
      </c>
    </row>
    <row customHeight="1" ht="21">
      <c r="O65" s="538"/>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BA65" s="1156">
        <v>20</v>
      </c>
    </row>
    <row customHeight="1" ht="14.699999999999998">
      <c r="O66" s="538"/>
      <c r="T66" s="1334"/>
      <c r="U66" s="1334"/>
      <c r="V66" s="1334"/>
      <c r="W66" s="1334"/>
      <c r="X66" s="1334"/>
      <c r="Y66" s="1334"/>
      <c r="Z66" s="1334"/>
      <c r="AA66" s="1334"/>
      <c r="AB66" s="1334"/>
      <c r="AC66" s="1334"/>
      <c r="AD66" s="1334"/>
      <c r="AE66" s="1334"/>
      <c r="AF66" s="1334"/>
      <c r="AG66" s="1334"/>
      <c r="AH66" s="1334"/>
      <c r="AI66" s="1334"/>
      <c r="AJ66" s="1334"/>
      <c r="AK66" s="1334"/>
      <c r="AL66" s="1334"/>
      <c r="AM66" s="1334"/>
      <c r="AN66" s="1334"/>
      <c r="AO66" s="1334"/>
      <c r="AP66" s="1334"/>
      <c r="AQ66" s="1334"/>
      <c r="AR66" s="1334"/>
      <c r="AS66" s="1334"/>
      <c r="AT66" s="1334"/>
      <c r="AU66" s="1334"/>
      <c r="BA66" s="1156">
        <v>14</v>
      </c>
    </row>
    <row customHeight="1" ht="19.95">
      <c r="O67" s="538"/>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BA67" s="1156">
        <v>19</v>
      </c>
    </row>
    <row customHeight="1" ht="16.8">
      <c r="O68" s="538"/>
      <c r="T68" s="2286"/>
      <c r="U68" s="2286"/>
      <c r="V68" s="2286"/>
      <c r="W68" s="2286"/>
      <c r="X68" s="2286"/>
      <c r="Y68" s="2286"/>
      <c r="Z68" s="2286"/>
      <c r="AA68" s="2286"/>
      <c r="AB68" s="2286"/>
      <c r="AC68" s="2286"/>
      <c r="AD68" s="2286"/>
      <c r="AE68" s="2286"/>
      <c r="AF68" s="2286"/>
      <c r="AG68" s="2286"/>
      <c r="AH68" s="2286"/>
      <c r="AI68" s="2286"/>
      <c r="AJ68" s="2286"/>
      <c r="AK68" s="2286"/>
      <c r="AL68" s="2286"/>
      <c r="AM68" s="2286"/>
      <c r="AN68" s="2286"/>
      <c r="AO68" s="2286"/>
      <c r="AP68" s="2286"/>
      <c r="AQ68" s="2286"/>
      <c r="AR68" s="2286"/>
      <c r="AS68" s="2286"/>
      <c r="AT68" s="2286"/>
      <c r="AU68" s="2286"/>
      <c r="BA68" s="1156">
        <v>16</v>
      </c>
    </row>
    <row customHeight="1" ht="14.699999999999998">
      <c r="O69" s="538"/>
      <c r="BA69" s="1156">
        <v>14</v>
      </c>
    </row>
    <row customHeight="1" ht="22.5" hidden="1">
      <c r="A70" s="1161" t="s">
        <v>84</v>
      </c>
      <c r="B70" s="1161">
        <v>0</v>
      </c>
      <c r="C70" s="1161">
        <v>0</v>
      </c>
      <c r="D70" s="1161">
        <v>0</v>
      </c>
      <c r="E70" s="1161">
        <v>0</v>
      </c>
      <c r="F70" s="1161">
        <v>0</v>
      </c>
      <c r="G70" s="1161">
        <v>0</v>
      </c>
      <c r="H70" s="1161">
        <v>0</v>
      </c>
      <c r="I70" s="1161">
        <v>0</v>
      </c>
      <c r="J70" s="1161">
        <v>0</v>
      </c>
      <c r="K70" s="1161">
        <v>0</v>
      </c>
      <c r="L70" s="1330">
        <v>0</v>
      </c>
      <c r="M70" s="1363">
        <v>0</v>
      </c>
      <c r="N70" s="1363">
        <v>0</v>
      </c>
      <c r="O70" s="1363">
        <v>0</v>
      </c>
      <c r="P70" s="1363">
        <v>3</v>
      </c>
      <c r="Q70" s="1372">
        <v>3</v>
      </c>
      <c r="R70" s="345">
        <v>3</v>
      </c>
      <c r="S70" s="582">
        <v>12</v>
      </c>
      <c r="T70" s="1156">
        <v>31</v>
      </c>
      <c r="U70" s="1156">
        <v>0</v>
      </c>
      <c r="V70" s="1156">
        <v>0</v>
      </c>
      <c r="W70" s="1156">
        <v>0</v>
      </c>
      <c r="X70" s="1156">
        <v>0</v>
      </c>
      <c r="Y70" s="1156">
        <v>0</v>
      </c>
      <c r="Z70" s="1156">
        <v>0</v>
      </c>
      <c r="AA70" s="1156">
        <v>0</v>
      </c>
      <c r="AB70" s="1156">
        <v>5</v>
      </c>
      <c r="AC70" s="1156">
        <v>3</v>
      </c>
      <c r="AD70" s="1156">
        <v>3</v>
      </c>
      <c r="AE70" s="1156">
        <v>24</v>
      </c>
      <c r="AF70" s="1156">
        <v>3</v>
      </c>
      <c r="AG70" s="1156">
        <v>3</v>
      </c>
      <c r="AH70" s="1156">
        <v>3</v>
      </c>
      <c r="AI70" s="1156">
        <v>24</v>
      </c>
      <c r="AJ70" s="1156">
        <v>3</v>
      </c>
      <c r="AK70" s="1156">
        <v>3</v>
      </c>
      <c r="AL70" s="1156">
        <v>3</v>
      </c>
      <c r="AM70" s="1156">
        <v>18</v>
      </c>
      <c r="AN70" s="1156">
        <v>21</v>
      </c>
      <c r="AO70" s="1156">
        <v>21</v>
      </c>
      <c r="AP70" s="1156">
        <v>11</v>
      </c>
      <c r="AQ70" s="1156">
        <v>3</v>
      </c>
      <c r="AR70" s="1156">
        <v>11</v>
      </c>
      <c r="AS70" s="1156">
        <v>8</v>
      </c>
      <c r="AT70" s="1156">
        <v>4</v>
      </c>
      <c r="AU70" s="1156">
        <v>115</v>
      </c>
      <c r="AV70" s="512">
        <v>10</v>
      </c>
      <c r="AW70" s="512">
        <v>10</v>
      </c>
      <c r="AX70" s="512">
        <v>10</v>
      </c>
      <c r="AY70" s="512">
        <v>10</v>
      </c>
      <c r="AZ70" s="512">
        <v>10</v>
      </c>
      <c r="BA70" s="1156">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errorTitle="Ошибка" error="Выберите значение из списка" sqref="V42:W42"/>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CDA1ABC-5AAE-57F4-6212-0.D03C06C1}" mc:Ignorable="x14ac xr xr2 xr3">
  <sheetPr>
    <tabColor theme="6" tint="0.4"/>
  </sheetPr>
  <dimension ref="A1:AX70"/>
  <sheetViews>
    <sheetView topLeftCell="A1" showGridLines="0" zoomScale="90" workbookViewId="0">
      <selection activeCell="AO60" sqref="AO60"/>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customWidth="1"/>
    <col min="42" max="42" style="65" width="10.57421875" hidden="1"/>
    <col min="43" max="43" style="1636" width="4.00390625" customWidth="1"/>
    <col min="44" max="44" style="1636" width="115.00390625" customWidth="1"/>
    <col min="45" max="49" style="1643" width="10.00390625" customWidth="1"/>
    <col min="50" max="50" style="1636" width="10.57421875" hidden="1"/>
  </cols>
  <sheetData>
    <row customHeight="1" ht="22.5" hidden="1">
      <c r="X1" s="328"/>
      <c r="Y1" s="328"/>
      <c r="AE1" s="328"/>
      <c r="AF1" s="328"/>
      <c r="AJ1" s="1636"/>
      <c r="AK1" s="1636"/>
      <c r="AL1" s="1636"/>
      <c r="AM1" s="1636"/>
      <c r="AN1" s="1636"/>
      <c r="AO1" s="1636"/>
      <c r="AP1" s="2819"/>
      <c r="AX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26">
        <f>INDEX(PT_DIFFERENTIATION_NUM_NTAR,MATCH(A2,PT_DIFFERENTIATION_NTAR_ID,0))</f>
      </c>
      <c r="T2" s="299" t="s">
        <v>126</v>
      </c>
      <c r="U2" s="301"/>
      <c r="V2" s="2243"/>
      <c r="W2" s="2244"/>
      <c r="X2" s="2244"/>
      <c r="Y2" s="2244"/>
      <c r="Z2" s="2244"/>
      <c r="AA2" s="2244"/>
      <c r="AB2" s="2245"/>
      <c r="AC2" s="2243">
        <f>INDEX(PT_DIFFERENTIATION_NTAR,MATCH(A2,PT_DIFFERENTIATION_NTAR_ID,0))</f>
      </c>
      <c r="AD2" s="2244"/>
      <c r="AE2" s="2244"/>
      <c r="AF2" s="2244"/>
      <c r="AG2" s="2244"/>
      <c r="AH2" s="2244"/>
      <c r="AI2" s="2244"/>
      <c r="AJ2" s="2243"/>
      <c r="AK2" s="2244"/>
      <c r="AL2" s="2244"/>
      <c r="AM2" s="2244"/>
      <c r="AN2" s="2244"/>
      <c r="AO2" s="2244"/>
      <c r="AP2" s="2820"/>
      <c r="AQ2" s="2245"/>
      <c r="AR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T2" s="501"/>
      <c r="AU2" s="501" t="str">
        <f>IF(T2="","",T2)</f>
        <v>Наименование тарифа</v>
      </c>
      <c r="AV2" s="501"/>
      <c r="AW2" s="501"/>
      <c r="AX2" s="1156">
        <v>0</v>
      </c>
    </row>
    <row customHeight="1" ht="23.25" hidden="1">
      <c r="A3" s="1364"/>
      <c r="B3" s="1364"/>
      <c r="C3" s="1364"/>
      <c r="D3" s="1364"/>
      <c r="E3" s="2260"/>
      <c r="F3" s="2259">
        <v>1</v>
      </c>
      <c r="G3" s="1364"/>
      <c r="H3" s="1364"/>
      <c r="I3" s="1364"/>
      <c r="J3" s="1364"/>
      <c r="K3" s="1364"/>
      <c r="L3" s="1365"/>
      <c r="M3" s="1366"/>
      <c r="N3" s="1366"/>
      <c r="O3" s="1366"/>
      <c r="P3" s="1424"/>
      <c r="Q3" s="353"/>
      <c r="R3" s="354"/>
      <c r="S3" s="1426">
        <f>INDEX(PT_DIFFERENTIATION_NUM_TER,MATCH(B3,PT_DIFFERENTIATION_TER_ID,0))</f>
      </c>
      <c r="T3" s="309" t="s">
        <v>409</v>
      </c>
      <c r="U3" s="301"/>
      <c r="V3" s="2243"/>
      <c r="W3" s="2244"/>
      <c r="X3" s="2244"/>
      <c r="Y3" s="2244"/>
      <c r="Z3" s="2244"/>
      <c r="AA3" s="2244"/>
      <c r="AB3" s="2245"/>
      <c r="AC3" s="2243">
        <f>INDEX(PT_DIFFERENTIATION_TER,MATCH(B3,PT_DIFFERENTIATION_TER_ID,0))</f>
      </c>
      <c r="AD3" s="2244"/>
      <c r="AE3" s="2244"/>
      <c r="AF3" s="2244"/>
      <c r="AG3" s="2244"/>
      <c r="AH3" s="2244"/>
      <c r="AI3" s="2244"/>
      <c r="AJ3" s="2243"/>
      <c r="AK3" s="2244"/>
      <c r="AL3" s="2244"/>
      <c r="AM3" s="2244"/>
      <c r="AN3" s="2244"/>
      <c r="AO3" s="2244"/>
      <c r="AP3" s="2820"/>
      <c r="AQ3" s="2245"/>
      <c r="AR3" s="1259" t="s">
        <v>410</v>
      </c>
      <c r="AT3" s="501"/>
      <c r="AU3" s="501" t="str">
        <f>IF(T3="","",T3)</f>
        <v>Территория действия тарифа</v>
      </c>
      <c r="AV3" s="501"/>
      <c r="AW3" s="501"/>
      <c r="AX3" s="1156">
        <v>0</v>
      </c>
    </row>
    <row customHeight="1" ht="23.25" hidden="1">
      <c r="A4" s="1364"/>
      <c r="B4" s="1364"/>
      <c r="C4" s="1364"/>
      <c r="D4" s="1364"/>
      <c r="E4" s="2260"/>
      <c r="F4" s="2260"/>
      <c r="G4" s="2259">
        <v>1</v>
      </c>
      <c r="H4" s="1364"/>
      <c r="I4" s="1364"/>
      <c r="J4" s="1364"/>
      <c r="K4" s="1364"/>
      <c r="L4" s="1365"/>
      <c r="M4" s="1366"/>
      <c r="N4" s="1366"/>
      <c r="O4" s="1366"/>
      <c r="P4" s="355"/>
      <c r="Q4" s="353"/>
      <c r="R4" s="354"/>
      <c r="S4" s="1426">
        <f>INDEX(PT_DIFFERENTIATION_NUM_CS,MATCH(C4,PT_DIFFERENTIATION_CS_ID,0))</f>
      </c>
      <c r="T4" s="310" t="s">
        <v>490</v>
      </c>
      <c r="U4" s="301"/>
      <c r="V4" s="2243"/>
      <c r="W4" s="2244"/>
      <c r="X4" s="2244"/>
      <c r="Y4" s="2244"/>
      <c r="Z4" s="2244"/>
      <c r="AA4" s="2244"/>
      <c r="AB4" s="2245"/>
      <c r="AC4" s="2243">
        <f>INDEX(PT_DIFFERENTIATION_CS,MATCH(C4,PT_DIFFERENTIATION_CS_ID,0))</f>
      </c>
      <c r="AD4" s="2244"/>
      <c r="AE4" s="2244"/>
      <c r="AF4" s="2244"/>
      <c r="AG4" s="2244"/>
      <c r="AH4" s="2244"/>
      <c r="AI4" s="2244"/>
      <c r="AJ4" s="2243"/>
      <c r="AK4" s="2244"/>
      <c r="AL4" s="2244"/>
      <c r="AM4" s="2244"/>
      <c r="AN4" s="2244"/>
      <c r="AO4" s="2244"/>
      <c r="AP4" s="2820"/>
      <c r="AQ4" s="2245"/>
      <c r="AR4" s="1259" t="s">
        <v>491</v>
      </c>
      <c r="AT4" s="501"/>
      <c r="AU4" s="501" t="str">
        <f>IF(T4="","",T4)</f>
        <v>Наименование централизованной системы холодного водоснабжения</v>
      </c>
      <c r="AV4" s="501"/>
      <c r="AW4" s="501"/>
      <c r="AX4" s="1156">
        <v>0</v>
      </c>
    </row>
    <row customHeight="1" ht="23.25" hidden="1">
      <c r="A5" s="1364"/>
      <c r="B5" s="1364"/>
      <c r="C5" s="1364"/>
      <c r="D5" s="1364"/>
      <c r="E5" s="2260"/>
      <c r="F5" s="2260"/>
      <c r="G5" s="2260"/>
      <c r="H5" s="2260"/>
      <c r="I5" s="2257">
        <f>S4&amp;".1"</f>
      </c>
      <c r="J5" s="1364"/>
      <c r="K5" s="1364"/>
      <c r="L5" s="1365"/>
      <c r="P5" s="2258">
        <v>1</v>
      </c>
      <c r="Q5" s="1423"/>
      <c r="R5" s="357"/>
      <c r="S5" s="1426">
        <f>$I5</f>
      </c>
      <c r="T5" s="286" t="s">
        <v>492</v>
      </c>
      <c r="U5" s="301"/>
      <c r="V5" s="2351"/>
      <c r="W5" s="2352"/>
      <c r="X5" s="2352"/>
      <c r="Y5" s="2352"/>
      <c r="Z5" s="2352"/>
      <c r="AA5" s="2352"/>
      <c r="AB5" s="2353"/>
      <c r="AC5" s="2354"/>
      <c r="AD5" s="2355"/>
      <c r="AE5" s="2355"/>
      <c r="AF5" s="2355"/>
      <c r="AG5" s="2355"/>
      <c r="AH5" s="2355"/>
      <c r="AI5" s="2355"/>
      <c r="AJ5" s="2351"/>
      <c r="AK5" s="2352"/>
      <c r="AL5" s="2352"/>
      <c r="AM5" s="2352"/>
      <c r="AN5" s="2352"/>
      <c r="AO5" s="2352"/>
      <c r="AP5" s="2821"/>
      <c r="AQ5" s="2356"/>
      <c r="AR5" s="1259" t="s">
        <v>493</v>
      </c>
      <c r="AT5" s="501"/>
      <c r="AU5" s="501" t="str">
        <f>IF(T5="","",T5)</f>
        <v>Наименование признака дифференциации</v>
      </c>
      <c r="AV5" s="501"/>
      <c r="AW5" s="501"/>
      <c r="AX5" s="1156">
        <v>0</v>
      </c>
    </row>
    <row customHeight="1" ht="23.25" hidden="1">
      <c r="A6" s="1364"/>
      <c r="B6" s="1364"/>
      <c r="C6" s="1364"/>
      <c r="D6" s="1364"/>
      <c r="E6" s="2260"/>
      <c r="F6" s="2260"/>
      <c r="G6" s="2260"/>
      <c r="H6" s="2260"/>
      <c r="I6" s="2287"/>
      <c r="J6" s="2257">
        <f>I5&amp;".1"</f>
      </c>
      <c r="K6" s="1364"/>
      <c r="L6" s="1365" t="s">
        <v>418</v>
      </c>
      <c r="P6" s="2258"/>
      <c r="Q6" s="2258">
        <v>1</v>
      </c>
      <c r="R6" s="358"/>
      <c r="S6" s="1426">
        <f>$J6</f>
      </c>
      <c r="T6" s="287" t="s">
        <v>419</v>
      </c>
      <c r="U6" s="301"/>
      <c r="V6" s="2246"/>
      <c r="W6" s="2247"/>
      <c r="X6" s="2247"/>
      <c r="Y6" s="2247"/>
      <c r="Z6" s="2247"/>
      <c r="AA6" s="2247"/>
      <c r="AB6" s="2248"/>
      <c r="AC6" s="2246"/>
      <c r="AD6" s="2247"/>
      <c r="AE6" s="2247"/>
      <c r="AF6" s="2247"/>
      <c r="AG6" s="2247"/>
      <c r="AH6" s="2247"/>
      <c r="AI6" s="2247"/>
      <c r="AJ6" s="2246"/>
      <c r="AK6" s="2247"/>
      <c r="AL6" s="2247"/>
      <c r="AM6" s="2247"/>
      <c r="AN6" s="2247"/>
      <c r="AO6" s="2247"/>
      <c r="AP6" s="2822"/>
      <c r="AQ6" s="2248"/>
      <c r="AR6" s="1308" t="s">
        <v>494</v>
      </c>
      <c r="AT6" s="501"/>
      <c r="AU6" s="501" t="str">
        <f>IF(T6="","",T6)</f>
        <v>Группа потребителей</v>
      </c>
      <c r="AV6" s="501"/>
      <c r="AW6" s="501"/>
      <c r="AX6" s="1156">
        <v>0</v>
      </c>
    </row>
    <row customHeight="1" ht="23.25" hidden="1">
      <c r="A7" s="1364"/>
      <c r="B7" s="1364"/>
      <c r="C7" s="1364"/>
      <c r="D7" s="1364"/>
      <c r="E7" s="2260"/>
      <c r="F7" s="2260"/>
      <c r="G7" s="2260"/>
      <c r="H7" s="2260"/>
      <c r="I7" s="2287"/>
      <c r="J7" s="2287"/>
      <c r="K7" s="2257">
        <f>J6&amp;".1"</f>
      </c>
      <c r="L7" s="1365"/>
      <c r="P7" s="2258"/>
      <c r="Q7" s="2258"/>
      <c r="R7" s="358">
        <v>1</v>
      </c>
      <c r="S7" s="1426">
        <f>$K7</f>
      </c>
      <c r="T7" s="1438"/>
      <c r="U7" s="301"/>
      <c r="V7" s="752"/>
      <c r="W7" s="752"/>
      <c r="X7" s="1258"/>
      <c r="Y7" s="2266"/>
      <c r="Z7" s="2108" t="s">
        <v>63</v>
      </c>
      <c r="AA7" s="2266"/>
      <c r="AB7" s="2108" t="s">
        <v>63</v>
      </c>
      <c r="AC7" s="752"/>
      <c r="AD7" s="752"/>
      <c r="AE7" s="1258"/>
      <c r="AF7" s="2266"/>
      <c r="AG7" s="2108" t="s">
        <v>63</v>
      </c>
      <c r="AH7" s="2288"/>
      <c r="AI7" s="2108" t="s">
        <v>63</v>
      </c>
      <c r="AJ7" s="752"/>
      <c r="AK7" s="752"/>
      <c r="AL7" s="1258"/>
      <c r="AM7" s="2603"/>
      <c r="AN7" s="2108" t="s">
        <v>63</v>
      </c>
      <c r="AO7" s="2603"/>
      <c r="AP7" s="2823" t="s">
        <v>63</v>
      </c>
      <c r="AQ7" s="1439"/>
      <c r="AR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S7" s="512">
        <f>STRCHECKDATE(V8:AQ8)</f>
      </c>
      <c r="AT7" s="501"/>
      <c r="AU7" s="501" t="str">
        <f>IF(T7="","",T7)</f>
        <v/>
      </c>
      <c r="AV7" s="501"/>
      <c r="AW7" s="501"/>
      <c r="AX7" s="1156">
        <v>0</v>
      </c>
    </row>
    <row customHeight="1" ht="14.25" hidden="1">
      <c r="A8" s="1364"/>
      <c r="B8" s="1364"/>
      <c r="C8" s="1364"/>
      <c r="D8" s="1364"/>
      <c r="E8" s="2260"/>
      <c r="F8" s="2260"/>
      <c r="G8" s="2260"/>
      <c r="H8" s="2260"/>
      <c r="I8" s="2287"/>
      <c r="J8" s="2287"/>
      <c r="K8" s="2257"/>
      <c r="L8" s="1365"/>
      <c r="P8" s="2258"/>
      <c r="Q8" s="2258"/>
      <c r="R8" s="358"/>
      <c r="S8" s="1425"/>
      <c r="T8" s="301"/>
      <c r="U8" s="301"/>
      <c r="V8" s="326"/>
      <c r="W8" s="326"/>
      <c r="X8" s="329" t="str">
        <f>Y7&amp;"-"&amp;AA7</f>
        <v>-</v>
      </c>
      <c r="Y8" s="2267"/>
      <c r="Z8" s="2108"/>
      <c r="AA8" s="2267"/>
      <c r="AB8" s="2108"/>
      <c r="AC8" s="326"/>
      <c r="AD8" s="326"/>
      <c r="AE8" s="329" t="str">
        <f>AF7&amp;"-"&amp;AH7</f>
        <v>-</v>
      </c>
      <c r="AF8" s="2267"/>
      <c r="AG8" s="2108"/>
      <c r="AH8" s="2289"/>
      <c r="AI8" s="2108"/>
      <c r="AJ8" s="326"/>
      <c r="AK8" s="326"/>
      <c r="AL8" s="329" t="str">
        <f>AM7&amp;"-"&amp;AO7</f>
        <v>-</v>
      </c>
      <c r="AM8" s="2310"/>
      <c r="AN8" s="2108"/>
      <c r="AO8" s="2310"/>
      <c r="AP8" s="2108"/>
      <c r="AQ8" s="1440"/>
      <c r="AR8" s="2350"/>
      <c r="AT8" s="501"/>
      <c r="AU8" s="501" t="str">
        <f>IF(T8="","",T8)</f>
        <v/>
      </c>
      <c r="AV8" s="501"/>
      <c r="AW8" s="501"/>
      <c r="AX8" s="1156">
        <v>0</v>
      </c>
    </row>
    <row customHeight="1" ht="21" hidden="1">
      <c r="A9" s="1364"/>
      <c r="B9" s="1364"/>
      <c r="C9" s="1364"/>
      <c r="D9" s="1364"/>
      <c r="E9" s="2260"/>
      <c r="F9" s="2260"/>
      <c r="G9" s="2260"/>
      <c r="H9" s="2260"/>
      <c r="I9" s="2287"/>
      <c r="J9" s="2257"/>
      <c r="K9" s="1364"/>
      <c r="L9" s="1365"/>
      <c r="P9" s="2258"/>
      <c r="Q9" s="2258"/>
      <c r="R9" s="357"/>
      <c r="S9" s="1279"/>
      <c r="T9" s="288" t="s">
        <v>495</v>
      </c>
      <c r="U9" s="368"/>
      <c r="V9" s="368"/>
      <c r="W9" s="368"/>
      <c r="X9" s="368"/>
      <c r="Y9" s="368"/>
      <c r="Z9" s="368"/>
      <c r="AA9" s="368"/>
      <c r="AB9" s="368"/>
      <c r="AC9" s="368"/>
      <c r="AD9" s="368"/>
      <c r="AE9" s="368"/>
      <c r="AF9" s="368"/>
      <c r="AG9" s="368"/>
      <c r="AH9" s="368"/>
      <c r="AI9" s="368"/>
      <c r="AJ9" s="2672"/>
      <c r="AK9" s="2673"/>
      <c r="AL9" s="2674"/>
      <c r="AM9" s="2675"/>
      <c r="AN9" s="2676"/>
      <c r="AO9" s="2677"/>
      <c r="AP9" s="2824"/>
      <c r="AQ9" s="368"/>
      <c r="AR9" s="1259" t="s">
        <v>496</v>
      </c>
      <c r="AT9" s="501"/>
      <c r="AU9" s="501" t="str">
        <f>IF(T9="","",T9)</f>
        <v>Добавить значение признака дифференциации</v>
      </c>
      <c r="AV9" s="501"/>
      <c r="AW9" s="501"/>
      <c r="AX9" s="1156">
        <v>0</v>
      </c>
    </row>
    <row customHeight="1" ht="21" hidden="1">
      <c r="A10" s="1364"/>
      <c r="B10" s="1364"/>
      <c r="C10" s="1364"/>
      <c r="D10" s="1364"/>
      <c r="E10" s="2260"/>
      <c r="F10" s="2260"/>
      <c r="G10" s="2260"/>
      <c r="H10" s="2260"/>
      <c r="I10" s="2257"/>
      <c r="J10" s="1364"/>
      <c r="K10" s="1364"/>
      <c r="L10" s="1365"/>
      <c r="P10" s="2258"/>
      <c r="Q10" s="1423"/>
      <c r="R10" s="357"/>
      <c r="S10" s="1279"/>
      <c r="T10" s="366" t="s">
        <v>424</v>
      </c>
      <c r="U10" s="368"/>
      <c r="V10" s="368"/>
      <c r="W10" s="368"/>
      <c r="X10" s="368"/>
      <c r="Y10" s="368"/>
      <c r="Z10" s="368"/>
      <c r="AA10" s="368"/>
      <c r="AB10" s="367"/>
      <c r="AC10" s="368"/>
      <c r="AD10" s="368"/>
      <c r="AE10" s="368"/>
      <c r="AF10" s="368"/>
      <c r="AG10" s="368"/>
      <c r="AH10" s="368"/>
      <c r="AI10" s="367"/>
      <c r="AJ10" s="2679"/>
      <c r="AK10" s="2680"/>
      <c r="AL10" s="2681"/>
      <c r="AM10" s="2682"/>
      <c r="AN10" s="2683"/>
      <c r="AO10" s="2684"/>
      <c r="AP10" s="2825"/>
      <c r="AQ10" s="368"/>
      <c r="AR10" s="1441"/>
      <c r="AT10" s="501"/>
      <c r="AU10" s="501" t="str">
        <f>IF(T10="","",T10)</f>
        <v>Добавить группу потребителей</v>
      </c>
      <c r="AV10" s="501"/>
      <c r="AW10" s="501"/>
      <c r="AX10" s="1156">
        <v>0</v>
      </c>
    </row>
    <row customHeight="1" ht="14.25" hidden="1">
      <c r="A11" s="1364"/>
      <c r="B11" s="1364"/>
      <c r="C11" s="1364"/>
      <c r="D11" s="1364"/>
      <c r="E11" s="2260"/>
      <c r="F11" s="2260"/>
      <c r="G11" s="2260"/>
      <c r="H11" s="2259"/>
      <c r="I11" s="1364"/>
      <c r="J11" s="1364"/>
      <c r="K11" s="1364"/>
      <c r="L11" s="1365"/>
      <c r="M11" s="1366"/>
      <c r="N11" s="1366"/>
      <c r="O11" s="538"/>
      <c r="P11" s="361"/>
      <c r="Q11" s="376"/>
      <c r="R11" s="356"/>
      <c r="S11" s="1279"/>
      <c r="T11" s="373" t="s">
        <v>497</v>
      </c>
      <c r="U11" s="368"/>
      <c r="V11" s="368"/>
      <c r="W11" s="368"/>
      <c r="X11" s="368"/>
      <c r="Y11" s="368"/>
      <c r="Z11" s="368"/>
      <c r="AA11" s="368"/>
      <c r="AB11" s="367"/>
      <c r="AC11" s="368"/>
      <c r="AD11" s="368"/>
      <c r="AE11" s="368"/>
      <c r="AF11" s="368"/>
      <c r="AG11" s="368"/>
      <c r="AH11" s="368"/>
      <c r="AI11" s="367"/>
      <c r="AJ11" s="2686"/>
      <c r="AK11" s="2687"/>
      <c r="AL11" s="2688"/>
      <c r="AM11" s="2689"/>
      <c r="AN11" s="2690"/>
      <c r="AO11" s="2691"/>
      <c r="AP11" s="2826"/>
      <c r="AQ11" s="368"/>
      <c r="AR11" s="304"/>
      <c r="AT11" s="501"/>
      <c r="AU11" s="501" t="str">
        <f>IF(T11="","",T11)</f>
        <v>Добавить наименование признака дифференциации</v>
      </c>
      <c r="AV11" s="501"/>
      <c r="AW11" s="501"/>
      <c r="AX11" s="1156">
        <v>0</v>
      </c>
    </row>
    <row s="1643" customFormat="1" customHeight="1" ht="14.25" hidden="1">
      <c r="A12" s="1344"/>
      <c r="B12" s="1344"/>
      <c r="C12" s="1315"/>
      <c r="D12" s="1315"/>
      <c r="E12" s="2260"/>
      <c r="F12" s="2259"/>
      <c r="G12" s="1315"/>
      <c r="H12" s="1315"/>
      <c r="I12" s="1315"/>
      <c r="J12" s="1315"/>
      <c r="K12" s="1315"/>
      <c r="L12" s="1427"/>
      <c r="M12" s="1322"/>
      <c r="N12" s="1322"/>
      <c r="P12" s="1317"/>
      <c r="Q12" s="1318"/>
      <c r="R12" s="1317"/>
      <c r="S12" s="1323"/>
      <c r="T12" s="1326" t="s">
        <v>232</v>
      </c>
      <c r="U12" s="1325"/>
      <c r="V12" s="1325"/>
      <c r="W12" s="1325"/>
      <c r="X12" s="1325"/>
      <c r="Y12" s="1325"/>
      <c r="Z12" s="1325"/>
      <c r="AA12" s="1325"/>
      <c r="AB12" s="1325"/>
      <c r="AC12" s="1325"/>
      <c r="AD12" s="1325"/>
      <c r="AE12" s="1325"/>
      <c r="AF12" s="1325"/>
      <c r="AG12" s="1325"/>
      <c r="AH12" s="1325"/>
      <c r="AI12" s="1325"/>
      <c r="AJ12" s="1325"/>
      <c r="AK12" s="1325"/>
      <c r="AL12" s="1325"/>
      <c r="AM12" s="1325"/>
      <c r="AN12" s="1325"/>
      <c r="AO12" s="1325"/>
      <c r="AP12" s="2827"/>
      <c r="AQ12" s="1325"/>
      <c r="AR12" s="1325"/>
      <c r="AT12" s="790"/>
      <c r="AU12" s="790" t="str">
        <f>IF(T12="","",T12)</f>
        <v>Добавить централизованную систему для дифференциации</v>
      </c>
      <c r="AV12" s="790"/>
      <c r="AW12" s="790"/>
      <c r="AX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233</v>
      </c>
      <c r="U13" s="1325"/>
      <c r="V13" s="1325"/>
      <c r="W13" s="1325"/>
      <c r="X13" s="1325"/>
      <c r="Y13" s="1325"/>
      <c r="Z13" s="1325"/>
      <c r="AA13" s="1325"/>
      <c r="AB13" s="1325"/>
      <c r="AC13" s="1325"/>
      <c r="AD13" s="1325"/>
      <c r="AE13" s="1325"/>
      <c r="AF13" s="1325"/>
      <c r="AG13" s="1325"/>
      <c r="AH13" s="1325"/>
      <c r="AI13" s="1325"/>
      <c r="AJ13" s="1325"/>
      <c r="AK13" s="1325"/>
      <c r="AL13" s="1325"/>
      <c r="AM13" s="1325"/>
      <c r="AN13" s="1325"/>
      <c r="AO13" s="1325"/>
      <c r="AP13" s="2827"/>
      <c r="AQ13" s="1325"/>
      <c r="AR13" s="1325"/>
      <c r="AT13" s="501"/>
      <c r="AU13" s="501" t="str">
        <f>IF(T13="","",T13)</f>
        <v>Добавить территорию для дифференциации</v>
      </c>
      <c r="AV13" s="501"/>
      <c r="AW13" s="501"/>
      <c r="AX13" s="512">
        <v>0</v>
      </c>
    </row>
    <row customHeight="1" ht="14.25" hidden="1">
      <c r="AB14" s="328"/>
      <c r="AI14" s="328"/>
      <c r="AJ14" s="1636"/>
      <c r="AK14" s="1636"/>
      <c r="AL14" s="1636"/>
      <c r="AM14" s="1636"/>
      <c r="AN14" s="1636"/>
      <c r="AO14" s="1636"/>
      <c r="AP14" s="2819"/>
      <c r="AX14" s="1156">
        <v>0</v>
      </c>
    </row>
    <row customHeight="1" ht="14.25" hidden="1">
      <c r="AC15" s="1361"/>
      <c r="AD15" s="1361"/>
      <c r="AE15" s="1362"/>
      <c r="AF15" s="2268"/>
      <c r="AG15" s="2269" t="s">
        <v>63</v>
      </c>
      <c r="AH15" s="2268"/>
      <c r="AI15" s="2269" t="s">
        <v>63</v>
      </c>
      <c r="AJ15" s="1636"/>
      <c r="AK15" s="1636"/>
      <c r="AL15" s="1636"/>
      <c r="AM15" s="1636"/>
      <c r="AN15" s="1636"/>
      <c r="AO15" s="1636"/>
      <c r="AP15" s="2819"/>
      <c r="AX15" s="1156">
        <v>0</v>
      </c>
    </row>
    <row customHeight="1" ht="14.25" hidden="1">
      <c r="AC16" s="1361"/>
      <c r="AD16" s="1361"/>
      <c r="AE16" s="329" t="str">
        <f>AF15&amp;"-"&amp;AH15</f>
        <v>-</v>
      </c>
      <c r="AF16" s="2269"/>
      <c r="AG16" s="2269"/>
      <c r="AH16" s="2269"/>
      <c r="AI16" s="2269"/>
      <c r="AJ16" s="1636"/>
      <c r="AK16" s="1636"/>
      <c r="AL16" s="1636"/>
      <c r="AM16" s="1636"/>
      <c r="AN16" s="1636"/>
      <c r="AO16" s="1636"/>
      <c r="AP16" s="2819"/>
      <c r="AX16" s="1156">
        <v>0</v>
      </c>
    </row>
    <row customHeight="1" ht="14.25" hidden="1">
      <c r="AI17" s="328"/>
      <c r="AJ17" s="1636"/>
      <c r="AK17" s="1636"/>
      <c r="AL17" s="1636"/>
      <c r="AM17" s="1636"/>
      <c r="AN17" s="1636"/>
      <c r="AO17" s="1636"/>
      <c r="AP17" s="2819"/>
      <c r="AX17" s="1156">
        <v>0</v>
      </c>
    </row>
    <row s="1367" customFormat="1" customHeight="1" ht="22.5" hidden="1">
      <c r="L18" s="1422"/>
      <c r="M18" s="1363"/>
      <c r="N18" s="1363"/>
      <c r="O18" s="1368" t="s">
        <v>427</v>
      </c>
      <c r="P18" s="1363"/>
      <c r="Q18" s="1372"/>
      <c r="R18" s="1372"/>
      <c r="S18" s="730"/>
      <c r="Y18" s="1368"/>
      <c r="AA18" s="1368"/>
      <c r="AB18" s="1367"/>
      <c r="AF18" s="1368"/>
      <c r="AH18" s="1368"/>
      <c r="AI18" s="1367"/>
      <c r="AJ18" s="1367"/>
      <c r="AK18" s="1367"/>
      <c r="AL18" s="1367"/>
      <c r="AM18" s="1368"/>
      <c r="AN18" s="1367"/>
      <c r="AO18" s="1368"/>
      <c r="AP18" s="2828"/>
      <c r="AS18" s="512"/>
      <c r="AT18" s="512"/>
      <c r="AU18" s="512"/>
      <c r="AV18" s="512"/>
      <c r="AW18" s="512"/>
      <c r="AX18" s="1161">
        <v>0</v>
      </c>
    </row>
    <row s="1367" customFormat="1" customHeight="1" ht="14.25" hidden="1">
      <c r="L19" s="1422"/>
      <c r="M19" s="1363"/>
      <c r="N19" s="1363"/>
      <c r="O19" s="1363"/>
      <c r="P19" s="1363"/>
      <c r="Q19" s="1372"/>
      <c r="R19" s="1372"/>
      <c r="S19" s="730"/>
      <c r="AB19" s="1367"/>
      <c r="AI19" s="1367"/>
      <c r="AJ19" s="1367"/>
      <c r="AK19" s="1367"/>
      <c r="AL19" s="1367"/>
      <c r="AM19" s="1367"/>
      <c r="AN19" s="1367"/>
      <c r="AO19" s="1367"/>
      <c r="AP19" s="2828"/>
      <c r="AS19" s="512"/>
      <c r="AT19" s="512"/>
      <c r="AU19" s="512"/>
      <c r="AV19" s="512"/>
      <c r="AW19" s="512"/>
      <c r="AX19" s="1161">
        <v>0</v>
      </c>
    </row>
    <row s="1367" customFormat="1" customHeight="1" ht="12" hidden="1">
      <c r="L20" s="1422"/>
      <c r="M20" s="1363"/>
      <c r="N20" s="1363"/>
      <c r="O20" s="1365" t="s">
        <v>428</v>
      </c>
      <c r="P20" s="1363"/>
      <c r="Q20" s="1443"/>
      <c r="R20" s="1443"/>
      <c r="S20" s="730"/>
      <c r="T20" s="1161" t="s">
        <v>429</v>
      </c>
      <c r="Z20" s="187" t="s">
        <v>430</v>
      </c>
      <c r="AB20" s="187" t="s">
        <v>431</v>
      </c>
      <c r="AC20" s="1161" t="s">
        <v>429</v>
      </c>
      <c r="AG20" s="187" t="s">
        <v>432</v>
      </c>
      <c r="AI20" s="187" t="s">
        <v>431</v>
      </c>
      <c r="AJ20" s="1367"/>
      <c r="AK20" s="1367"/>
      <c r="AL20" s="1367"/>
      <c r="AM20" s="1367"/>
      <c r="AN20" s="1371" t="s">
        <v>430</v>
      </c>
      <c r="AO20" s="1367"/>
      <c r="AP20" s="2829" t="s">
        <v>431</v>
      </c>
      <c r="AX20" s="1161">
        <v>0</v>
      </c>
    </row>
    <row customHeight="1" ht="14.25" hidden="1">
      <c r="O21" s="1365"/>
      <c r="AJ21" s="1636"/>
      <c r="AK21" s="1636"/>
      <c r="AL21" s="1636"/>
      <c r="AM21" s="1636"/>
      <c r="AN21" s="1636"/>
      <c r="AO21" s="1636"/>
      <c r="AP21" s="2819"/>
      <c r="AX21" s="1156">
        <v>0</v>
      </c>
    </row>
    <row customHeight="1" ht="14.25" hidden="1">
      <c r="O22" s="1365"/>
      <c r="AJ22" s="1636"/>
      <c r="AK22" s="1636"/>
      <c r="AL22" s="1636"/>
      <c r="AM22" s="1636"/>
      <c r="AN22" s="1636"/>
      <c r="AO22" s="1636"/>
      <c r="AP22" s="2819"/>
      <c r="AX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J23" s="1636"/>
      <c r="AK23" s="1636"/>
      <c r="AL23" s="1636"/>
      <c r="AM23" s="1636"/>
      <c r="AN23" s="1636"/>
      <c r="AO23" s="1636"/>
      <c r="AP23" s="2819"/>
      <c r="AX23" s="1156">
        <v>14</v>
      </c>
    </row>
    <row customHeight="1" ht="14.699999999999998">
      <c r="Q24" s="377"/>
      <c r="R24" s="377"/>
      <c r="S24" s="2249" t="str">
        <f>IF(TEMPLATE_GROUP="P",PT_P_FORM_COLDVSNA_4_NAME_FORM,PT_R_FORM_COLDVSNA_16_NAME_FORM)</f>
        <v>Форма 2. Информация
о тарифах в сфере холодного водоснабжения на товары (услуги) организации холодного водоснабжения, подлежащих регулированию</v>
      </c>
      <c r="T24" s="2249"/>
      <c r="U24" s="2249"/>
      <c r="V24" s="2249"/>
      <c r="W24" s="2249"/>
      <c r="X24" s="2249"/>
      <c r="Y24" s="2249"/>
      <c r="Z24" s="2249"/>
      <c r="AA24" s="2249"/>
      <c r="AB24" s="2249"/>
      <c r="AC24" s="2249"/>
      <c r="AD24" s="2249"/>
      <c r="AE24" s="2249"/>
      <c r="AF24" s="2249"/>
      <c r="AG24" s="2249"/>
      <c r="AH24" s="2249"/>
      <c r="AI24" s="1244"/>
      <c r="AJ24" s="2249"/>
      <c r="AK24" s="2249"/>
      <c r="AL24" s="2249"/>
      <c r="AM24" s="2249"/>
      <c r="AN24" s="2249"/>
      <c r="AO24" s="2249"/>
      <c r="AP24" s="2830"/>
      <c r="AX24" s="1156">
        <v>14</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J25" s="2250"/>
      <c r="AK25" s="2250"/>
      <c r="AL25" s="2250"/>
      <c r="AM25" s="2250"/>
      <c r="AN25" s="2250"/>
      <c r="AO25" s="2250"/>
      <c r="AP25" s="2831"/>
      <c r="AX25" s="1156">
        <v>14</v>
      </c>
    </row>
    <row customHeight="1" ht="14.25">
      <c r="Q26" s="377"/>
      <c r="R26" s="377"/>
      <c r="S26" s="1276"/>
      <c r="T26" s="364"/>
      <c r="U26" s="364"/>
      <c r="V26" s="323"/>
      <c r="W26" s="323"/>
      <c r="X26" s="323"/>
      <c r="Y26" s="323"/>
      <c r="Z26" s="323"/>
      <c r="AA26" s="323"/>
      <c r="AB26" s="323"/>
      <c r="AC26" s="323"/>
      <c r="AD26" s="323"/>
      <c r="AE26" s="323"/>
      <c r="AF26" s="323"/>
      <c r="AG26" s="323"/>
      <c r="AH26" s="323"/>
      <c r="AI26" s="323"/>
      <c r="AJ26" s="323"/>
      <c r="AK26" s="323"/>
      <c r="AL26" s="323"/>
      <c r="AM26" s="323"/>
      <c r="AN26" s="323"/>
      <c r="AO26" s="323"/>
      <c r="AP26" s="2832"/>
      <c r="AQ26" s="510"/>
      <c r="AX26" s="1156">
        <v>0</v>
      </c>
    </row>
    <row s="1854" customFormat="1" customHeight="1" ht="25.5">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Управление по государственному регулированию цен (тарифов) Ненецкого автономного округа</v>
      </c>
      <c r="W27" s="2252"/>
      <c r="X27" s="2252"/>
      <c r="Y27" s="2252"/>
      <c r="Z27" s="2252"/>
      <c r="AA27" s="2252"/>
      <c r="AB27" s="327"/>
      <c r="AC27" s="2252" t="str">
        <f>IF(TITLE_NAME_OR_PR_CHANGE="",IF(TITLE_NAME_OR_PR="","",TITLE_NAME_OR_PR),TITLE_NAME_OR_PR_CHANGE)</f>
        <v>Управление по государственному регулированию цен (тарифов) Ненецкого автономного округа</v>
      </c>
      <c r="AD27" s="2252"/>
      <c r="AE27" s="2252"/>
      <c r="AF27" s="2252"/>
      <c r="AG27" s="2252"/>
      <c r="AH27" s="2252"/>
      <c r="AI27" s="327"/>
      <c r="AJ27" s="2252" t="str">
        <f>IF(TITLE_NAME_OR_PR_CHANGE="",IF(TITLE_NAME_OR_PR="","",TITLE_NAME_OR_PR),TITLE_NAME_OR_PR_CHANGE)</f>
        <v>Управление по государственному регулированию цен (тарифов) Ненецкого автономного округа</v>
      </c>
      <c r="AK27" s="2252"/>
      <c r="AL27" s="2252"/>
      <c r="AM27" s="2252"/>
      <c r="AN27" s="2252"/>
      <c r="AO27" s="2252"/>
      <c r="AP27" s="2819"/>
      <c r="AQ27" s="327"/>
      <c r="AR27" s="281"/>
      <c r="AS27" s="369"/>
      <c r="AT27" s="369"/>
      <c r="AU27" s="369"/>
      <c r="AV27" s="369"/>
      <c r="AW27" s="369"/>
      <c r="AX27" s="419">
        <v>0</v>
      </c>
    </row>
    <row s="1854" customFormat="1" customHeight="1" ht="18.75">
      <c r="A28" s="1369"/>
      <c r="B28" s="1369"/>
      <c r="C28" s="1369"/>
      <c r="D28" s="1369"/>
      <c r="E28" s="1369"/>
      <c r="F28" s="1369"/>
      <c r="G28" s="1369"/>
      <c r="H28" s="1369"/>
      <c r="I28" s="1369"/>
      <c r="J28" s="1369"/>
      <c r="K28" s="1369"/>
      <c r="L28" s="1370"/>
      <c r="M28" s="1369"/>
      <c r="N28" s="1369"/>
      <c r="O28" s="1369"/>
      <c r="S28" s="2251" t="s">
        <v>433</v>
      </c>
      <c r="T28" s="2251"/>
      <c r="U28" s="1373"/>
      <c r="V28" s="2265" t="str">
        <f>IF(TITLE_DATE_PR_CHANGE="",IF(TITLE_DATE_PR="","",TITLE_DATE_PR),TITLE_DATE_PR_CHANGE)</f>
        <v>45642</v>
      </c>
      <c r="W28" s="2265"/>
      <c r="X28" s="2265"/>
      <c r="Y28" s="2265"/>
      <c r="Z28" s="2265"/>
      <c r="AA28" s="2265"/>
      <c r="AB28" s="327"/>
      <c r="AC28" s="2265" t="str">
        <f>IF(TITLE_DATE_PR_CHANGE="",IF(TITLE_DATE_PR="","",TITLE_DATE_PR),TITLE_DATE_PR_CHANGE)</f>
        <v>45642</v>
      </c>
      <c r="AD28" s="2265"/>
      <c r="AE28" s="2265"/>
      <c r="AF28" s="2265"/>
      <c r="AG28" s="2265"/>
      <c r="AH28" s="2265"/>
      <c r="AI28" s="327"/>
      <c r="AJ28" s="2265" t="str">
        <f>IF(TITLE_DATE_PR_CHANGE="",IF(TITLE_DATE_PR="","",TITLE_DATE_PR),TITLE_DATE_PR_CHANGE)</f>
        <v>45642</v>
      </c>
      <c r="AK28" s="2265"/>
      <c r="AL28" s="2265"/>
      <c r="AM28" s="2265"/>
      <c r="AN28" s="2265"/>
      <c r="AO28" s="2265"/>
      <c r="AP28" s="2819"/>
      <c r="AQ28" s="327"/>
      <c r="AR28" s="281"/>
      <c r="AS28" s="369"/>
      <c r="AT28" s="369"/>
      <c r="AU28" s="369"/>
      <c r="AV28" s="369"/>
      <c r="AW28" s="369"/>
      <c r="AX28" s="419">
        <v>0</v>
      </c>
    </row>
    <row s="1854" customFormat="1" customHeight="1" ht="18.75">
      <c r="A29" s="1369"/>
      <c r="B29" s="1369"/>
      <c r="C29" s="1369"/>
      <c r="D29" s="1369"/>
      <c r="E29" s="1369"/>
      <c r="F29" s="1369"/>
      <c r="G29" s="1369"/>
      <c r="H29" s="1369"/>
      <c r="I29" s="1369"/>
      <c r="J29" s="1369"/>
      <c r="K29" s="1369"/>
      <c r="L29" s="1370"/>
      <c r="M29" s="1369"/>
      <c r="N29" s="1369"/>
      <c r="O29" s="1369"/>
      <c r="S29" s="2251" t="s">
        <v>434</v>
      </c>
      <c r="T29" s="2251"/>
      <c r="U29" s="1373"/>
      <c r="V29" s="2252" t="str">
        <f>IF(TITLE_NUMBER_PR_CHANGE="",IF(TITLE_NUMBER_PR="","",TITLE_NUMBER_PR),TITLE_NUMBER_PR_CHANGE)</f>
        <v>58</v>
      </c>
      <c r="W29" s="2252"/>
      <c r="X29" s="2252"/>
      <c r="Y29" s="2252"/>
      <c r="Z29" s="2252"/>
      <c r="AA29" s="2252"/>
      <c r="AB29" s="327"/>
      <c r="AC29" s="2252" t="str">
        <f>IF(TITLE_NUMBER_PR_CHANGE="",IF(TITLE_NUMBER_PR="","",TITLE_NUMBER_PR),TITLE_NUMBER_PR_CHANGE)</f>
        <v>58</v>
      </c>
      <c r="AD29" s="2252"/>
      <c r="AE29" s="2252"/>
      <c r="AF29" s="2252"/>
      <c r="AG29" s="2252"/>
      <c r="AH29" s="2252"/>
      <c r="AI29" s="327"/>
      <c r="AJ29" s="2252" t="str">
        <f>IF(TITLE_NUMBER_PR_CHANGE="",IF(TITLE_NUMBER_PR="","",TITLE_NUMBER_PR),TITLE_NUMBER_PR_CHANGE)</f>
        <v>58</v>
      </c>
      <c r="AK29" s="2252"/>
      <c r="AL29" s="2252"/>
      <c r="AM29" s="2252"/>
      <c r="AN29" s="2252"/>
      <c r="AO29" s="2252"/>
      <c r="AP29" s="2819"/>
      <c r="AQ29" s="327"/>
      <c r="AR29" s="281"/>
      <c r="AS29" s="369"/>
      <c r="AT29" s="369"/>
      <c r="AU29" s="369"/>
      <c r="AV29" s="369"/>
      <c r="AW29" s="369"/>
      <c r="AX29" s="419">
        <v>0</v>
      </c>
    </row>
    <row s="1854" customFormat="1" customHeight="1" ht="18.75">
      <c r="A30" s="1369"/>
      <c r="B30" s="1369"/>
      <c r="C30" s="1369"/>
      <c r="D30" s="1369"/>
      <c r="E30" s="1369"/>
      <c r="F30" s="1369"/>
      <c r="G30" s="1369"/>
      <c r="H30" s="1369"/>
      <c r="I30" s="1369"/>
      <c r="J30" s="1369"/>
      <c r="K30" s="1369"/>
      <c r="L30" s="1370"/>
      <c r="M30" s="1369"/>
      <c r="N30" s="1369"/>
      <c r="O30" s="1369"/>
      <c r="S30" s="2251" t="s">
        <v>44</v>
      </c>
      <c r="T30" s="2251"/>
      <c r="U30" s="1373"/>
      <c r="V30" s="2252" t="str">
        <f>IF(TITLE_IST_PUB_CHANGE="",IF(TITLE_IST_PUB="","",TITLE_IST_PUB),TITLE_IST_PUB_CHANGE)</f>
        <v>Официальный интернет портал правовой информации http://pravo.gov.ru </v>
      </c>
      <c r="W30" s="2252"/>
      <c r="X30" s="2252"/>
      <c r="Y30" s="2252"/>
      <c r="Z30" s="2252"/>
      <c r="AA30" s="2252"/>
      <c r="AB30" s="327"/>
      <c r="AC30" s="2252" t="str">
        <f>IF(TITLE_IST_PUB_CHANGE="",IF(TITLE_IST_PUB="","",TITLE_IST_PUB),TITLE_IST_PUB_CHANGE)</f>
        <v>Официальный интернет портал правовой информации http://pravo.gov.ru </v>
      </c>
      <c r="AD30" s="2252"/>
      <c r="AE30" s="2252"/>
      <c r="AF30" s="2252"/>
      <c r="AG30" s="2252"/>
      <c r="AH30" s="2252"/>
      <c r="AI30" s="327"/>
      <c r="AJ30" s="2252" t="str">
        <f>IF(TITLE_IST_PUB_CHANGE="",IF(TITLE_IST_PUB="","",TITLE_IST_PUB),TITLE_IST_PUB_CHANGE)</f>
        <v>Официальный интернет портал правовой информации http://pravo.gov.ru </v>
      </c>
      <c r="AK30" s="2252"/>
      <c r="AL30" s="2252"/>
      <c r="AM30" s="2252"/>
      <c r="AN30" s="2252"/>
      <c r="AO30" s="2252"/>
      <c r="AP30" s="2819"/>
      <c r="AQ30" s="327"/>
      <c r="AR30" s="281"/>
      <c r="AS30" s="369"/>
      <c r="AT30" s="369"/>
      <c r="AU30" s="369"/>
      <c r="AV30" s="369"/>
      <c r="AW30" s="369"/>
      <c r="AX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323"/>
      <c r="AK31" s="323"/>
      <c r="AL31" s="323"/>
      <c r="AM31" s="323"/>
      <c r="AN31" s="323"/>
      <c r="AO31" s="323"/>
      <c r="AP31" s="2832"/>
      <c r="AQ31" s="510"/>
      <c r="AX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435</v>
      </c>
      <c r="T32" s="2251"/>
      <c r="U32" s="1373"/>
      <c r="V32" s="2265" t="str">
        <f>IF(TITLE_DATE_PR_CHANGE="",IF(TITLE_DATE_PR="","",TITLE_DATE_PR),TITLE_DATE_PR_CHANGE)</f>
        <v>45642</v>
      </c>
      <c r="W32" s="2265"/>
      <c r="X32" s="2265"/>
      <c r="Y32" s="2265"/>
      <c r="Z32" s="2265"/>
      <c r="AA32" s="2265"/>
      <c r="AB32" s="327"/>
      <c r="AC32" s="2265" t="str">
        <f>IF(TITLE_DATE_PR_CHANGE="",IF(TITLE_DATE_PR="","",TITLE_DATE_PR),TITLE_DATE_PR_CHANGE)</f>
        <v>45642</v>
      </c>
      <c r="AD32" s="2265"/>
      <c r="AE32" s="2265"/>
      <c r="AF32" s="2265"/>
      <c r="AG32" s="2265"/>
      <c r="AH32" s="2265"/>
      <c r="AI32" s="327"/>
      <c r="AJ32" s="2265" t="str">
        <f>IF(TITLE_DATE_PR_CHANGE="",IF(TITLE_DATE_PR="","",TITLE_DATE_PR),TITLE_DATE_PR_CHANGE)</f>
        <v>45642</v>
      </c>
      <c r="AK32" s="2265"/>
      <c r="AL32" s="2265"/>
      <c r="AM32" s="2265"/>
      <c r="AN32" s="2265"/>
      <c r="AO32" s="2265"/>
      <c r="AP32" s="2819"/>
      <c r="AQ32" s="327"/>
      <c r="AR32" s="281"/>
      <c r="AS32" s="369"/>
      <c r="AT32" s="369"/>
      <c r="AU32" s="369"/>
      <c r="AV32" s="369"/>
      <c r="AW32" s="369"/>
      <c r="AX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436</v>
      </c>
      <c r="T33" s="2251"/>
      <c r="U33" s="1373"/>
      <c r="V33" s="2252" t="str">
        <f>IF(TITLE_NUMBER_PR_CHANGE="",IF(TITLE_NUMBER_PR="","",TITLE_NUMBER_PR),TITLE_NUMBER_PR_CHANGE)</f>
        <v>58</v>
      </c>
      <c r="W33" s="2252"/>
      <c r="X33" s="2252"/>
      <c r="Y33" s="2252"/>
      <c r="Z33" s="2252"/>
      <c r="AA33" s="2252"/>
      <c r="AB33" s="327"/>
      <c r="AC33" s="2252" t="str">
        <f>IF(TITLE_NUMBER_PR_CHANGE="",IF(TITLE_NUMBER_PR="","",TITLE_NUMBER_PR),TITLE_NUMBER_PR_CHANGE)</f>
        <v>58</v>
      </c>
      <c r="AD33" s="2252"/>
      <c r="AE33" s="2252"/>
      <c r="AF33" s="2252"/>
      <c r="AG33" s="2252"/>
      <c r="AH33" s="2252"/>
      <c r="AI33" s="327"/>
      <c r="AJ33" s="2252" t="str">
        <f>IF(TITLE_NUMBER_PR_CHANGE="",IF(TITLE_NUMBER_PR="","",TITLE_NUMBER_PR),TITLE_NUMBER_PR_CHANGE)</f>
        <v>58</v>
      </c>
      <c r="AK33" s="2252"/>
      <c r="AL33" s="2252"/>
      <c r="AM33" s="2252"/>
      <c r="AN33" s="2252"/>
      <c r="AO33" s="2252"/>
      <c r="AP33" s="2819"/>
      <c r="AQ33" s="327"/>
      <c r="AR33" s="281"/>
      <c r="AS33" s="369"/>
      <c r="AT33" s="369"/>
      <c r="AU33" s="369"/>
      <c r="AV33" s="369"/>
      <c r="AW33" s="369"/>
      <c r="AX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356"/>
      <c r="V34" s="327"/>
      <c r="W34" s="327"/>
      <c r="X34" s="327"/>
      <c r="Y34" s="327"/>
      <c r="Z34" s="327"/>
      <c r="AA34" s="327"/>
      <c r="AB34" s="279" t="s">
        <v>437</v>
      </c>
      <c r="AC34" s="327"/>
      <c r="AD34" s="327"/>
      <c r="AE34" s="327"/>
      <c r="AF34" s="327"/>
      <c r="AG34" s="327"/>
      <c r="AH34" s="327"/>
      <c r="AI34" s="279" t="s">
        <v>437</v>
      </c>
      <c r="AJ34" s="1636"/>
      <c r="AK34" s="1636"/>
      <c r="AL34" s="1636"/>
      <c r="AM34" s="1636"/>
      <c r="AN34" s="1636"/>
      <c r="AO34" s="1636"/>
      <c r="AP34" s="2833" t="s">
        <v>437</v>
      </c>
      <c r="AS34" s="369"/>
      <c r="AT34" s="369"/>
      <c r="AU34" s="369"/>
      <c r="AV34" s="369"/>
      <c r="AW34" s="369"/>
      <c r="AX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J35" s="2253" t="s">
        <v>234</v>
      </c>
      <c r="AK35" s="2253"/>
      <c r="AL35" s="2253"/>
      <c r="AM35" s="2253"/>
      <c r="AN35" s="2253"/>
      <c r="AO35" s="2253"/>
      <c r="AP35" s="2834"/>
      <c r="AX35" s="1156">
        <v>14</v>
      </c>
    </row>
    <row customHeight="1" ht="15">
      <c r="Q36" s="377"/>
      <c r="R36" s="377"/>
      <c r="S36" s="2128" t="s">
        <v>312</v>
      </c>
      <c r="T36" s="2128"/>
      <c r="U36" s="2128"/>
      <c r="V36" s="2128"/>
      <c r="W36" s="2128"/>
      <c r="X36" s="2128"/>
      <c r="Y36" s="2128"/>
      <c r="Z36" s="2128"/>
      <c r="AA36" s="2128"/>
      <c r="AB36" s="2128"/>
      <c r="AC36" s="2128"/>
      <c r="AD36" s="2128"/>
      <c r="AE36" s="2128"/>
      <c r="AF36" s="2128"/>
      <c r="AG36" s="2128"/>
      <c r="AH36" s="2128"/>
      <c r="AI36" s="2128"/>
      <c r="AJ36" s="2313" t="s">
        <v>312</v>
      </c>
      <c r="AK36" s="2313"/>
      <c r="AL36" s="2313"/>
      <c r="AM36" s="2313"/>
      <c r="AN36" s="2313"/>
      <c r="AO36" s="2313"/>
      <c r="AP36" s="2835"/>
      <c r="AQ36" s="2128"/>
      <c r="AR36" s="2128"/>
      <c r="AX36" s="1156"/>
    </row>
    <row customHeight="1" ht="14.699999999999998">
      <c r="Q37" s="377"/>
      <c r="R37" s="377"/>
      <c r="S37" s="2274" t="s">
        <v>90</v>
      </c>
      <c r="T37" s="2210" t="s">
        <v>438</v>
      </c>
      <c r="U37" s="302"/>
      <c r="V37" s="2275" t="s">
        <v>439</v>
      </c>
      <c r="W37" s="2276"/>
      <c r="X37" s="2276"/>
      <c r="Y37" s="2276"/>
      <c r="Z37" s="2276"/>
      <c r="AA37" s="2277"/>
      <c r="AB37" s="2278" t="s">
        <v>440</v>
      </c>
      <c r="AC37" s="2275" t="s">
        <v>439</v>
      </c>
      <c r="AD37" s="2276"/>
      <c r="AE37" s="2276"/>
      <c r="AF37" s="2276"/>
      <c r="AG37" s="2276"/>
      <c r="AH37" s="2277"/>
      <c r="AI37" s="2278" t="s">
        <v>441</v>
      </c>
      <c r="AJ37" s="2400" t="s">
        <v>439</v>
      </c>
      <c r="AK37" s="2401"/>
      <c r="AL37" s="2401"/>
      <c r="AM37" s="2401"/>
      <c r="AN37" s="2401"/>
      <c r="AO37" s="2402"/>
      <c r="AP37" s="2836" t="s">
        <v>440</v>
      </c>
      <c r="AQ37" s="2281" t="s">
        <v>442</v>
      </c>
      <c r="AR37" s="2128"/>
      <c r="AX37" s="1156">
        <v>14</v>
      </c>
    </row>
    <row customHeight="1" ht="35.699999999999996">
      <c r="Q38" s="377"/>
      <c r="R38" s="377"/>
      <c r="S38" s="2274"/>
      <c r="T38" s="2210"/>
      <c r="U38" s="1032"/>
      <c r="V38" s="1353" t="s">
        <v>498</v>
      </c>
      <c r="W38" s="2263" t="s">
        <v>445</v>
      </c>
      <c r="X38" s="2264"/>
      <c r="Y38" s="2263" t="s">
        <v>446</v>
      </c>
      <c r="Z38" s="2270"/>
      <c r="AA38" s="2264"/>
      <c r="AB38" s="2279"/>
      <c r="AC38" s="1353" t="s">
        <v>498</v>
      </c>
      <c r="AD38" s="2263" t="s">
        <v>445</v>
      </c>
      <c r="AE38" s="2264"/>
      <c r="AF38" s="2263" t="s">
        <v>446</v>
      </c>
      <c r="AG38" s="2270"/>
      <c r="AH38" s="2264"/>
      <c r="AI38" s="2279"/>
      <c r="AJ38" s="2261" t="s">
        <v>498</v>
      </c>
      <c r="AK38" s="2263" t="s">
        <v>445</v>
      </c>
      <c r="AL38" s="2264"/>
      <c r="AM38" s="2263" t="s">
        <v>446</v>
      </c>
      <c r="AN38" s="2270"/>
      <c r="AO38" s="2264"/>
      <c r="AP38" s="2837"/>
      <c r="AQ38" s="2282"/>
      <c r="AR38" s="2128"/>
      <c r="AX38" s="1156">
        <v>34</v>
      </c>
    </row>
    <row customHeight="1" ht="35.699999999999996">
      <c r="A39" s="1371"/>
      <c r="B39" s="1371" t="s">
        <v>138</v>
      </c>
      <c r="C39" s="1371" t="s">
        <v>139</v>
      </c>
      <c r="D39" s="1371" t="s">
        <v>140</v>
      </c>
      <c r="E39" s="1365" t="s">
        <v>447</v>
      </c>
      <c r="F39" s="1365" t="s">
        <v>448</v>
      </c>
      <c r="G39" s="1365" t="s">
        <v>449</v>
      </c>
      <c r="H39" s="1365"/>
      <c r="I39" s="1365" t="s">
        <v>499</v>
      </c>
      <c r="J39" s="1365" t="s">
        <v>452</v>
      </c>
      <c r="K39" s="1365" t="s">
        <v>500</v>
      </c>
      <c r="L39" s="1365" t="s">
        <v>428</v>
      </c>
      <c r="Q39" s="377"/>
      <c r="R39" s="377"/>
      <c r="S39" s="2274"/>
      <c r="T39" s="2210"/>
      <c r="U39" s="303"/>
      <c r="V39" s="1353" t="s">
        <v>501</v>
      </c>
      <c r="W39" s="1223" t="s">
        <v>502</v>
      </c>
      <c r="X39" s="1223" t="s">
        <v>503</v>
      </c>
      <c r="Y39" s="1358" t="s">
        <v>456</v>
      </c>
      <c r="Z39" s="2271" t="s">
        <v>457</v>
      </c>
      <c r="AA39" s="2272"/>
      <c r="AB39" s="2280"/>
      <c r="AC39" s="1353" t="s">
        <v>501</v>
      </c>
      <c r="AD39" s="1223" t="s">
        <v>502</v>
      </c>
      <c r="AE39" s="1223" t="s">
        <v>503</v>
      </c>
      <c r="AF39" s="1358" t="s">
        <v>456</v>
      </c>
      <c r="AG39" s="2271" t="s">
        <v>457</v>
      </c>
      <c r="AH39" s="2272"/>
      <c r="AI39" s="2280"/>
      <c r="AJ39" s="2261" t="s">
        <v>501</v>
      </c>
      <c r="AK39" s="2578" t="s">
        <v>502</v>
      </c>
      <c r="AL39" s="2578" t="s">
        <v>503</v>
      </c>
      <c r="AM39" s="2578" t="s">
        <v>456</v>
      </c>
      <c r="AN39" s="2271" t="s">
        <v>457</v>
      </c>
      <c r="AO39" s="2272"/>
      <c r="AP39" s="2838"/>
      <c r="AQ39" s="2283"/>
      <c r="AR39" s="2128"/>
      <c r="AX39" s="1156">
        <v>34</v>
      </c>
    </row>
    <row s="1642" customFormat="1" customHeight="1" ht="11.25" hidden="1">
      <c r="A40" s="1371"/>
      <c r="B40" s="1371"/>
      <c r="C40" s="1371"/>
      <c r="D40" s="1371"/>
      <c r="E40" s="1371"/>
      <c r="F40" s="1371"/>
      <c r="G40" s="1371"/>
      <c r="H40" s="1371"/>
      <c r="I40" s="1371"/>
      <c r="J40" s="1371"/>
      <c r="K40" s="1371"/>
      <c r="L40" s="1365"/>
      <c r="M40" s="1363"/>
      <c r="N40" s="1363"/>
      <c r="O40" s="1363"/>
      <c r="P40" s="1247"/>
      <c r="Q40" s="1248"/>
      <c r="R40" s="1255">
        <v>1</v>
      </c>
      <c r="S40" s="1278" t="s">
        <v>112</v>
      </c>
      <c r="T40" s="1256" t="s">
        <v>113</v>
      </c>
      <c r="U40" s="1246" t="str">
        <f>OFFSET(U40,0,-1)</f>
        <v>2</v>
      </c>
      <c r="V40" s="1354">
        <f>OFFSET(V40,0,-1)+1</f>
        <v>3</v>
      </c>
      <c r="W40" s="1354">
        <f>OFFSET(W40,0,-1)+1</f>
        <v>4</v>
      </c>
      <c r="X40" s="1354">
        <f>OFFSET(X40,0,-1)+1</f>
        <v>5</v>
      </c>
      <c r="Y40" s="1354">
        <f>OFFSET(Y40,0,-1)+1</f>
        <v>6</v>
      </c>
      <c r="Z40" s="2273">
        <f>OFFSET(Z40,0,-1)+1</f>
        <v>7</v>
      </c>
      <c r="AA40" s="2273"/>
      <c r="AB40" s="1354">
        <f>OFFSET(AB40,0,-2)+1</f>
        <v>8</v>
      </c>
      <c r="AC40" s="1354">
        <f>OFFSET(AC40,0,-1)+1</f>
        <v>9</v>
      </c>
      <c r="AD40" s="1354">
        <f>OFFSET(AD40,0,-1)+1</f>
        <v>10</v>
      </c>
      <c r="AE40" s="1354">
        <f>OFFSET(AE40,0,-1)+1</f>
        <v>11</v>
      </c>
      <c r="AF40" s="1354">
        <f>OFFSET(AF40,0,-1)+1</f>
        <v>12</v>
      </c>
      <c r="AG40" s="2273">
        <f>OFFSET(AG40,0,-1)+1</f>
        <v>13</v>
      </c>
      <c r="AH40" s="2273"/>
      <c r="AI40" s="1354">
        <f>OFFSET(AI40,0,-2)+1</f>
        <v>14</v>
      </c>
      <c r="AJ40" s="2273">
        <f>OFFSET(AJ40,0,-1)+1</f>
        <v>15</v>
      </c>
      <c r="AK40" s="2273">
        <f>OFFSET(AK40,0,-1)+1</f>
        <v>16</v>
      </c>
      <c r="AL40" s="2273">
        <f>OFFSET(AL40,0,-1)+1</f>
        <v>17</v>
      </c>
      <c r="AM40" s="2273">
        <f>OFFSET(AM40,0,-1)+1</f>
        <v>18</v>
      </c>
      <c r="AN40" s="2273">
        <f>OFFSET(AN40,0,-1)+1</f>
        <v>19</v>
      </c>
      <c r="AO40" s="2273"/>
      <c r="AP40" s="2839">
        <f>OFFSET(AP40,0,-2)+1</f>
        <v>20</v>
      </c>
      <c r="AQ40" s="1246">
        <f>OFFSET(AQ40,0,-1)</f>
        <v>20</v>
      </c>
      <c r="AR40" s="1354">
        <f>OFFSET(AR40,0,-1)+1</f>
        <v>21</v>
      </c>
      <c r="AS40" s="512"/>
      <c r="AT40" s="512"/>
      <c r="AU40" s="512"/>
      <c r="AV40" s="512"/>
      <c r="AW40" s="512"/>
      <c r="AX40" s="497">
        <v>0</v>
      </c>
    </row>
    <row customHeight="1" ht="24">
      <c r="A41" s="1364" t="s">
        <v>229</v>
      </c>
      <c r="B41" s="1364"/>
      <c r="C41" s="1364"/>
      <c r="D41" s="1364"/>
      <c r="E41" s="2259">
        <v>1</v>
      </c>
      <c r="F41" s="1364"/>
      <c r="G41" s="1364"/>
      <c r="H41" s="1364"/>
      <c r="I41" s="1364"/>
      <c r="J41" s="1364"/>
      <c r="K41" s="1364"/>
      <c r="L41" s="1365"/>
      <c r="M41" s="1366"/>
      <c r="N41" s="1366"/>
      <c r="O41" s="1366"/>
      <c r="P41" s="362"/>
      <c r="Q41" s="361"/>
      <c r="R41" s="356"/>
      <c r="S41" s="1359">
        <f>INDEX(PT_DIFFERENTIATION_NUM_NTAR,MATCH(A41,PT_DIFFERENTIATION_NTAR_ID,0))</f>
        <v>1</v>
      </c>
      <c r="T41" s="299" t="s">
        <v>126</v>
      </c>
      <c r="U41" s="301"/>
      <c r="V41" s="2243"/>
      <c r="W41" s="2244"/>
      <c r="X41" s="2244"/>
      <c r="Y41" s="2244"/>
      <c r="Z41" s="2244"/>
      <c r="AA41" s="2244"/>
      <c r="AB41" s="2245"/>
      <c r="AC41" s="2243" t="str">
        <f>INDEX(PT_DIFFERENTIATION_NTAR,MATCH(A41,PT_DIFFERENTIATION_NTAR_ID,0))</f>
        <v>Тарифы на питьевую воду (питьевое водоснабжение), поставляемую потребителям ИМУП "Посжилкомсервис"
</v>
      </c>
      <c r="AD41" s="2244"/>
      <c r="AE41" s="2244"/>
      <c r="AF41" s="2244"/>
      <c r="AG41" s="2244"/>
      <c r="AH41" s="2244"/>
      <c r="AI41" s="2244"/>
      <c r="AJ41" s="2243"/>
      <c r="AK41" s="2244"/>
      <c r="AL41" s="2244"/>
      <c r="AM41" s="2244"/>
      <c r="AN41" s="2244"/>
      <c r="AO41" s="2244"/>
      <c r="AP41" s="2820"/>
      <c r="AQ41" s="2245"/>
      <c r="AR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T41" s="501"/>
      <c r="AU41" s="501" t="str">
        <f>IF(T41="","",T41)</f>
        <v>Наименование тарифа</v>
      </c>
      <c r="AV41" s="501"/>
      <c r="AW41" s="501"/>
      <c r="AX41" s="1156">
        <v>23</v>
      </c>
    </row>
    <row customHeight="1" ht="24">
      <c r="A42" s="1364" t="s">
        <v>229</v>
      </c>
      <c r="B42" s="1364" t="s">
        <v>230</v>
      </c>
      <c r="C42" s="1364"/>
      <c r="D42" s="1364"/>
      <c r="E42" s="2260"/>
      <c r="F42" s="2259">
        <v>1</v>
      </c>
      <c r="G42" s="1364"/>
      <c r="H42" s="1364"/>
      <c r="I42" s="1364"/>
      <c r="J42" s="1364"/>
      <c r="K42" s="1364"/>
      <c r="L42" s="1365"/>
      <c r="M42" s="1366"/>
      <c r="N42" s="1366"/>
      <c r="O42" s="1366"/>
      <c r="P42" s="1357"/>
      <c r="Q42" s="353"/>
      <c r="R42" s="354"/>
      <c r="S42" s="1359" t="str">
        <f>INDEX(PT_DIFFERENTIATION_NUM_TER,MATCH(B42,PT_DIFFERENTIATION_TER_ID,0))</f>
        <v>1.1</v>
      </c>
      <c r="T42" s="309" t="s">
        <v>409</v>
      </c>
      <c r="U42" s="301"/>
      <c r="V42" s="2243"/>
      <c r="W42" s="2244"/>
      <c r="X42" s="2244"/>
      <c r="Y42" s="2244"/>
      <c r="Z42" s="2244"/>
      <c r="AA42" s="2244"/>
      <c r="AB42" s="2245"/>
      <c r="AC42" s="2243" t="str">
        <f>INDEX(PT_DIFFERENTIATION_TER,MATCH(B42,PT_DIFFERENTIATION_TER_ID,0))</f>
        <v>Территория 1</v>
      </c>
      <c r="AD42" s="2244"/>
      <c r="AE42" s="2244"/>
      <c r="AF42" s="2244"/>
      <c r="AG42" s="2244"/>
      <c r="AH42" s="2244"/>
      <c r="AI42" s="2244"/>
      <c r="AJ42" s="2243"/>
      <c r="AK42" s="2244"/>
      <c r="AL42" s="2244"/>
      <c r="AM42" s="2244"/>
      <c r="AN42" s="2244"/>
      <c r="AO42" s="2244"/>
      <c r="AP42" s="2820"/>
      <c r="AQ42" s="2245"/>
      <c r="AR42" s="1259" t="s">
        <v>410</v>
      </c>
      <c r="AT42" s="501"/>
      <c r="AU42" s="501" t="str">
        <f>IF(T42="","",T42)</f>
        <v>Территория действия тарифа</v>
      </c>
      <c r="AV42" s="501"/>
      <c r="AW42" s="501"/>
      <c r="AX42" s="1156">
        <v>23</v>
      </c>
    </row>
    <row customHeight="1" ht="24">
      <c r="A43" s="1364" t="s">
        <v>229</v>
      </c>
      <c r="B43" s="1364" t="s">
        <v>230</v>
      </c>
      <c r="C43" s="1364" t="s">
        <v>231</v>
      </c>
      <c r="D43" s="1364"/>
      <c r="E43" s="2260"/>
      <c r="F43" s="2260"/>
      <c r="G43" s="2259">
        <v>1</v>
      </c>
      <c r="H43" s="1364"/>
      <c r="I43" s="1364"/>
      <c r="J43" s="1364"/>
      <c r="K43" s="1364"/>
      <c r="L43" s="1365"/>
      <c r="M43" s="1366"/>
      <c r="N43" s="1366"/>
      <c r="O43" s="1366"/>
      <c r="P43" s="355"/>
      <c r="Q43" s="353"/>
      <c r="R43" s="354"/>
      <c r="S43" s="1359" t="str">
        <f>INDEX(PT_DIFFERENTIATION_NUM_CS,MATCH(C43,PT_DIFFERENTIATION_CS_ID,0))</f>
        <v>1.1.1</v>
      </c>
      <c r="T43" s="310" t="s">
        <v>490</v>
      </c>
      <c r="U43" s="301"/>
      <c r="V43" s="2243"/>
      <c r="W43" s="2244"/>
      <c r="X43" s="2244"/>
      <c r="Y43" s="2244"/>
      <c r="Z43" s="2244"/>
      <c r="AA43" s="2244"/>
      <c r="AB43" s="2245"/>
      <c r="AC43" s="2243" t="str">
        <f>INDEX(PT_DIFFERENTIATION_CS,MATCH(C43,PT_DIFFERENTIATION_CS_ID,0))</f>
        <v>без дифференциации</v>
      </c>
      <c r="AD43" s="2244"/>
      <c r="AE43" s="2244"/>
      <c r="AF43" s="2244"/>
      <c r="AG43" s="2244"/>
      <c r="AH43" s="2244"/>
      <c r="AI43" s="2244"/>
      <c r="AJ43" s="2243"/>
      <c r="AK43" s="2244"/>
      <c r="AL43" s="2244"/>
      <c r="AM43" s="2244"/>
      <c r="AN43" s="2244"/>
      <c r="AO43" s="2244"/>
      <c r="AP43" s="2820"/>
      <c r="AQ43" s="2245"/>
      <c r="AR43" s="1259" t="s">
        <v>491</v>
      </c>
      <c r="AT43" s="501"/>
      <c r="AU43" s="501" t="str">
        <f>IF(T43="","",T43)</f>
        <v>Наименование централизованной системы холодного водоснабжения</v>
      </c>
      <c r="AV43" s="501"/>
      <c r="AW43" s="501"/>
      <c r="AX43" s="1156">
        <v>23</v>
      </c>
    </row>
    <row customHeight="1" ht="24">
      <c r="A44" s="1364" t="s">
        <v>229</v>
      </c>
      <c r="B44" s="1364" t="s">
        <v>230</v>
      </c>
      <c r="C44" s="1364" t="s">
        <v>231</v>
      </c>
      <c r="D44" s="1364" t="s">
        <v>504</v>
      </c>
      <c r="E44" s="2260"/>
      <c r="F44" s="2260"/>
      <c r="G44" s="2260"/>
      <c r="H44" s="2260"/>
      <c r="I44" s="2257" t="str">
        <f>S43&amp;".1"</f>
        <v>1.1.1.1</v>
      </c>
      <c r="J44" s="1364"/>
      <c r="K44" s="1364"/>
      <c r="L44" s="1365"/>
      <c r="P44" s="2258">
        <v>1</v>
      </c>
      <c r="Q44" s="1355"/>
      <c r="R44" s="357"/>
      <c r="S44" s="1359" t="str">
        <f>$I44</f>
        <v>1.1.1.1</v>
      </c>
      <c r="T44" s="286" t="s">
        <v>492</v>
      </c>
      <c r="U44" s="301"/>
      <c r="V44" s="2351"/>
      <c r="W44" s="2352"/>
      <c r="X44" s="2352"/>
      <c r="Y44" s="2352"/>
      <c r="Z44" s="2352"/>
      <c r="AA44" s="2352"/>
      <c r="AB44" s="2353"/>
      <c r="AC44" s="2354"/>
      <c r="AD44" s="2355"/>
      <c r="AE44" s="2355"/>
      <c r="AF44" s="2355"/>
      <c r="AG44" s="2355"/>
      <c r="AH44" s="2355"/>
      <c r="AI44" s="2355"/>
      <c r="AJ44" s="2351"/>
      <c r="AK44" s="2352"/>
      <c r="AL44" s="2352"/>
      <c r="AM44" s="2352"/>
      <c r="AN44" s="2352"/>
      <c r="AO44" s="2352"/>
      <c r="AP44" s="2821"/>
      <c r="AQ44" s="2356"/>
      <c r="AR44" s="1259" t="s">
        <v>493</v>
      </c>
      <c r="AT44" s="501"/>
      <c r="AU44" s="501" t="str">
        <f>IF(T44="","",T44)</f>
        <v>Наименование признака дифференциации</v>
      </c>
      <c r="AV44" s="501"/>
      <c r="AW44" s="501"/>
      <c r="AX44" s="1156">
        <v>23</v>
      </c>
    </row>
    <row customHeight="1" ht="24">
      <c r="A45" s="1364" t="s">
        <v>229</v>
      </c>
      <c r="B45" s="1364" t="s">
        <v>230</v>
      </c>
      <c r="C45" s="1364" t="s">
        <v>231</v>
      </c>
      <c r="D45" s="1364" t="s">
        <v>504</v>
      </c>
      <c r="E45" s="2260"/>
      <c r="F45" s="2260"/>
      <c r="G45" s="2260"/>
      <c r="H45" s="2260"/>
      <c r="I45" s="2287"/>
      <c r="J45" s="2257" t="str">
        <f>I44&amp;".1"</f>
        <v>1.1.1.1.1</v>
      </c>
      <c r="K45" s="1364"/>
      <c r="L45" s="1365" t="s">
        <v>418</v>
      </c>
      <c r="P45" s="2258"/>
      <c r="Q45" s="2258">
        <v>1</v>
      </c>
      <c r="R45" s="358"/>
      <c r="S45" s="1359" t="str">
        <f>$J45</f>
        <v>1.1.1.1.1</v>
      </c>
      <c r="T45" s="287" t="s">
        <v>419</v>
      </c>
      <c r="U45" s="301"/>
      <c r="V45" s="2246"/>
      <c r="W45" s="2247"/>
      <c r="X45" s="2247"/>
      <c r="Y45" s="2247"/>
      <c r="Z45" s="2247"/>
      <c r="AA45" s="2247"/>
      <c r="AB45" s="2248"/>
      <c r="AC45" s="2246" t="s">
        <v>505</v>
      </c>
      <c r="AD45" s="2247"/>
      <c r="AE45" s="2247"/>
      <c r="AF45" s="2247"/>
      <c r="AG45" s="2247"/>
      <c r="AH45" s="2247"/>
      <c r="AI45" s="2247"/>
      <c r="AJ45" s="2246"/>
      <c r="AK45" s="2247"/>
      <c r="AL45" s="2247"/>
      <c r="AM45" s="2247"/>
      <c r="AN45" s="2247"/>
      <c r="AO45" s="2247"/>
      <c r="AP45" s="2822"/>
      <c r="AQ45" s="2248"/>
      <c r="AR45" s="1308" t="s">
        <v>494</v>
      </c>
      <c r="AT45" s="501"/>
      <c r="AU45" s="501" t="str">
        <f>IF(T45="","",T45)</f>
        <v>Группа потребителей</v>
      </c>
      <c r="AV45" s="501"/>
      <c r="AW45" s="501"/>
      <c r="AX45" s="1156">
        <v>23</v>
      </c>
    </row>
    <row customHeight="1" ht="24">
      <c r="A46" s="1364" t="s">
        <v>229</v>
      </c>
      <c r="B46" s="1364" t="s">
        <v>230</v>
      </c>
      <c r="C46" s="1364" t="s">
        <v>231</v>
      </c>
      <c r="D46" s="1364" t="s">
        <v>504</v>
      </c>
      <c r="E46" s="2260"/>
      <c r="F46" s="2260"/>
      <c r="G46" s="2260"/>
      <c r="H46" s="2260"/>
      <c r="I46" s="2287"/>
      <c r="J46" s="2287"/>
      <c r="K46" s="2257" t="str">
        <f>J45&amp;".1"</f>
        <v>1.1.1.1.1.1</v>
      </c>
      <c r="L46" s="1365"/>
      <c r="P46" s="2258"/>
      <c r="Q46" s="2258"/>
      <c r="R46" s="358">
        <v>1</v>
      </c>
      <c r="S46" s="1359" t="str">
        <f>$K46</f>
        <v>1.1.1.1.1.1</v>
      </c>
      <c r="T46" s="1438"/>
      <c r="U46" s="301"/>
      <c r="V46" s="752"/>
      <c r="W46" s="752"/>
      <c r="X46" s="1258"/>
      <c r="Y46" s="2603"/>
      <c r="Z46" s="2108" t="s">
        <v>63</v>
      </c>
      <c r="AA46" s="2288"/>
      <c r="AB46" s="2108" t="s">
        <v>63</v>
      </c>
      <c r="AC46" s="752">
        <v>100</v>
      </c>
      <c r="AD46" s="752"/>
      <c r="AE46" s="1258"/>
      <c r="AF46" s="2603">
        <v>45658</v>
      </c>
      <c r="AG46" s="2108" t="s">
        <v>63</v>
      </c>
      <c r="AH46" s="2288">
        <v>45838</v>
      </c>
      <c r="AI46" s="2108" t="s">
        <v>63</v>
      </c>
      <c r="AJ46" s="752">
        <v>103.59</v>
      </c>
      <c r="AK46" s="752"/>
      <c r="AL46" s="1258"/>
      <c r="AM46" s="2603">
        <v>45839</v>
      </c>
      <c r="AN46" s="2108" t="s">
        <v>63</v>
      </c>
      <c r="AO46" s="2288">
        <v>46022</v>
      </c>
      <c r="AP46" s="2108" t="s">
        <v>63</v>
      </c>
      <c r="AQ46" s="1439"/>
      <c r="AR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S46" s="512">
        <f>STRCHECKDATE(V47:AQ47)</f>
      </c>
      <c r="AT46" s="501"/>
      <c r="AU46" s="501" t="str">
        <f>IF(T46="","",T46)</f>
        <v/>
      </c>
      <c r="AV46" s="501"/>
      <c r="AW46" s="501"/>
      <c r="AX46" s="1156">
        <v>23</v>
      </c>
    </row>
    <row customHeight="1" ht="0">
      <c r="A47" s="1364" t="s">
        <v>229</v>
      </c>
      <c r="B47" s="1364" t="s">
        <v>230</v>
      </c>
      <c r="C47" s="1364" t="s">
        <v>231</v>
      </c>
      <c r="D47" s="1364" t="s">
        <v>504</v>
      </c>
      <c r="E47" s="2260"/>
      <c r="F47" s="2260"/>
      <c r="G47" s="2260"/>
      <c r="H47" s="2260"/>
      <c r="I47" s="2287"/>
      <c r="J47" s="2287"/>
      <c r="K47" s="2257"/>
      <c r="L47" s="1365"/>
      <c r="P47" s="2258"/>
      <c r="Q47" s="2258"/>
      <c r="R47" s="358"/>
      <c r="S47" s="1360"/>
      <c r="T47" s="301"/>
      <c r="U47" s="301"/>
      <c r="V47" s="326"/>
      <c r="W47" s="326"/>
      <c r="X47" s="329" t="str">
        <f>Y46&amp;"-"&amp;AA46</f>
        <v>-</v>
      </c>
      <c r="Y47" s="2310"/>
      <c r="Z47" s="2108"/>
      <c r="AA47" s="2289"/>
      <c r="AB47" s="2108"/>
      <c r="AC47" s="326"/>
      <c r="AD47" s="326"/>
      <c r="AE47" s="329" t="str">
        <f>AF46&amp;"-"&amp;AH46</f>
        <v>45658-45838</v>
      </c>
      <c r="AF47" s="2267"/>
      <c r="AG47" s="2108"/>
      <c r="AH47" s="2289"/>
      <c r="AI47" s="2108"/>
      <c r="AJ47" s="326"/>
      <c r="AK47" s="326"/>
      <c r="AL47" s="329" t="str">
        <f>AM46&amp;"-"&amp;AO46</f>
        <v>45839-46022</v>
      </c>
      <c r="AM47" s="2310"/>
      <c r="AN47" s="2108"/>
      <c r="AO47" s="2289"/>
      <c r="AP47" s="2108"/>
      <c r="AQ47" s="1440"/>
      <c r="AR47" s="2350"/>
      <c r="AT47" s="501"/>
      <c r="AU47" s="501" t="str">
        <f>IF(T47="","",T47)</f>
        <v/>
      </c>
      <c r="AV47" s="501"/>
      <c r="AW47" s="501"/>
      <c r="AX47" s="1156">
        <v>0</v>
      </c>
    </row>
    <row customHeight="1" ht="21">
      <c r="A48" s="1364" t="s">
        <v>229</v>
      </c>
      <c r="B48" s="1364" t="s">
        <v>230</v>
      </c>
      <c r="C48" s="1364" t="s">
        <v>231</v>
      </c>
      <c r="D48" s="1364" t="s">
        <v>504</v>
      </c>
      <c r="E48" s="2260"/>
      <c r="F48" s="2260"/>
      <c r="G48" s="2260"/>
      <c r="H48" s="2260"/>
      <c r="I48" s="2287"/>
      <c r="J48" s="2257"/>
      <c r="K48" s="1364"/>
      <c r="L48" s="1365"/>
      <c r="P48" s="2258"/>
      <c r="Q48" s="2258"/>
      <c r="R48" s="357"/>
      <c r="S48" s="1279"/>
      <c r="T48" s="288" t="s">
        <v>495</v>
      </c>
      <c r="U48" s="368"/>
      <c r="V48" s="368"/>
      <c r="W48" s="368"/>
      <c r="X48" s="368"/>
      <c r="Y48" s="368"/>
      <c r="Z48" s="368"/>
      <c r="AA48" s="368"/>
      <c r="AB48" s="368"/>
      <c r="AC48" s="368"/>
      <c r="AD48" s="368"/>
      <c r="AE48" s="368"/>
      <c r="AF48" s="368"/>
      <c r="AG48" s="368"/>
      <c r="AH48" s="368"/>
      <c r="AI48" s="368"/>
      <c r="AJ48" s="2693"/>
      <c r="AK48" s="2694"/>
      <c r="AL48" s="2695"/>
      <c r="AM48" s="2696"/>
      <c r="AN48" s="2697"/>
      <c r="AO48" s="2698"/>
      <c r="AP48" s="2840"/>
      <c r="AQ48" s="368"/>
      <c r="AR48" s="1259" t="s">
        <v>496</v>
      </c>
      <c r="AT48" s="501"/>
      <c r="AU48" s="501" t="str">
        <f>IF(T48="","",T48)</f>
        <v>Добавить значение признака дифференциации</v>
      </c>
      <c r="AV48" s="501"/>
      <c r="AW48" s="501"/>
      <c r="AX48" s="1156">
        <v>20</v>
      </c>
    </row>
    <row customHeight="1" ht="22.049999999999997">
      <c r="A49" s="1364" t="s">
        <v>229</v>
      </c>
      <c r="B49" s="1364" t="s">
        <v>230</v>
      </c>
      <c r="C49" s="1364" t="s">
        <v>231</v>
      </c>
      <c r="D49" s="1364" t="s">
        <v>504</v>
      </c>
      <c r="E49" s="2260"/>
      <c r="F49" s="2260"/>
      <c r="G49" s="2260"/>
      <c r="H49" s="2260"/>
      <c r="I49" s="2257"/>
      <c r="J49" s="1364"/>
      <c r="K49" s="1364"/>
      <c r="L49" s="1365"/>
      <c r="P49" s="2258"/>
      <c r="Q49" s="1355"/>
      <c r="R49" s="357"/>
      <c r="S49" s="1279"/>
      <c r="T49" s="366" t="s">
        <v>424</v>
      </c>
      <c r="U49" s="368"/>
      <c r="V49" s="368"/>
      <c r="W49" s="368"/>
      <c r="X49" s="368"/>
      <c r="Y49" s="368"/>
      <c r="Z49" s="368"/>
      <c r="AA49" s="368"/>
      <c r="AB49" s="367"/>
      <c r="AC49" s="368"/>
      <c r="AD49" s="368"/>
      <c r="AE49" s="368"/>
      <c r="AF49" s="368"/>
      <c r="AG49" s="368"/>
      <c r="AH49" s="368"/>
      <c r="AI49" s="367"/>
      <c r="AJ49" s="2700"/>
      <c r="AK49" s="2701"/>
      <c r="AL49" s="2702"/>
      <c r="AM49" s="2703"/>
      <c r="AN49" s="2704"/>
      <c r="AO49" s="2705"/>
      <c r="AP49" s="2841"/>
      <c r="AQ49" s="368"/>
      <c r="AR49" s="1441"/>
      <c r="AT49" s="501"/>
      <c r="AU49" s="501" t="str">
        <f>IF(T49="","",T49)</f>
        <v>Добавить группу потребителей</v>
      </c>
      <c r="AV49" s="501"/>
      <c r="AW49" s="501"/>
      <c r="AX49" s="1156">
        <v>21</v>
      </c>
    </row>
    <row customHeight="1" ht="22.049999999999997">
      <c r="A50" s="1364" t="s">
        <v>229</v>
      </c>
      <c r="B50" s="1364" t="s">
        <v>230</v>
      </c>
      <c r="C50" s="1364" t="s">
        <v>231</v>
      </c>
      <c r="D50" s="1364" t="s">
        <v>504</v>
      </c>
      <c r="E50" s="2260"/>
      <c r="F50" s="2260"/>
      <c r="G50" s="2260"/>
      <c r="H50" s="2259"/>
      <c r="I50" s="1364"/>
      <c r="J50" s="1364"/>
      <c r="K50" s="1364"/>
      <c r="L50" s="1365"/>
      <c r="M50" s="1366"/>
      <c r="N50" s="1366"/>
      <c r="O50" s="538"/>
      <c r="P50" s="361"/>
      <c r="Q50" s="376"/>
      <c r="R50" s="356"/>
      <c r="S50" s="1279"/>
      <c r="T50" s="373" t="s">
        <v>497</v>
      </c>
      <c r="U50" s="368"/>
      <c r="V50" s="368"/>
      <c r="W50" s="368"/>
      <c r="X50" s="368"/>
      <c r="Y50" s="368"/>
      <c r="Z50" s="368"/>
      <c r="AA50" s="368"/>
      <c r="AB50" s="367"/>
      <c r="AC50" s="368"/>
      <c r="AD50" s="368"/>
      <c r="AE50" s="368"/>
      <c r="AF50" s="368"/>
      <c r="AG50" s="368"/>
      <c r="AH50" s="368"/>
      <c r="AI50" s="367"/>
      <c r="AJ50" s="2707"/>
      <c r="AK50" s="2708"/>
      <c r="AL50" s="2709"/>
      <c r="AM50" s="2710"/>
      <c r="AN50" s="2711"/>
      <c r="AO50" s="2712"/>
      <c r="AP50" s="2842"/>
      <c r="AQ50" s="368"/>
      <c r="AR50" s="304"/>
      <c r="AT50" s="501"/>
      <c r="AU50" s="501" t="str">
        <f>IF(T50="","",T50)</f>
        <v>Добавить наименование признака дифференциации</v>
      </c>
      <c r="AV50" s="501"/>
      <c r="AW50" s="501"/>
      <c r="AX50" s="1156">
        <v>21</v>
      </c>
    </row>
    <row s="1643" customFormat="1" customHeight="1" ht="0">
      <c r="A51" s="1344" t="s">
        <v>229</v>
      </c>
      <c r="B51" s="1344" t="s">
        <v>230</v>
      </c>
      <c r="C51" s="1315"/>
      <c r="D51" s="1315"/>
      <c r="E51" s="2260"/>
      <c r="F51" s="2259"/>
      <c r="G51" s="1315"/>
      <c r="H51" s="1315"/>
      <c r="I51" s="1315"/>
      <c r="J51" s="1315"/>
      <c r="K51" s="1315"/>
      <c r="L51" s="1427"/>
      <c r="M51" s="1322"/>
      <c r="N51" s="1322"/>
      <c r="P51" s="1317"/>
      <c r="Q51" s="1318"/>
      <c r="R51" s="1317"/>
      <c r="S51" s="1323"/>
      <c r="T51" s="1326" t="s">
        <v>232</v>
      </c>
      <c r="U51" s="1325"/>
      <c r="V51" s="1325"/>
      <c r="W51" s="1325"/>
      <c r="X51" s="1325"/>
      <c r="Y51" s="1325"/>
      <c r="Z51" s="1325"/>
      <c r="AA51" s="1325"/>
      <c r="AB51" s="1325"/>
      <c r="AC51" s="1325"/>
      <c r="AD51" s="1325"/>
      <c r="AE51" s="1325"/>
      <c r="AF51" s="1325"/>
      <c r="AG51" s="1325"/>
      <c r="AH51" s="1325"/>
      <c r="AI51" s="1325"/>
      <c r="AJ51" s="1325"/>
      <c r="AK51" s="1325"/>
      <c r="AL51" s="1325"/>
      <c r="AM51" s="1325"/>
      <c r="AN51" s="1325"/>
      <c r="AO51" s="1325"/>
      <c r="AP51" s="2827"/>
      <c r="AQ51" s="1325"/>
      <c r="AR51" s="1325"/>
      <c r="AT51" s="790"/>
      <c r="AU51" s="790" t="str">
        <f>IF(T51="","",T51)</f>
        <v>Добавить централизованную систему для дифференциации</v>
      </c>
      <c r="AV51" s="790"/>
      <c r="AW51" s="790"/>
      <c r="AX51" s="519">
        <v>0</v>
      </c>
    </row>
    <row s="1643" customFormat="1" customHeight="1" ht="0">
      <c r="A52" s="1344" t="s">
        <v>229</v>
      </c>
      <c r="B52" s="1344"/>
      <c r="C52" s="1344"/>
      <c r="D52" s="1344"/>
      <c r="E52" s="2259"/>
      <c r="F52" s="1344"/>
      <c r="G52" s="1344"/>
      <c r="H52" s="1344"/>
      <c r="I52" s="1344"/>
      <c r="J52" s="1344"/>
      <c r="K52" s="1344"/>
      <c r="L52" s="1347"/>
      <c r="M52" s="1322"/>
      <c r="N52" s="1322"/>
      <c r="O52" s="519"/>
      <c r="P52" s="381"/>
      <c r="Q52" s="1345"/>
      <c r="R52" s="381"/>
      <c r="S52" s="1323"/>
      <c r="T52" s="1326" t="s">
        <v>233</v>
      </c>
      <c r="U52" s="1325"/>
      <c r="V52" s="1325"/>
      <c r="W52" s="1325"/>
      <c r="X52" s="1325"/>
      <c r="Y52" s="1325"/>
      <c r="Z52" s="1325"/>
      <c r="AA52" s="1325"/>
      <c r="AB52" s="1325"/>
      <c r="AC52" s="1325"/>
      <c r="AD52" s="1325"/>
      <c r="AE52" s="1325"/>
      <c r="AF52" s="1325"/>
      <c r="AG52" s="1325"/>
      <c r="AH52" s="1325"/>
      <c r="AI52" s="1325"/>
      <c r="AJ52" s="1325"/>
      <c r="AK52" s="1325"/>
      <c r="AL52" s="1325"/>
      <c r="AM52" s="1325"/>
      <c r="AN52" s="1325"/>
      <c r="AO52" s="1325"/>
      <c r="AP52" s="2827"/>
      <c r="AQ52" s="1325"/>
      <c r="AR52" s="1325"/>
      <c r="AT52" s="501"/>
      <c r="AU52" s="501" t="str">
        <f>IF(T52="","",T52)</f>
        <v>Добавить территорию для дифференциации</v>
      </c>
      <c r="AV52" s="501"/>
      <c r="AW52" s="501"/>
      <c r="AX52" s="512">
        <v>0</v>
      </c>
    </row>
    <row s="1851" customFormat="1" customHeight="1" ht="23.25">
      <c r="A53" s="1364" t="s">
        <v>236</v>
      </c>
      <c r="B53" s="1364"/>
      <c r="C53" s="1364"/>
      <c r="D53" s="1364"/>
      <c r="E53" s="2259" t="s">
        <v>113</v>
      </c>
      <c r="F53" s="1364"/>
      <c r="G53" s="1364"/>
      <c r="H53" s="1364"/>
      <c r="I53" s="1364"/>
      <c r="J53" s="1364"/>
      <c r="K53" s="1364"/>
      <c r="L53" s="1370"/>
      <c r="M53" s="1366"/>
      <c r="N53" s="1366"/>
      <c r="O53" s="1366"/>
      <c r="P53" s="2398"/>
      <c r="Q53" s="1824"/>
      <c r="R53" s="356"/>
      <c r="S53" s="2274" t="str">
        <f>INDEX(PT_DIFFERENTIATION_NUM_NTAR,MATCH(A53,PT_DIFFERENTIATION_NTAR_ID,0))</f>
        <v>2</v>
      </c>
      <c r="T53" s="1526" t="s">
        <v>126</v>
      </c>
      <c r="U53" s="301"/>
      <c r="V53" s="2243"/>
      <c r="W53" s="2244"/>
      <c r="X53" s="2244"/>
      <c r="Y53" s="2244"/>
      <c r="Z53" s="2244"/>
      <c r="AA53" s="2244"/>
      <c r="AB53" s="2245"/>
      <c r="AC53" s="2243" t="str">
        <f>INDEX(PT_DIFFERENTIATION_NTAR,MATCH(A53,PT_DIFFERENTIATION_NTAR_ID,0))</f>
        <v>Льготные тарифы на питьевую воду (питьевое водоснабжение), поставляемую населению и потребителям, приравненным к населению ИМУП "Посжилкомсервис"
</v>
      </c>
      <c r="AD53" s="2244"/>
      <c r="AE53" s="2244"/>
      <c r="AF53" s="2244"/>
      <c r="AG53" s="2244"/>
      <c r="AH53" s="2244"/>
      <c r="AI53" s="2244"/>
      <c r="AJ53" s="2243"/>
      <c r="AK53" s="2244"/>
      <c r="AL53" s="2244"/>
      <c r="AM53" s="2244"/>
      <c r="AN53" s="2244"/>
      <c r="AO53" s="2244"/>
      <c r="AP53" s="2820"/>
      <c r="AQ53" s="2245"/>
      <c r="AR53"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S53" s="1643"/>
      <c r="AT53" s="1625"/>
      <c r="AU53" s="1625" t="str">
        <f>IF(T53="","",T53)</f>
        <v>Наименование тарифа</v>
      </c>
      <c r="AV53" s="1625"/>
      <c r="AW53" s="1625"/>
      <c r="AX53" s="1636">
        <v>0</v>
      </c>
    </row>
    <row s="1851" customFormat="1" customHeight="1" ht="23.25">
      <c r="A54" s="1364"/>
      <c r="B54" s="1364" t="s">
        <v>237</v>
      </c>
      <c r="C54" s="1364"/>
      <c r="D54" s="1364"/>
      <c r="E54" s="2260">
        <v>1</v>
      </c>
      <c r="F54" s="2259">
        <v>1</v>
      </c>
      <c r="G54" s="1364"/>
      <c r="H54" s="1364"/>
      <c r="I54" s="1364"/>
      <c r="J54" s="1364"/>
      <c r="K54" s="1364"/>
      <c r="L54" s="1370"/>
      <c r="M54" s="1366"/>
      <c r="N54" s="1366"/>
      <c r="O54" s="1366"/>
      <c r="P54" s="2126"/>
      <c r="Q54" s="353"/>
      <c r="R54" s="354"/>
      <c r="S54" s="2274" t="str">
        <f>INDEX(PT_DIFFERENTIATION_NUM_TER,MATCH(B54,PT_DIFFERENTIATION_TER_ID,0))</f>
        <v>2.1</v>
      </c>
      <c r="T54" s="1523" t="s">
        <v>409</v>
      </c>
      <c r="U54" s="301"/>
      <c r="V54" s="2243"/>
      <c r="W54" s="2244"/>
      <c r="X54" s="2244"/>
      <c r="Y54" s="2244"/>
      <c r="Z54" s="2244"/>
      <c r="AA54" s="2244"/>
      <c r="AB54" s="2245"/>
      <c r="AC54" s="2243" t="str">
        <f>INDEX(PT_DIFFERENTIATION_TER,MATCH(B54,PT_DIFFERENTIATION_TER_ID,0))</f>
        <v>Территория 1</v>
      </c>
      <c r="AD54" s="2244"/>
      <c r="AE54" s="2244"/>
      <c r="AF54" s="2244"/>
      <c r="AG54" s="2244"/>
      <c r="AH54" s="2244"/>
      <c r="AI54" s="2244"/>
      <c r="AJ54" s="2243"/>
      <c r="AK54" s="2244"/>
      <c r="AL54" s="2244"/>
      <c r="AM54" s="2244"/>
      <c r="AN54" s="2244"/>
      <c r="AO54" s="2244"/>
      <c r="AP54" s="2820"/>
      <c r="AQ54" s="2245"/>
      <c r="AR54" s="1259" t="s">
        <v>410</v>
      </c>
      <c r="AS54" s="1643"/>
      <c r="AT54" s="1625"/>
      <c r="AU54" s="1625" t="str">
        <f>IF(T54="","",T54)</f>
        <v>Территория действия тарифа</v>
      </c>
      <c r="AV54" s="1625"/>
      <c r="AW54" s="1625"/>
      <c r="AX54" s="1636">
        <v>0</v>
      </c>
    </row>
    <row s="1851" customFormat="1" customHeight="1" ht="23.25">
      <c r="A55" s="1364"/>
      <c r="B55" s="1364"/>
      <c r="C55" s="1364" t="s">
        <v>238</v>
      </c>
      <c r="D55" s="1364"/>
      <c r="E55" s="2260">
        <v>1</v>
      </c>
      <c r="F55" s="2260"/>
      <c r="G55" s="2259">
        <v>1</v>
      </c>
      <c r="H55" s="1364"/>
      <c r="I55" s="1364"/>
      <c r="J55" s="1364"/>
      <c r="K55" s="1364"/>
      <c r="L55" s="1370"/>
      <c r="M55" s="1366"/>
      <c r="N55" s="1366"/>
      <c r="O55" s="1366"/>
      <c r="P55" s="355"/>
      <c r="Q55" s="353"/>
      <c r="R55" s="354"/>
      <c r="S55" s="2274" t="str">
        <f>INDEX(PT_DIFFERENTIATION_NUM_CS,MATCH(C55,PT_DIFFERENTIATION_CS_ID,0))</f>
        <v>2.1.1</v>
      </c>
      <c r="T55" s="310" t="s">
        <v>490</v>
      </c>
      <c r="U55" s="301"/>
      <c r="V55" s="2243"/>
      <c r="W55" s="2244"/>
      <c r="X55" s="2244"/>
      <c r="Y55" s="2244"/>
      <c r="Z55" s="2244"/>
      <c r="AA55" s="2244"/>
      <c r="AB55" s="2245"/>
      <c r="AC55" s="2243" t="str">
        <f>INDEX(PT_DIFFERENTIATION_CS,MATCH(C55,PT_DIFFERENTIATION_CS_ID,0))</f>
        <v>без дифференциации</v>
      </c>
      <c r="AD55" s="2244"/>
      <c r="AE55" s="2244"/>
      <c r="AF55" s="2244"/>
      <c r="AG55" s="2244"/>
      <c r="AH55" s="2244"/>
      <c r="AI55" s="2244"/>
      <c r="AJ55" s="2243"/>
      <c r="AK55" s="2244"/>
      <c r="AL55" s="2244"/>
      <c r="AM55" s="2244"/>
      <c r="AN55" s="2244"/>
      <c r="AO55" s="2244"/>
      <c r="AP55" s="2820"/>
      <c r="AQ55" s="2245"/>
      <c r="AR55" s="1259" t="s">
        <v>491</v>
      </c>
      <c r="AS55" s="1643"/>
      <c r="AT55" s="1625"/>
      <c r="AU55" s="1625" t="str">
        <f>IF(T55="","",T55)</f>
        <v>Наименование централизованной системы холодного водоснабжения</v>
      </c>
      <c r="AV55" s="1625"/>
      <c r="AW55" s="1625"/>
      <c r="AX55" s="1636">
        <v>0</v>
      </c>
    </row>
    <row s="1851" customFormat="1" customHeight="1" ht="23.25">
      <c r="A56" s="1364"/>
      <c r="B56" s="1364"/>
      <c r="C56" s="1364"/>
      <c r="D56" s="1364"/>
      <c r="E56" s="2260">
        <v>1</v>
      </c>
      <c r="F56" s="2260"/>
      <c r="G56" s="2260"/>
      <c r="H56" s="2260"/>
      <c r="I56" s="2257" t="str">
        <f>S55&amp;".1"</f>
        <v>2.1.1.1</v>
      </c>
      <c r="J56" s="1364"/>
      <c r="K56" s="1364"/>
      <c r="L56" s="1370"/>
      <c r="M56" s="1777"/>
      <c r="N56" s="1777"/>
      <c r="O56" s="1777"/>
      <c r="P56" s="2375">
        <v>1</v>
      </c>
      <c r="Q56" s="2375"/>
      <c r="R56" s="357"/>
      <c r="S56" s="2274" t="str">
        <f>$I56</f>
        <v>2.1.1.1</v>
      </c>
      <c r="T56" s="286" t="s">
        <v>492</v>
      </c>
      <c r="U56" s="301"/>
      <c r="V56" s="2351"/>
      <c r="W56" s="2352"/>
      <c r="X56" s="2352"/>
      <c r="Y56" s="2352"/>
      <c r="Z56" s="2352"/>
      <c r="AA56" s="2352"/>
      <c r="AB56" s="2353"/>
      <c r="AC56" s="2354"/>
      <c r="AD56" s="2355"/>
      <c r="AE56" s="2355"/>
      <c r="AF56" s="2355"/>
      <c r="AG56" s="2355"/>
      <c r="AH56" s="2355"/>
      <c r="AI56" s="2355"/>
      <c r="AJ56" s="2351"/>
      <c r="AK56" s="2352"/>
      <c r="AL56" s="2352"/>
      <c r="AM56" s="2352"/>
      <c r="AN56" s="2352"/>
      <c r="AO56" s="2352"/>
      <c r="AP56" s="2821"/>
      <c r="AQ56" s="2356"/>
      <c r="AR56" s="1259" t="s">
        <v>493</v>
      </c>
      <c r="AS56" s="1643"/>
      <c r="AT56" s="1625"/>
      <c r="AU56" s="1625" t="str">
        <f>IF(T56="","",T56)</f>
        <v>Наименование признака дифференциации</v>
      </c>
      <c r="AV56" s="1625"/>
      <c r="AW56" s="1625"/>
      <c r="AX56" s="1636">
        <v>0</v>
      </c>
    </row>
    <row s="1851" customFormat="1" customHeight="1" ht="23.25">
      <c r="A57" s="1364"/>
      <c r="B57" s="1364"/>
      <c r="C57" s="1364"/>
      <c r="D57" s="1364"/>
      <c r="E57" s="2260">
        <v>1</v>
      </c>
      <c r="F57" s="2260"/>
      <c r="G57" s="2260"/>
      <c r="H57" s="2260"/>
      <c r="I57" s="2287"/>
      <c r="J57" s="2257" t="str">
        <f>I56&amp;".1"</f>
        <v>2.1.1.1.1</v>
      </c>
      <c r="K57" s="1364"/>
      <c r="L57" s="1370" t="s">
        <v>418</v>
      </c>
      <c r="M57" s="1777"/>
      <c r="N57" s="1777"/>
      <c r="O57" s="1777"/>
      <c r="P57" s="2375"/>
      <c r="Q57" s="2375">
        <v>1</v>
      </c>
      <c r="R57" s="358"/>
      <c r="S57" s="2274" t="str">
        <f>$J57</f>
        <v>2.1.1.1.1</v>
      </c>
      <c r="T57" s="287" t="s">
        <v>419</v>
      </c>
      <c r="U57" s="301"/>
      <c r="V57" s="2246"/>
      <c r="W57" s="2247"/>
      <c r="X57" s="2247"/>
      <c r="Y57" s="2247"/>
      <c r="Z57" s="2247"/>
      <c r="AA57" s="2247"/>
      <c r="AB57" s="2248"/>
      <c r="AC57" s="2246" t="s">
        <v>506</v>
      </c>
      <c r="AD57" s="2247"/>
      <c r="AE57" s="2247"/>
      <c r="AF57" s="2247"/>
      <c r="AG57" s="2247"/>
      <c r="AH57" s="2247"/>
      <c r="AI57" s="2247"/>
      <c r="AJ57" s="2246"/>
      <c r="AK57" s="2247"/>
      <c r="AL57" s="2247"/>
      <c r="AM57" s="2247"/>
      <c r="AN57" s="2247"/>
      <c r="AO57" s="2247"/>
      <c r="AP57" s="2822"/>
      <c r="AQ57" s="2248"/>
      <c r="AR57" s="1308" t="s">
        <v>494</v>
      </c>
      <c r="AS57" s="1643"/>
      <c r="AT57" s="1625"/>
      <c r="AU57" s="1625" t="str">
        <f>IF(T57="","",T57)</f>
        <v>Группа потребителей</v>
      </c>
      <c r="AV57" s="1625"/>
      <c r="AW57" s="1625"/>
      <c r="AX57" s="1636">
        <v>0</v>
      </c>
    </row>
    <row s="1851" customFormat="1" customHeight="1" ht="23.25">
      <c r="A58" s="1364"/>
      <c r="B58" s="1364"/>
      <c r="C58" s="1364"/>
      <c r="D58" s="1364"/>
      <c r="E58" s="2260">
        <v>1</v>
      </c>
      <c r="F58" s="2260"/>
      <c r="G58" s="2260"/>
      <c r="H58" s="2260"/>
      <c r="I58" s="2287"/>
      <c r="J58" s="2287"/>
      <c r="K58" s="2257" t="str">
        <f>J57&amp;".1"</f>
        <v>2.1.1.1.1.1</v>
      </c>
      <c r="L58" s="1370"/>
      <c r="M58" s="1777"/>
      <c r="N58" s="1777"/>
      <c r="O58" s="1777"/>
      <c r="P58" s="2375"/>
      <c r="Q58" s="2375"/>
      <c r="R58" s="358">
        <v>1</v>
      </c>
      <c r="S58" s="2274" t="str">
        <f>$K58</f>
        <v>2.1.1.1.1.1</v>
      </c>
      <c r="T58" s="1438"/>
      <c r="U58" s="301"/>
      <c r="V58" s="752"/>
      <c r="W58" s="752"/>
      <c r="X58" s="1258"/>
      <c r="Y58" s="2603"/>
      <c r="Z58" s="2108" t="s">
        <v>63</v>
      </c>
      <c r="AA58" s="2603"/>
      <c r="AB58" s="2108" t="s">
        <v>63</v>
      </c>
      <c r="AC58" s="752">
        <v>66.11</v>
      </c>
      <c r="AD58" s="752"/>
      <c r="AE58" s="1258"/>
      <c r="AF58" s="2603">
        <v>45658</v>
      </c>
      <c r="AG58" s="2108" t="s">
        <v>63</v>
      </c>
      <c r="AH58" s="2288">
        <v>45838</v>
      </c>
      <c r="AI58" s="2108" t="s">
        <v>63</v>
      </c>
      <c r="AJ58" s="752">
        <v>71.07</v>
      </c>
      <c r="AK58" s="752"/>
      <c r="AL58" s="1258"/>
      <c r="AM58" s="2603">
        <v>45839</v>
      </c>
      <c r="AN58" s="2108" t="s">
        <v>63</v>
      </c>
      <c r="AO58" s="2603">
        <v>46022</v>
      </c>
      <c r="AP58" s="2108" t="s">
        <v>63</v>
      </c>
      <c r="AQ58" s="1439"/>
      <c r="AR58"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S58" s="1643">
        <f>STRCHECKDATE(V59:AQ59)</f>
      </c>
      <c r="AT58" s="1625"/>
      <c r="AU58" s="1625" t="str">
        <f>IF(T58="","",T58)</f>
        <v/>
      </c>
      <c r="AV58" s="1625"/>
      <c r="AW58" s="1625"/>
      <c r="AX58" s="1636">
        <v>0</v>
      </c>
    </row>
    <row s="1851" customFormat="1" customHeight="1" ht="14.25">
      <c r="A59" s="1364"/>
      <c r="B59" s="1364"/>
      <c r="C59" s="1364"/>
      <c r="D59" s="1364"/>
      <c r="E59" s="2260">
        <v>1</v>
      </c>
      <c r="F59" s="2260"/>
      <c r="G59" s="2260"/>
      <c r="H59" s="2260"/>
      <c r="I59" s="2287"/>
      <c r="J59" s="2287"/>
      <c r="K59" s="2257"/>
      <c r="L59" s="1370"/>
      <c r="M59" s="1777"/>
      <c r="N59" s="1777"/>
      <c r="O59" s="1777"/>
      <c r="P59" s="2375"/>
      <c r="Q59" s="2375"/>
      <c r="R59" s="358"/>
      <c r="S59" s="2514"/>
      <c r="T59" s="301"/>
      <c r="U59" s="301"/>
      <c r="V59" s="326"/>
      <c r="W59" s="326"/>
      <c r="X59" s="329" t="str">
        <f>Y58&amp;"-"&amp;AA58</f>
        <v>-</v>
      </c>
      <c r="Y59" s="2310"/>
      <c r="Z59" s="2108"/>
      <c r="AA59" s="2310"/>
      <c r="AB59" s="2108"/>
      <c r="AC59" s="326"/>
      <c r="AD59" s="326"/>
      <c r="AE59" s="329" t="str">
        <f>AF58&amp;"-"&amp;AH58</f>
        <v>45658-45838</v>
      </c>
      <c r="AF59" s="2310"/>
      <c r="AG59" s="2108"/>
      <c r="AH59" s="2289"/>
      <c r="AI59" s="2108"/>
      <c r="AJ59" s="326"/>
      <c r="AK59" s="326"/>
      <c r="AL59" s="329" t="str">
        <f>AM58&amp;"-"&amp;AO58</f>
        <v>45839-46022</v>
      </c>
      <c r="AM59" s="2310"/>
      <c r="AN59" s="2108"/>
      <c r="AO59" s="2310"/>
      <c r="AP59" s="2108"/>
      <c r="AQ59" s="1440"/>
      <c r="AR59" s="2350"/>
      <c r="AS59" s="1643"/>
      <c r="AT59" s="1625"/>
      <c r="AU59" s="1625" t="str">
        <f>IF(T59="","",T59)</f>
        <v/>
      </c>
      <c r="AV59" s="1625"/>
      <c r="AW59" s="1625"/>
      <c r="AX59" s="1636">
        <v>0</v>
      </c>
    </row>
    <row s="1851" customFormat="1" customHeight="1" ht="21">
      <c r="A60" s="1364"/>
      <c r="B60" s="1364"/>
      <c r="C60" s="1364"/>
      <c r="D60" s="1364"/>
      <c r="E60" s="2260">
        <v>1</v>
      </c>
      <c r="F60" s="2260"/>
      <c r="G60" s="2260"/>
      <c r="H60" s="2260"/>
      <c r="I60" s="2287"/>
      <c r="J60" s="2257"/>
      <c r="K60" s="1364"/>
      <c r="L60" s="1370"/>
      <c r="M60" s="1777"/>
      <c r="N60" s="1777"/>
      <c r="O60" s="1777"/>
      <c r="P60" s="2375"/>
      <c r="Q60" s="2375"/>
      <c r="R60" s="357"/>
      <c r="S60" s="2714"/>
      <c r="T60" s="2715" t="s">
        <v>495</v>
      </c>
      <c r="U60" s="2716"/>
      <c r="V60" s="2717"/>
      <c r="W60" s="2718"/>
      <c r="X60" s="2719"/>
      <c r="Y60" s="2720"/>
      <c r="Z60" s="2721"/>
      <c r="AA60" s="2722"/>
      <c r="AB60" s="2723"/>
      <c r="AC60" s="2724"/>
      <c r="AD60" s="2725"/>
      <c r="AE60" s="2726"/>
      <c r="AF60" s="2727"/>
      <c r="AG60" s="2728"/>
      <c r="AH60" s="2729"/>
      <c r="AI60" s="2730"/>
      <c r="AJ60" s="2731"/>
      <c r="AK60" s="2732"/>
      <c r="AL60" s="2733"/>
      <c r="AM60" s="2734"/>
      <c r="AN60" s="2735"/>
      <c r="AO60" s="2736"/>
      <c r="AP60" s="2843"/>
      <c r="AQ60" s="2738"/>
      <c r="AR60" s="1259" t="s">
        <v>496</v>
      </c>
      <c r="AS60" s="1643"/>
      <c r="AT60" s="1625"/>
      <c r="AU60" s="1625" t="str">
        <f>IF(T60="","",T60)</f>
        <v>Добавить значение признака дифференциации</v>
      </c>
      <c r="AV60" s="1625"/>
      <c r="AW60" s="1625"/>
      <c r="AX60" s="1636">
        <v>0</v>
      </c>
    </row>
    <row s="1851" customFormat="1" customHeight="1" ht="21">
      <c r="A61" s="1364"/>
      <c r="B61" s="1364"/>
      <c r="C61" s="1364"/>
      <c r="D61" s="1364"/>
      <c r="E61" s="2260">
        <v>1</v>
      </c>
      <c r="F61" s="2260"/>
      <c r="G61" s="2260"/>
      <c r="H61" s="2260"/>
      <c r="I61" s="2257"/>
      <c r="J61" s="1364"/>
      <c r="K61" s="1364"/>
      <c r="L61" s="1370"/>
      <c r="M61" s="1777"/>
      <c r="N61" s="1777"/>
      <c r="O61" s="1777"/>
      <c r="P61" s="2375"/>
      <c r="Q61" s="2375"/>
      <c r="R61" s="357"/>
      <c r="S61" s="2739"/>
      <c r="T61" s="2740" t="s">
        <v>424</v>
      </c>
      <c r="U61" s="2741"/>
      <c r="V61" s="2742"/>
      <c r="W61" s="2743"/>
      <c r="X61" s="2744"/>
      <c r="Y61" s="2745"/>
      <c r="Z61" s="2746"/>
      <c r="AA61" s="2747"/>
      <c r="AB61" s="2748"/>
      <c r="AC61" s="2749"/>
      <c r="AD61" s="2750"/>
      <c r="AE61" s="2751"/>
      <c r="AF61" s="2752"/>
      <c r="AG61" s="2753"/>
      <c r="AH61" s="2754"/>
      <c r="AI61" s="2755"/>
      <c r="AJ61" s="2756"/>
      <c r="AK61" s="2757"/>
      <c r="AL61" s="2758"/>
      <c r="AM61" s="2759"/>
      <c r="AN61" s="2760"/>
      <c r="AO61" s="2761"/>
      <c r="AP61" s="2844"/>
      <c r="AQ61" s="2763"/>
      <c r="AR61" s="2764"/>
      <c r="AS61" s="1643"/>
      <c r="AT61" s="1625"/>
      <c r="AU61" s="1625" t="str">
        <f>IF(T61="","",T61)</f>
        <v>Добавить группу потребителей</v>
      </c>
      <c r="AV61" s="1625"/>
      <c r="AW61" s="1625"/>
      <c r="AX61" s="1636">
        <v>0</v>
      </c>
    </row>
    <row s="1851" customFormat="1" customHeight="1" ht="14.25">
      <c r="A62" s="1364"/>
      <c r="B62" s="1364"/>
      <c r="C62" s="1364"/>
      <c r="D62" s="1364"/>
      <c r="E62" s="2260">
        <v>1</v>
      </c>
      <c r="F62" s="2260"/>
      <c r="G62" s="2260"/>
      <c r="H62" s="2259"/>
      <c r="I62" s="1364"/>
      <c r="J62" s="1364"/>
      <c r="K62" s="1364"/>
      <c r="L62" s="1370"/>
      <c r="M62" s="1366"/>
      <c r="N62" s="1366"/>
      <c r="O62" s="1367"/>
      <c r="P62" s="1824"/>
      <c r="Q62" s="376"/>
      <c r="R62" s="356"/>
      <c r="S62" s="2765"/>
      <c r="T62" s="2766" t="s">
        <v>497</v>
      </c>
      <c r="U62" s="2767"/>
      <c r="V62" s="2768"/>
      <c r="W62" s="2769"/>
      <c r="X62" s="2770"/>
      <c r="Y62" s="2771"/>
      <c r="Z62" s="2772"/>
      <c r="AA62" s="2773"/>
      <c r="AB62" s="2774"/>
      <c r="AC62" s="2775"/>
      <c r="AD62" s="2776"/>
      <c r="AE62" s="2777"/>
      <c r="AF62" s="2778"/>
      <c r="AG62" s="2779"/>
      <c r="AH62" s="2780"/>
      <c r="AI62" s="2781"/>
      <c r="AJ62" s="2782"/>
      <c r="AK62" s="2783"/>
      <c r="AL62" s="2784"/>
      <c r="AM62" s="2785"/>
      <c r="AN62" s="2786"/>
      <c r="AO62" s="2787"/>
      <c r="AP62" s="2845"/>
      <c r="AQ62" s="2789"/>
      <c r="AR62" s="2790"/>
      <c r="AS62" s="1643"/>
      <c r="AT62" s="1625"/>
      <c r="AU62" s="1625" t="str">
        <f>IF(T62="","",T62)</f>
        <v>Добавить наименование признака дифференциации</v>
      </c>
      <c r="AV62" s="1625"/>
      <c r="AW62" s="1625"/>
      <c r="AX62" s="1636">
        <v>0</v>
      </c>
    </row>
    <row s="623" customFormat="1" customHeight="1" ht="14.25">
      <c r="A63" s="1344"/>
      <c r="B63" s="1344"/>
      <c r="C63" s="1344"/>
      <c r="D63" s="1344"/>
      <c r="E63" s="2260">
        <v>1</v>
      </c>
      <c r="F63" s="2259"/>
      <c r="G63" s="1344"/>
      <c r="H63" s="1344"/>
      <c r="I63" s="1344"/>
      <c r="J63" s="1344"/>
      <c r="K63" s="1344"/>
      <c r="L63" s="1546"/>
      <c r="M63" s="1322"/>
      <c r="N63" s="1322"/>
      <c r="O63" s="1643"/>
      <c r="P63" s="1317"/>
      <c r="Q63" s="1345"/>
      <c r="R63" s="1317"/>
      <c r="S63" s="1323"/>
      <c r="T63" s="1326" t="s">
        <v>232</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643"/>
      <c r="AT63" s="1625"/>
      <c r="AU63" s="1625" t="str">
        <f>IF(T63="","",T63)</f>
        <v>Добавить централизованную систему для дифференциации</v>
      </c>
      <c r="AV63" s="1625"/>
      <c r="AW63" s="1625"/>
      <c r="AX63" s="1643">
        <v>0</v>
      </c>
    </row>
    <row s="623" customFormat="1" customHeight="1" ht="14.25">
      <c r="A64" s="1344"/>
      <c r="B64" s="1344"/>
      <c r="C64" s="1344"/>
      <c r="D64" s="1344"/>
      <c r="E64" s="2259">
        <v>1</v>
      </c>
      <c r="F64" s="1344"/>
      <c r="G64" s="1344"/>
      <c r="H64" s="1344"/>
      <c r="I64" s="1344"/>
      <c r="J64" s="1344"/>
      <c r="K64" s="1344"/>
      <c r="L64" s="1546"/>
      <c r="M64" s="1322"/>
      <c r="N64" s="1322"/>
      <c r="O64" s="1643"/>
      <c r="P64" s="1317"/>
      <c r="Q64" s="1345"/>
      <c r="R64" s="1317"/>
      <c r="S64" s="1323"/>
      <c r="T64" s="1326" t="s">
        <v>233</v>
      </c>
      <c r="U64" s="1325"/>
      <c r="V64" s="1325"/>
      <c r="W64" s="1325"/>
      <c r="X64" s="1325"/>
      <c r="Y64" s="1325"/>
      <c r="Z64" s="1325"/>
      <c r="AA64" s="1325"/>
      <c r="AB64" s="1325"/>
      <c r="AC64" s="1325"/>
      <c r="AD64" s="1325"/>
      <c r="AE64" s="1325"/>
      <c r="AF64" s="1325"/>
      <c r="AG64" s="1325"/>
      <c r="AH64" s="1325"/>
      <c r="AI64" s="1325"/>
      <c r="AJ64" s="1325"/>
      <c r="AK64" s="1325"/>
      <c r="AL64" s="1325"/>
      <c r="AM64" s="1325"/>
      <c r="AN64" s="1325"/>
      <c r="AO64" s="1325"/>
      <c r="AP64" s="1325"/>
      <c r="AQ64" s="1325"/>
      <c r="AR64" s="1325"/>
      <c r="AS64" s="1643"/>
      <c r="AT64" s="1625"/>
      <c r="AU64" s="1625" t="str">
        <f>IF(T64="","",T64)</f>
        <v>Добавить территорию для дифференциации</v>
      </c>
      <c r="AV64" s="1625"/>
      <c r="AW64" s="1625"/>
      <c r="AX64" s="1643">
        <v>0</v>
      </c>
    </row>
    <row s="1643" customFormat="1" customHeight="1" ht="0">
      <c r="A65" s="1315"/>
      <c r="B65" s="1315"/>
      <c r="C65" s="1315"/>
      <c r="D65" s="1315"/>
      <c r="E65" s="1344"/>
      <c r="F65" s="1315"/>
      <c r="G65" s="1315"/>
      <c r="H65" s="1315"/>
      <c r="I65" s="1315"/>
      <c r="J65" s="1315"/>
      <c r="K65" s="1315"/>
      <c r="L65" s="1427"/>
      <c r="M65" s="1322"/>
      <c r="N65" s="1322"/>
      <c r="P65" s="1317"/>
      <c r="Q65" s="1318"/>
      <c r="R65" s="1317"/>
      <c r="S65" s="1323"/>
      <c r="T65" s="1326" t="s">
        <v>240</v>
      </c>
      <c r="U65" s="1325"/>
      <c r="V65" s="1325"/>
      <c r="W65" s="1325"/>
      <c r="X65" s="1325"/>
      <c r="Y65" s="1325"/>
      <c r="Z65" s="1325"/>
      <c r="AA65" s="1325"/>
      <c r="AB65" s="1325"/>
      <c r="AC65" s="1325"/>
      <c r="AD65" s="1325"/>
      <c r="AE65" s="1325"/>
      <c r="AF65" s="1325"/>
      <c r="AG65" s="1325"/>
      <c r="AH65" s="1325"/>
      <c r="AI65" s="1325"/>
      <c r="AJ65" s="1325"/>
      <c r="AK65" s="1325"/>
      <c r="AL65" s="1325"/>
      <c r="AM65" s="1325"/>
      <c r="AN65" s="1325"/>
      <c r="AO65" s="1325"/>
      <c r="AP65" s="2827"/>
      <c r="AQ65" s="1325"/>
      <c r="AR65" s="1325"/>
      <c r="AT65" s="790"/>
      <c r="AU65" s="790" t="str">
        <f>IF(T65="","",T65)</f>
        <v>Добавить наименование тарифа</v>
      </c>
      <c r="AV65" s="790"/>
      <c r="AW65" s="790"/>
      <c r="AX65" s="519">
        <v>0</v>
      </c>
    </row>
    <row customHeight="1" ht="11.549999999999999">
      <c r="M66" s="1161"/>
      <c r="N66" s="1161"/>
      <c r="O66" s="538"/>
      <c r="P66" s="1156"/>
      <c r="Q66" s="1156"/>
      <c r="R66" s="1156"/>
      <c r="S66" s="1156"/>
      <c r="AJ66" s="1636"/>
      <c r="AK66" s="1636"/>
      <c r="AL66" s="1636"/>
      <c r="AM66" s="1636"/>
      <c r="AN66" s="1636"/>
      <c r="AO66" s="1636"/>
      <c r="AP66" s="2819"/>
      <c r="AS66" s="1156"/>
      <c r="AT66" s="1156"/>
      <c r="AU66" s="1156"/>
      <c r="AV66" s="1156"/>
      <c r="AW66" s="1156"/>
      <c r="AX66" s="1156">
        <v>11</v>
      </c>
    </row>
    <row customHeight="1" ht="14.699999999999998">
      <c r="O67" s="538"/>
      <c r="S67" s="1254"/>
      <c r="T67" s="2286"/>
      <c r="U67" s="2286"/>
      <c r="V67" s="2286"/>
      <c r="W67" s="2286"/>
      <c r="X67" s="2286"/>
      <c r="Y67" s="2286"/>
      <c r="Z67" s="2286"/>
      <c r="AA67" s="2286"/>
      <c r="AB67" s="2286"/>
      <c r="AC67" s="2286"/>
      <c r="AD67" s="2286"/>
      <c r="AE67" s="2286"/>
      <c r="AF67" s="2286"/>
      <c r="AG67" s="2286"/>
      <c r="AH67" s="2286"/>
      <c r="AI67" s="2286"/>
      <c r="AJ67" s="2386"/>
      <c r="AK67" s="2386"/>
      <c r="AL67" s="2386"/>
      <c r="AM67" s="2386"/>
      <c r="AN67" s="2386"/>
      <c r="AO67" s="2386"/>
      <c r="AP67" s="2846"/>
      <c r="AQ67" s="2286"/>
      <c r="AR67" s="2286"/>
      <c r="AX67" s="1156">
        <v>14</v>
      </c>
    </row>
    <row customHeight="1" ht="14.699999999999998">
      <c r="O68" s="538"/>
      <c r="AJ68" s="1636"/>
      <c r="AK68" s="1636"/>
      <c r="AL68" s="1636"/>
      <c r="AM68" s="1636"/>
      <c r="AN68" s="1636"/>
      <c r="AO68" s="1636"/>
      <c r="AP68" s="2819"/>
      <c r="AX68" s="1156">
        <v>14</v>
      </c>
    </row>
    <row customHeight="1" ht="14.699999999999998">
      <c r="O69" s="538"/>
      <c r="S69" s="1254"/>
      <c r="T69" s="2286"/>
      <c r="U69" s="2286"/>
      <c r="V69" s="2286"/>
      <c r="W69" s="2286"/>
      <c r="X69" s="2286"/>
      <c r="Y69" s="2286"/>
      <c r="Z69" s="2286"/>
      <c r="AA69" s="2286"/>
      <c r="AB69" s="2286"/>
      <c r="AC69" s="2286"/>
      <c r="AD69" s="2286"/>
      <c r="AE69" s="2286"/>
      <c r="AF69" s="2286"/>
      <c r="AG69" s="2286"/>
      <c r="AH69" s="2286"/>
      <c r="AI69" s="2286"/>
      <c r="AJ69" s="2386"/>
      <c r="AK69" s="2386"/>
      <c r="AL69" s="2386"/>
      <c r="AM69" s="2386"/>
      <c r="AN69" s="2386"/>
      <c r="AO69" s="2386"/>
      <c r="AP69" s="2846"/>
      <c r="AQ69" s="2286"/>
      <c r="AR69" s="2286"/>
      <c r="AX69" s="1156">
        <v>14</v>
      </c>
    </row>
    <row customHeight="1" ht="22.5" hidden="1">
      <c r="A70" s="1161" t="s">
        <v>84</v>
      </c>
      <c r="B70" s="1161">
        <v>0</v>
      </c>
      <c r="C70" s="1161">
        <v>0</v>
      </c>
      <c r="D70" s="1161">
        <v>0</v>
      </c>
      <c r="E70" s="1161">
        <v>0</v>
      </c>
      <c r="F70" s="1161">
        <v>0</v>
      </c>
      <c r="G70" s="1161">
        <v>0</v>
      </c>
      <c r="H70" s="1161">
        <v>0</v>
      </c>
      <c r="I70" s="1161">
        <v>0</v>
      </c>
      <c r="J70" s="1161">
        <v>0</v>
      </c>
      <c r="K70" s="1161">
        <v>0</v>
      </c>
      <c r="L70" s="1422">
        <v>0</v>
      </c>
      <c r="M70" s="1363">
        <v>0</v>
      </c>
      <c r="N70" s="1363">
        <v>0</v>
      </c>
      <c r="O70" s="1363">
        <v>0</v>
      </c>
      <c r="P70" s="1352">
        <v>3</v>
      </c>
      <c r="Q70" s="345">
        <v>3</v>
      </c>
      <c r="R70" s="345">
        <v>3</v>
      </c>
      <c r="S70" s="582">
        <v>12</v>
      </c>
      <c r="T70" s="1156">
        <v>35</v>
      </c>
      <c r="U70" s="1156">
        <v>0</v>
      </c>
      <c r="V70" s="1156">
        <v>0</v>
      </c>
      <c r="W70" s="1156">
        <v>0</v>
      </c>
      <c r="X70" s="1156">
        <v>0</v>
      </c>
      <c r="Y70" s="1156">
        <v>0</v>
      </c>
      <c r="Z70" s="1156">
        <v>0</v>
      </c>
      <c r="AA70" s="1156">
        <v>0</v>
      </c>
      <c r="AB70" s="1156">
        <v>0</v>
      </c>
      <c r="AC70" s="1156">
        <v>24</v>
      </c>
      <c r="AD70" s="1156">
        <v>24</v>
      </c>
      <c r="AE70" s="1156">
        <v>24</v>
      </c>
      <c r="AF70" s="1156">
        <v>11</v>
      </c>
      <c r="AG70" s="1156">
        <v>3</v>
      </c>
      <c r="AH70" s="1156">
        <v>11</v>
      </c>
      <c r="AI70" s="1156">
        <v>0</v>
      </c>
      <c r="AJ70" s="1636">
        <v>0</v>
      </c>
      <c r="AK70" s="1636">
        <v>0</v>
      </c>
      <c r="AL70" s="1636">
        <v>0</v>
      </c>
      <c r="AM70" s="1636">
        <v>0</v>
      </c>
      <c r="AN70" s="1636">
        <v>0</v>
      </c>
      <c r="AO70" s="1636">
        <v>0</v>
      </c>
      <c r="AP70" s="2819">
        <v>0</v>
      </c>
      <c r="AQ70" s="1156">
        <v>4</v>
      </c>
      <c r="AR70" s="1156">
        <v>115</v>
      </c>
      <c r="AS70" s="512">
        <v>10</v>
      </c>
      <c r="AT70" s="512">
        <v>10</v>
      </c>
      <c r="AU70" s="512">
        <v>10</v>
      </c>
      <c r="AV70" s="512">
        <v>10</v>
      </c>
      <c r="AW70" s="512">
        <v>10</v>
      </c>
      <c r="AX70" s="1156">
        <v>23</v>
      </c>
    </row>
  </sheetData>
  <sheetProtection formatColumns="0" formatRows="0" autoFilter="0" sort="0" insertRows="0" insertColumns="1" deleteRows="0" deleteColumns="0"/>
  <mergeCells count="154">
    <mergeCell ref="E2:E13"/>
    <mergeCell ref="V2:AB2"/>
    <mergeCell ref="AC2:AQ2"/>
    <mergeCell ref="F3:F12"/>
    <mergeCell ref="V3:AB3"/>
    <mergeCell ref="AC3:AQ3"/>
    <mergeCell ref="G4:G11"/>
    <mergeCell ref="V4:AB4"/>
    <mergeCell ref="AC4:AQ4"/>
    <mergeCell ref="H5:H11"/>
    <mergeCell ref="AI7:AI8"/>
    <mergeCell ref="K7:K8"/>
    <mergeCell ref="Y7:Y8"/>
    <mergeCell ref="Z7:Z8"/>
    <mergeCell ref="AA7:AA8"/>
    <mergeCell ref="AB7:AB8"/>
    <mergeCell ref="I5:I10"/>
    <mergeCell ref="P5:P10"/>
    <mergeCell ref="V5:AB5"/>
    <mergeCell ref="AC5:AQ5"/>
    <mergeCell ref="J6:J9"/>
    <mergeCell ref="Q6:Q9"/>
    <mergeCell ref="V6:AB6"/>
    <mergeCell ref="AC6:AQ6"/>
    <mergeCell ref="AR7:AR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Q36"/>
    <mergeCell ref="AR36:AR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Q37:AQ39"/>
    <mergeCell ref="W38:X38"/>
    <mergeCell ref="E41:E52"/>
    <mergeCell ref="V41:AB41"/>
    <mergeCell ref="AC41:AQ41"/>
    <mergeCell ref="F42:F51"/>
    <mergeCell ref="V42:AB42"/>
    <mergeCell ref="AC42:AQ42"/>
    <mergeCell ref="G43:G50"/>
    <mergeCell ref="Y38:AA38"/>
    <mergeCell ref="AD38:AE38"/>
    <mergeCell ref="AF38:AH38"/>
    <mergeCell ref="Z39:AA39"/>
    <mergeCell ref="H44:H50"/>
    <mergeCell ref="I44:I49"/>
    <mergeCell ref="P44:P49"/>
    <mergeCell ref="V44:AB44"/>
    <mergeCell ref="AC44:AQ44"/>
    <mergeCell ref="J45:J48"/>
    <mergeCell ref="AG39:AH39"/>
    <mergeCell ref="Z40:AA40"/>
    <mergeCell ref="AG40:AH40"/>
    <mergeCell ref="K46:K47"/>
    <mergeCell ref="V43:AB43"/>
    <mergeCell ref="AC43:AQ43"/>
    <mergeCell ref="T67:AR67"/>
    <mergeCell ref="T69:AR69"/>
    <mergeCell ref="Q45:Q48"/>
    <mergeCell ref="V45:AB45"/>
    <mergeCell ref="AC45:AQ45"/>
    <mergeCell ref="AF46:AF47"/>
    <mergeCell ref="AG46:AG47"/>
    <mergeCell ref="AR46:AR47"/>
    <mergeCell ref="AH46:AH47"/>
    <mergeCell ref="AI46:AI47"/>
    <mergeCell ref="E53:E64"/>
    <mergeCell ref="V53:AB53"/>
    <mergeCell ref="AC53:AQ53"/>
    <mergeCell ref="F54:F63"/>
    <mergeCell ref="V54:AB54"/>
    <mergeCell ref="AC54:AQ54"/>
    <mergeCell ref="G55:G62"/>
    <mergeCell ref="V55:AB55"/>
    <mergeCell ref="AC55:AQ55"/>
    <mergeCell ref="H56:H62"/>
    <mergeCell ref="AI58:AI59"/>
    <mergeCell ref="K58:K59"/>
    <mergeCell ref="Y58:Y59"/>
    <mergeCell ref="Z58:Z59"/>
    <mergeCell ref="AA58:AA59"/>
    <mergeCell ref="AB58:AB59"/>
    <mergeCell ref="I56:I61"/>
    <mergeCell ref="P56:P61"/>
    <mergeCell ref="V56:AB56"/>
    <mergeCell ref="AC56:AQ56"/>
    <mergeCell ref="J57:J60"/>
    <mergeCell ref="Q57:Q60"/>
    <mergeCell ref="V57:AB57"/>
    <mergeCell ref="AC57:AQ57"/>
    <mergeCell ref="AR58:AR59"/>
    <mergeCell ref="AG58:AG59"/>
    <mergeCell ref="AH58:AH59"/>
    <mergeCell ref="AF58:AF59"/>
    <mergeCell ref="AM7:AM8"/>
    <mergeCell ref="AN7:AN8"/>
    <mergeCell ref="AO7:AO8"/>
    <mergeCell ref="AP7:AP8"/>
    <mergeCell ref="AJ27:AO27"/>
    <mergeCell ref="AJ28:AO28"/>
    <mergeCell ref="AJ29:AO29"/>
    <mergeCell ref="AJ30:AO30"/>
    <mergeCell ref="AJ32:AO32"/>
    <mergeCell ref="AJ33:AO33"/>
    <mergeCell ref="AJ35:AP35"/>
    <mergeCell ref="AJ37:AO37"/>
    <mergeCell ref="AP37:AP39"/>
    <mergeCell ref="AK38:AL38"/>
    <mergeCell ref="AM38:AO38"/>
    <mergeCell ref="AN39:AO39"/>
    <mergeCell ref="AN40:AO40"/>
    <mergeCell ref="AM58:AM59"/>
    <mergeCell ref="AN58:AN59"/>
    <mergeCell ref="AO58:AO59"/>
    <mergeCell ref="AP58:AP59"/>
    <mergeCell ref="AP46:AP47"/>
    <mergeCell ref="AN46:AN47"/>
    <mergeCell ref="AO46:AO47"/>
    <mergeCell ref="AM46:AM47"/>
    <mergeCell ref="AB46:AB47"/>
    <mergeCell ref="Z46:Z47"/>
    <mergeCell ref="AA46:AA47"/>
    <mergeCell ref="Y46:Y47"/>
  </mergeCells>
  <dataValidations count="8">
    <dataValidation type="list" allowBlank="1" showInputMessage="1" errorTitle="Ошибка" error="Выберите значение из списка" prompt="Выберите значение из списка" sqref="V983093:AQ983093 V65589:AQ65589 V131125:AQ131125 V196661:AQ196661 V262197:AQ262197 V327733:AQ327733 V393269:AQ393269 V458805:AQ458805 V524341:AQ524341 V589877:AQ589877 V655413:AQ655413 V720949:AQ720949 V786485:AQ786485 V852021:AQ852021 V917557:AQ917557">
      <formula1>kind_of_cons</formula1>
    </dataValidation>
    <dataValidation allowBlank="1" sqref="S131128:AR131134 S196664:AR196670 S262200:AR262206 S327736:AR327742 S393272:AR393278 S458808:AR458814 S524344:AR524350 S589880:AR589886 S655416:AR655422 S720952:AR720958 S786488:AR786494 S852024:AR852030 S917560:AR917566 S983096:AR983102 S65592:AR65598"/>
    <dataValidation allowBlank="1" showInputMessage="1" showErrorMessage="1" prompt="Для выбора выполните двойной щелчок левой клавиши мыши по соответствующей ячейке." sqref="Z65590 Z131126 Z196662 Z262198 Z327734 Z393270 Z458806 Z524342 Z589878 Z655414 Z720950 Z786486 Z852022 Z917558 Z983094 AB131126 AB458806 AB196662 AB262198 AB327734 AB393270 AB524342 AB589878 AB655414 AB720950 AB786486 AB852022 AB917558 AB983094 AB65590 AG65590 AG131126 AG196662 AG262198 AG327734 AG393270 AG458806 AG524342 AG589878 AG655414 AG720950 AG786486 AG852022 AG917558 AG983094 AI524342:AP524342 AI196662:AP196662 AI589878:AP589878 AI655414:AP655414 AI15 AI720950:AP720950 AI786486:AP786486 AI852022:AP852022 AI917558:AP917558 AI983094:AP983094 AI65590:AP65590 AI131126:AP131126 AI458806:AP458806 AI262198:AP262198 AI7 AN7 AP7 AG46 AI327734:AP327734 AG15 AG7 Z7 AB7 AI393270:AP393270 AI46 AN46 AP46 Z46 AB46 Z58 AB58 AG58 AI58 AN58 AP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90 Y131126 Y196662 Y262198 Y327734 Y393270 Y458806 Y524342 Y589878 Y655414 Y720950 Y786486 Y852022 Y917558 Y983094 AA65590 AA131126 AA196662 AA262198 AA327734 AA393270 AA458806 AA524342 AA589878 AA655414 AA720950 AA786486 AA852022 AA917558 AA983094 AF15 AF65590 AF131126 AF196662 AF262198 AF327734 AF393270 AF458806 AF524342 AF589878 AF655414 AF720950 AF786486 AF852022 AF917558 AF983094 AH65590 AH131126 AH196662 AH262198 AH327734 AH393270 AH458806 AH524342 AH589878 AH655414 AH720950 AH786486 AH852022 AH917558 AH983094 AH46 AF46 AH15 AH7 AF7 Y7 AA7 Y46 AA46 Y58 AA58 AF58 AH58 AM7 AO7 AM46 AO46 AM58 AO5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textLength" operator="lessThanOrEqual" allowBlank="1" showInputMessage="1" showErrorMessage="1" errorTitle="Ошибка" error="Допускается ввод не более 900 символов!" sqref="AR65584:AR65591 AR131120:AR131127 AR196656:AR196663 AR262192:AR262199 AR327728:AR327735 AR393264:AR393271 AR458800:AR458807 AR524336:AR524343 AR589872:AR589879 AR655408:AR655415 AR720944:AR720951 AR786480:AR786487 AR852016:AR852023 AR917552:AR917559 AR983088:AR983095 T46 T7 AC5:AI5 AQ5 AC44:AI44 AQ44 AC56 AD56 AE56 AF56 AG56 AH56 AI56 AQ56 T58">
      <formula1>900</formula1>
    </dataValidation>
    <dataValidation type="list" allowBlank="1" showInputMessage="1" showErrorMessage="1" errorTitle="Ошибка" error="Выберите значение из списка" sqref="V983092 V65588 V131124 V196660 V262196 V327732 V393268 V458804 V524340 V589876 V655412 V720948 V786484 V852020 V917556 AC983092 AC65588 AC131124 AC196660 AC262196 AC327732 AC393268 AC458804 AC524340 AC589876 AC655412 AC720948 AC786484 AC852020 AC917556">
      <formula1>kind_of_scheme_in</formula1>
    </dataValidation>
    <dataValidation allowBlank="1" promptTitle="checkPeriodRange" sqref="X65591 X131127 X196663 X262199 X327735 X393271 X458807 X524343 X589879 X655415 X720951 X786487 X852023 X917559 X983095 AE16 AE65591 AE131127 AE196663 AE262199 AE327735 AE393271 AE458807 AE524343 AE589879 AE655415 AE720951 AE786487 AE852023 AE917559 AE983095 AE47 AE8 X8 X47 X59 AE59 AL8 AL47 AL59"/>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F028F84-8581-A996-00E7-0.F0A86942}"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126</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409</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410</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490</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491</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492</v>
      </c>
      <c r="U5" s="301"/>
      <c r="V5" s="2351"/>
      <c r="W5" s="2352"/>
      <c r="X5" s="2352"/>
      <c r="Y5" s="2352"/>
      <c r="Z5" s="2352"/>
      <c r="AA5" s="2352"/>
      <c r="AB5" s="2353"/>
      <c r="AC5" s="2354"/>
      <c r="AD5" s="2355"/>
      <c r="AE5" s="2355"/>
      <c r="AF5" s="2355"/>
      <c r="AG5" s="2355"/>
      <c r="AH5" s="2355"/>
      <c r="AI5" s="2355"/>
      <c r="AJ5" s="2356"/>
      <c r="AK5" s="1259" t="s">
        <v>493</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418</v>
      </c>
      <c r="P6" s="2258"/>
      <c r="Q6" s="2258">
        <v>1</v>
      </c>
      <c r="R6" s="358"/>
      <c r="S6" s="1458">
        <f>$J6</f>
      </c>
      <c r="T6" s="287" t="s">
        <v>419</v>
      </c>
      <c r="U6" s="301"/>
      <c r="V6" s="2246"/>
      <c r="W6" s="2247"/>
      <c r="X6" s="2247"/>
      <c r="Y6" s="2247"/>
      <c r="Z6" s="2247"/>
      <c r="AA6" s="2247"/>
      <c r="AB6" s="2248"/>
      <c r="AC6" s="2246"/>
      <c r="AD6" s="2247"/>
      <c r="AE6" s="2247"/>
      <c r="AF6" s="2247"/>
      <c r="AG6" s="2247"/>
      <c r="AH6" s="2247"/>
      <c r="AI6" s="2247"/>
      <c r="AJ6" s="2248"/>
      <c r="AK6" s="1308" t="s">
        <v>494</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63</v>
      </c>
      <c r="AA7" s="2266"/>
      <c r="AB7" s="2108" t="s">
        <v>63</v>
      </c>
      <c r="AC7" s="752"/>
      <c r="AD7" s="752"/>
      <c r="AE7" s="1258"/>
      <c r="AF7" s="2266"/>
      <c r="AG7" s="2108" t="s">
        <v>63</v>
      </c>
      <c r="AH7" s="2288"/>
      <c r="AI7" s="2108" t="s">
        <v>63</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495</v>
      </c>
      <c r="U9" s="368"/>
      <c r="V9" s="368"/>
      <c r="W9" s="368"/>
      <c r="X9" s="368"/>
      <c r="Y9" s="368"/>
      <c r="Z9" s="368"/>
      <c r="AA9" s="368"/>
      <c r="AB9" s="368"/>
      <c r="AC9" s="368"/>
      <c r="AD9" s="368"/>
      <c r="AE9" s="368"/>
      <c r="AF9" s="368"/>
      <c r="AG9" s="368"/>
      <c r="AH9" s="368"/>
      <c r="AI9" s="368"/>
      <c r="AJ9" s="368"/>
      <c r="AK9" s="1259" t="s">
        <v>496</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424</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497</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232</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233</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63</v>
      </c>
      <c r="AH15" s="2268"/>
      <c r="AI15" s="2269" t="s">
        <v>63</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427</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428</v>
      </c>
      <c r="P20" s="1363"/>
      <c r="Q20" s="1443"/>
      <c r="R20" s="1443"/>
      <c r="S20" s="730"/>
      <c r="T20" s="1161" t="s">
        <v>429</v>
      </c>
      <c r="Z20" s="187" t="s">
        <v>430</v>
      </c>
      <c r="AB20" s="187" t="s">
        <v>431</v>
      </c>
      <c r="AC20" s="1161" t="s">
        <v>429</v>
      </c>
      <c r="AG20" s="187" t="s">
        <v>432</v>
      </c>
      <c r="AI20" s="187" t="s">
        <v>431</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2. Информация
о тарифах в сфере холодного водоснабжения на товары (услуги) организации холодного водоснабжения, подлежащих регулированию</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Q25" s="1156">
        <v>14</v>
      </c>
    </row>
    <row customHeight="1" ht="14.25">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Управление по государственному регулированию цен (тарифов) Ненецкого автономного округа</v>
      </c>
      <c r="W27" s="2252"/>
      <c r="X27" s="2252"/>
      <c r="Y27" s="2252"/>
      <c r="Z27" s="2252"/>
      <c r="AA27" s="2252"/>
      <c r="AB27" s="327"/>
      <c r="AC27" s="2252" t="str">
        <f>IF(TITLE_NAME_OR_PR_CHANGE="",IF(TITLE_NAME_OR_PR="","",TITLE_NAME_OR_PR),TITLE_NAME_OR_PR_CHANGE)</f>
        <v>Управление по государственному регулированию цен (тарифов) Ненецкого автономного округа</v>
      </c>
      <c r="AD27" s="2252"/>
      <c r="AE27" s="2252"/>
      <c r="AF27" s="2252"/>
      <c r="AG27" s="2252"/>
      <c r="AH27" s="2252"/>
      <c r="AI27" s="327"/>
      <c r="AJ27" s="327"/>
      <c r="AK27" s="281"/>
      <c r="AL27" s="369"/>
      <c r="AM27" s="369"/>
      <c r="AN27" s="369"/>
      <c r="AO27" s="369"/>
      <c r="AP27" s="369"/>
      <c r="AQ27" s="419">
        <v>0</v>
      </c>
    </row>
    <row s="1854" customFormat="1" customHeight="1" ht="18.75">
      <c r="A28" s="1369"/>
      <c r="B28" s="1369"/>
      <c r="C28" s="1369"/>
      <c r="D28" s="1369"/>
      <c r="E28" s="1369"/>
      <c r="F28" s="1369"/>
      <c r="G28" s="1369"/>
      <c r="H28" s="1369"/>
      <c r="I28" s="1369"/>
      <c r="J28" s="1369"/>
      <c r="K28" s="1369"/>
      <c r="L28" s="1370"/>
      <c r="M28" s="1369"/>
      <c r="N28" s="1369"/>
      <c r="O28" s="1369"/>
      <c r="S28" s="2251" t="s">
        <v>433</v>
      </c>
      <c r="T28" s="2251"/>
      <c r="U28" s="1373"/>
      <c r="V28" s="2265" t="str">
        <f>IF(TITLE_DATE_PR_CHANGE="",IF(TITLE_DATE_PR="","",TITLE_DATE_PR),TITLE_DATE_PR_CHANGE)</f>
        <v>45642</v>
      </c>
      <c r="W28" s="2265"/>
      <c r="X28" s="2265"/>
      <c r="Y28" s="2265"/>
      <c r="Z28" s="2265"/>
      <c r="AA28" s="2265"/>
      <c r="AB28" s="327"/>
      <c r="AC28" s="2265" t="str">
        <f>IF(TITLE_DATE_PR_CHANGE="",IF(TITLE_DATE_PR="","",TITLE_DATE_PR),TITLE_DATE_PR_CHANGE)</f>
        <v>45642</v>
      </c>
      <c r="AD28" s="2265"/>
      <c r="AE28" s="2265"/>
      <c r="AF28" s="2265"/>
      <c r="AG28" s="2265"/>
      <c r="AH28" s="2265"/>
      <c r="AI28" s="327"/>
      <c r="AJ28" s="327"/>
      <c r="AK28" s="281"/>
      <c r="AL28" s="369"/>
      <c r="AM28" s="369"/>
      <c r="AN28" s="369"/>
      <c r="AO28" s="369"/>
      <c r="AP28" s="369"/>
      <c r="AQ28" s="419">
        <v>0</v>
      </c>
    </row>
    <row s="1854" customFormat="1" customHeight="1" ht="18.75">
      <c r="A29" s="1369"/>
      <c r="B29" s="1369"/>
      <c r="C29" s="1369"/>
      <c r="D29" s="1369"/>
      <c r="E29" s="1369"/>
      <c r="F29" s="1369"/>
      <c r="G29" s="1369"/>
      <c r="H29" s="1369"/>
      <c r="I29" s="1369"/>
      <c r="J29" s="1369"/>
      <c r="K29" s="1369"/>
      <c r="L29" s="1370"/>
      <c r="M29" s="1369"/>
      <c r="N29" s="1369"/>
      <c r="O29" s="1369"/>
      <c r="S29" s="2251" t="s">
        <v>434</v>
      </c>
      <c r="T29" s="2251"/>
      <c r="U29" s="1373"/>
      <c r="V29" s="2252" t="str">
        <f>IF(TITLE_NUMBER_PR_CHANGE="",IF(TITLE_NUMBER_PR="","",TITLE_NUMBER_PR),TITLE_NUMBER_PR_CHANGE)</f>
        <v>58</v>
      </c>
      <c r="W29" s="2252"/>
      <c r="X29" s="2252"/>
      <c r="Y29" s="2252"/>
      <c r="Z29" s="2252"/>
      <c r="AA29" s="2252"/>
      <c r="AB29" s="327"/>
      <c r="AC29" s="2252" t="str">
        <f>IF(TITLE_NUMBER_PR_CHANGE="",IF(TITLE_NUMBER_PR="","",TITLE_NUMBER_PR),TITLE_NUMBER_PR_CHANGE)</f>
        <v>58</v>
      </c>
      <c r="AD29" s="2252"/>
      <c r="AE29" s="2252"/>
      <c r="AF29" s="2252"/>
      <c r="AG29" s="2252"/>
      <c r="AH29" s="2252"/>
      <c r="AI29" s="327"/>
      <c r="AJ29" s="327"/>
      <c r="AK29" s="281"/>
      <c r="AL29" s="369"/>
      <c r="AM29" s="369"/>
      <c r="AN29" s="369"/>
      <c r="AO29" s="369"/>
      <c r="AP29" s="369"/>
      <c r="AQ29" s="419">
        <v>0</v>
      </c>
    </row>
    <row s="1854" customFormat="1" customHeight="1" ht="18.75">
      <c r="A30" s="1369"/>
      <c r="B30" s="1369"/>
      <c r="C30" s="1369"/>
      <c r="D30" s="1369"/>
      <c r="E30" s="1369"/>
      <c r="F30" s="1369"/>
      <c r="G30" s="1369"/>
      <c r="H30" s="1369"/>
      <c r="I30" s="1369"/>
      <c r="J30" s="1369"/>
      <c r="K30" s="1369"/>
      <c r="L30" s="1370"/>
      <c r="M30" s="1369"/>
      <c r="N30" s="1369"/>
      <c r="O30" s="1369"/>
      <c r="S30" s="2251" t="s">
        <v>44</v>
      </c>
      <c r="T30" s="2251"/>
      <c r="U30" s="1373"/>
      <c r="V30" s="2252" t="str">
        <f>IF(TITLE_IST_PUB_CHANGE="",IF(TITLE_IST_PUB="","",TITLE_IST_PUB),TITLE_IST_PUB_CHANGE)</f>
        <v>Официальный интернет портал правовой информации http://pravo.gov.ru </v>
      </c>
      <c r="W30" s="2252"/>
      <c r="X30" s="2252"/>
      <c r="Y30" s="2252"/>
      <c r="Z30" s="2252"/>
      <c r="AA30" s="2252"/>
      <c r="AB30" s="327"/>
      <c r="AC30" s="2252" t="str">
        <f>IF(TITLE_IST_PUB_CHANGE="",IF(TITLE_IST_PUB="","",TITLE_IST_PUB),TITLE_IST_PUB_CHANGE)</f>
        <v>Официальный интернет портал правовой информации http://pravo.gov.ru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435</v>
      </c>
      <c r="T32" s="2251"/>
      <c r="U32" s="1373"/>
      <c r="V32" s="2265" t="str">
        <f>IF(TITLE_DATE_PR_CHANGE="",IF(TITLE_DATE_PR="","",TITLE_DATE_PR),TITLE_DATE_PR_CHANGE)</f>
        <v>45642</v>
      </c>
      <c r="W32" s="2265"/>
      <c r="X32" s="2265"/>
      <c r="Y32" s="2265"/>
      <c r="Z32" s="2265"/>
      <c r="AA32" s="2265"/>
      <c r="AB32" s="327"/>
      <c r="AC32" s="2265" t="str">
        <f>IF(TITLE_DATE_PR_CHANGE="",IF(TITLE_DATE_PR="","",TITLE_DATE_PR),TITLE_DATE_PR_CHANGE)</f>
        <v>45642</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436</v>
      </c>
      <c r="T33" s="2251"/>
      <c r="U33" s="1373"/>
      <c r="V33" s="2252" t="str">
        <f>IF(TITLE_NUMBER_PR_CHANGE="",IF(TITLE_NUMBER_PR="","",TITLE_NUMBER_PR),TITLE_NUMBER_PR_CHANGE)</f>
        <v>58</v>
      </c>
      <c r="W33" s="2252"/>
      <c r="X33" s="2252"/>
      <c r="Y33" s="2252"/>
      <c r="Z33" s="2252"/>
      <c r="AA33" s="2252"/>
      <c r="AB33" s="327"/>
      <c r="AC33" s="2252" t="str">
        <f>IF(TITLE_NUMBER_PR_CHANGE="",IF(TITLE_NUMBER_PR="","",TITLE_NUMBER_PR),TITLE_NUMBER_PR_CHANGE)</f>
        <v>58</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437</v>
      </c>
      <c r="AC34" s="327"/>
      <c r="AD34" s="327"/>
      <c r="AE34" s="327"/>
      <c r="AF34" s="327"/>
      <c r="AG34" s="327"/>
      <c r="AH34" s="327"/>
      <c r="AI34" s="279" t="s">
        <v>437</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312</v>
      </c>
      <c r="T36" s="2128"/>
      <c r="U36" s="2128"/>
      <c r="V36" s="2128"/>
      <c r="W36" s="2128"/>
      <c r="X36" s="2128"/>
      <c r="Y36" s="2128"/>
      <c r="Z36" s="2128"/>
      <c r="AA36" s="2128"/>
      <c r="AB36" s="2128"/>
      <c r="AC36" s="2128"/>
      <c r="AD36" s="2128"/>
      <c r="AE36" s="2128"/>
      <c r="AF36" s="2128"/>
      <c r="AG36" s="2128"/>
      <c r="AH36" s="2128"/>
      <c r="AI36" s="2128"/>
      <c r="AJ36" s="2128"/>
      <c r="AK36" s="2128" t="s">
        <v>313</v>
      </c>
      <c r="AQ36" s="1156">
        <v>14</v>
      </c>
    </row>
    <row customHeight="1" ht="14.699999999999998">
      <c r="Q37" s="377"/>
      <c r="R37" s="377"/>
      <c r="S37" s="2274" t="s">
        <v>90</v>
      </c>
      <c r="T37" s="2210" t="s">
        <v>438</v>
      </c>
      <c r="U37" s="302"/>
      <c r="V37" s="2275" t="s">
        <v>439</v>
      </c>
      <c r="W37" s="2276"/>
      <c r="X37" s="2276"/>
      <c r="Y37" s="2276"/>
      <c r="Z37" s="2276"/>
      <c r="AA37" s="2277"/>
      <c r="AB37" s="2278" t="s">
        <v>440</v>
      </c>
      <c r="AC37" s="2275" t="s">
        <v>439</v>
      </c>
      <c r="AD37" s="2276"/>
      <c r="AE37" s="2276"/>
      <c r="AF37" s="2276"/>
      <c r="AG37" s="2276"/>
      <c r="AH37" s="2277"/>
      <c r="AI37" s="2278" t="s">
        <v>441</v>
      </c>
      <c r="AJ37" s="2281" t="s">
        <v>442</v>
      </c>
      <c r="AK37" s="2128"/>
      <c r="AQ37" s="1156">
        <v>14</v>
      </c>
    </row>
    <row customHeight="1" ht="35.699999999999996">
      <c r="Q38" s="377"/>
      <c r="R38" s="377"/>
      <c r="S38" s="2274"/>
      <c r="T38" s="2210"/>
      <c r="U38" s="1032"/>
      <c r="V38" s="1453" t="s">
        <v>498</v>
      </c>
      <c r="W38" s="2263" t="s">
        <v>445</v>
      </c>
      <c r="X38" s="2264"/>
      <c r="Y38" s="2263" t="s">
        <v>446</v>
      </c>
      <c r="Z38" s="2270"/>
      <c r="AA38" s="2264"/>
      <c r="AB38" s="2279"/>
      <c r="AC38" s="1453" t="s">
        <v>498</v>
      </c>
      <c r="AD38" s="2263" t="s">
        <v>445</v>
      </c>
      <c r="AE38" s="2264"/>
      <c r="AF38" s="2263" t="s">
        <v>446</v>
      </c>
      <c r="AG38" s="2270"/>
      <c r="AH38" s="2264"/>
      <c r="AI38" s="2279"/>
      <c r="AJ38" s="2282"/>
      <c r="AK38" s="2128"/>
      <c r="AQ38" s="1156">
        <v>34</v>
      </c>
    </row>
    <row customHeight="1" ht="35.699999999999996">
      <c r="A39" s="1371"/>
      <c r="B39" s="1371" t="s">
        <v>138</v>
      </c>
      <c r="C39" s="1371" t="s">
        <v>139</v>
      </c>
      <c r="D39" s="1371" t="s">
        <v>140</v>
      </c>
      <c r="E39" s="1365" t="s">
        <v>447</v>
      </c>
      <c r="F39" s="1365" t="s">
        <v>448</v>
      </c>
      <c r="G39" s="1365" t="s">
        <v>449</v>
      </c>
      <c r="H39" s="1365"/>
      <c r="I39" s="1365" t="s">
        <v>499</v>
      </c>
      <c r="J39" s="1365" t="s">
        <v>452</v>
      </c>
      <c r="K39" s="1365" t="s">
        <v>500</v>
      </c>
      <c r="L39" s="1365" t="s">
        <v>428</v>
      </c>
      <c r="Q39" s="377"/>
      <c r="R39" s="377"/>
      <c r="S39" s="2274"/>
      <c r="T39" s="2210"/>
      <c r="U39" s="303"/>
      <c r="V39" s="1453" t="s">
        <v>501</v>
      </c>
      <c r="W39" s="1223" t="s">
        <v>502</v>
      </c>
      <c r="X39" s="1223" t="s">
        <v>503</v>
      </c>
      <c r="Y39" s="1456" t="s">
        <v>456</v>
      </c>
      <c r="Z39" s="2271" t="s">
        <v>457</v>
      </c>
      <c r="AA39" s="2272"/>
      <c r="AB39" s="2280"/>
      <c r="AC39" s="1453" t="s">
        <v>501</v>
      </c>
      <c r="AD39" s="1223" t="s">
        <v>502</v>
      </c>
      <c r="AE39" s="1223" t="s">
        <v>503</v>
      </c>
      <c r="AF39" s="1456" t="s">
        <v>456</v>
      </c>
      <c r="AG39" s="2271" t="s">
        <v>457</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112</v>
      </c>
      <c r="T40" s="1256" t="s">
        <v>113</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243</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126</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243</v>
      </c>
      <c r="B42" s="1364" t="s">
        <v>244</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409</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410</v>
      </c>
      <c r="AM42" s="501"/>
      <c r="AN42" s="501" t="str">
        <f>IF(T42="","",T42)</f>
        <v>Территория действия тарифа</v>
      </c>
      <c r="AO42" s="501"/>
      <c r="AP42" s="501"/>
      <c r="AQ42" s="1156">
        <v>23</v>
      </c>
    </row>
    <row customHeight="1" ht="24">
      <c r="A43" s="1364" t="s">
        <v>243</v>
      </c>
      <c r="B43" s="1364" t="s">
        <v>244</v>
      </c>
      <c r="C43" s="1364" t="s">
        <v>245</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490</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491</v>
      </c>
      <c r="AM43" s="501"/>
      <c r="AN43" s="501" t="str">
        <f>IF(T43="","",T43)</f>
        <v>Наименование централизованной системы холодного водоснабжения</v>
      </c>
      <c r="AO43" s="501"/>
      <c r="AP43" s="501"/>
      <c r="AQ43" s="1156">
        <v>23</v>
      </c>
    </row>
    <row customHeight="1" ht="24">
      <c r="A44" s="1364" t="s">
        <v>243</v>
      </c>
      <c r="B44" s="1364" t="s">
        <v>244</v>
      </c>
      <c r="C44" s="1364" t="s">
        <v>245</v>
      </c>
      <c r="D44" s="1364" t="s">
        <v>507</v>
      </c>
      <c r="E44" s="2260"/>
      <c r="F44" s="2260"/>
      <c r="G44" s="2260"/>
      <c r="H44" s="2260"/>
      <c r="I44" s="2257" t="str">
        <f>S43&amp;".1"</f>
        <v>...1</v>
      </c>
      <c r="J44" s="1364"/>
      <c r="K44" s="1364"/>
      <c r="L44" s="1365"/>
      <c r="P44" s="2258">
        <v>1</v>
      </c>
      <c r="Q44" s="1451"/>
      <c r="R44" s="357"/>
      <c r="S44" s="1458" t="str">
        <f>$I44</f>
        <v>...1</v>
      </c>
      <c r="T44" s="286" t="s">
        <v>492</v>
      </c>
      <c r="U44" s="301"/>
      <c r="V44" s="2351"/>
      <c r="W44" s="2352"/>
      <c r="X44" s="2352"/>
      <c r="Y44" s="2352"/>
      <c r="Z44" s="2352"/>
      <c r="AA44" s="2352"/>
      <c r="AB44" s="2353"/>
      <c r="AC44" s="2354"/>
      <c r="AD44" s="2355"/>
      <c r="AE44" s="2355"/>
      <c r="AF44" s="2355"/>
      <c r="AG44" s="2355"/>
      <c r="AH44" s="2355"/>
      <c r="AI44" s="2355"/>
      <c r="AJ44" s="2356"/>
      <c r="AK44" s="1259" t="s">
        <v>493</v>
      </c>
      <c r="AM44" s="501"/>
      <c r="AN44" s="501" t="str">
        <f>IF(T44="","",T44)</f>
        <v>Наименование признака дифференциации</v>
      </c>
      <c r="AO44" s="501"/>
      <c r="AP44" s="501"/>
      <c r="AQ44" s="1156">
        <v>23</v>
      </c>
    </row>
    <row customHeight="1" ht="24">
      <c r="A45" s="1364" t="s">
        <v>243</v>
      </c>
      <c r="B45" s="1364" t="s">
        <v>244</v>
      </c>
      <c r="C45" s="1364" t="s">
        <v>245</v>
      </c>
      <c r="D45" s="1364" t="s">
        <v>507</v>
      </c>
      <c r="E45" s="2260"/>
      <c r="F45" s="2260"/>
      <c r="G45" s="2260"/>
      <c r="H45" s="2260"/>
      <c r="I45" s="2287"/>
      <c r="J45" s="2257" t="str">
        <f>I44&amp;".1"</f>
        <v>...1.1</v>
      </c>
      <c r="K45" s="1364"/>
      <c r="L45" s="1365" t="s">
        <v>418</v>
      </c>
      <c r="P45" s="2258"/>
      <c r="Q45" s="2258">
        <v>1</v>
      </c>
      <c r="R45" s="358"/>
      <c r="S45" s="1458" t="str">
        <f>$J45</f>
        <v>...1.1</v>
      </c>
      <c r="T45" s="287" t="s">
        <v>419</v>
      </c>
      <c r="U45" s="301"/>
      <c r="V45" s="2246"/>
      <c r="W45" s="2247"/>
      <c r="X45" s="2247"/>
      <c r="Y45" s="2247"/>
      <c r="Z45" s="2247"/>
      <c r="AA45" s="2247"/>
      <c r="AB45" s="2248"/>
      <c r="AC45" s="2246"/>
      <c r="AD45" s="2247"/>
      <c r="AE45" s="2247"/>
      <c r="AF45" s="2247"/>
      <c r="AG45" s="2247"/>
      <c r="AH45" s="2247"/>
      <c r="AI45" s="2247"/>
      <c r="AJ45" s="2248"/>
      <c r="AK45" s="1308" t="s">
        <v>494</v>
      </c>
      <c r="AM45" s="501"/>
      <c r="AN45" s="501" t="str">
        <f>IF(T45="","",T45)</f>
        <v>Группа потребителей</v>
      </c>
      <c r="AO45" s="501"/>
      <c r="AP45" s="501"/>
      <c r="AQ45" s="1156">
        <v>23</v>
      </c>
    </row>
    <row customHeight="1" ht="24">
      <c r="A46" s="1364" t="s">
        <v>243</v>
      </c>
      <c r="B46" s="1364" t="s">
        <v>244</v>
      </c>
      <c r="C46" s="1364" t="s">
        <v>245</v>
      </c>
      <c r="D46" s="1364" t="s">
        <v>507</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63</v>
      </c>
      <c r="AA46" s="2266"/>
      <c r="AB46" s="2108" t="s">
        <v>63</v>
      </c>
      <c r="AC46" s="752"/>
      <c r="AD46" s="752"/>
      <c r="AE46" s="1258"/>
      <c r="AF46" s="2266"/>
      <c r="AG46" s="2108" t="s">
        <v>63</v>
      </c>
      <c r="AH46" s="2288"/>
      <c r="AI46" s="2108" t="s">
        <v>63</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243</v>
      </c>
      <c r="B47" s="1364" t="s">
        <v>244</v>
      </c>
      <c r="C47" s="1364" t="s">
        <v>245</v>
      </c>
      <c r="D47" s="1364" t="s">
        <v>507</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243</v>
      </c>
      <c r="B48" s="1364" t="s">
        <v>244</v>
      </c>
      <c r="C48" s="1364" t="s">
        <v>245</v>
      </c>
      <c r="D48" s="1364" t="s">
        <v>507</v>
      </c>
      <c r="E48" s="2260"/>
      <c r="F48" s="2260"/>
      <c r="G48" s="2260"/>
      <c r="H48" s="2260"/>
      <c r="I48" s="2287"/>
      <c r="J48" s="2257"/>
      <c r="K48" s="1364"/>
      <c r="L48" s="1365"/>
      <c r="P48" s="2258"/>
      <c r="Q48" s="2258"/>
      <c r="R48" s="357"/>
      <c r="S48" s="1279"/>
      <c r="T48" s="288" t="s">
        <v>495</v>
      </c>
      <c r="U48" s="368"/>
      <c r="V48" s="368"/>
      <c r="W48" s="368"/>
      <c r="X48" s="368"/>
      <c r="Y48" s="368"/>
      <c r="Z48" s="368"/>
      <c r="AA48" s="368"/>
      <c r="AB48" s="368"/>
      <c r="AC48" s="368"/>
      <c r="AD48" s="368"/>
      <c r="AE48" s="368"/>
      <c r="AF48" s="368"/>
      <c r="AG48" s="368"/>
      <c r="AH48" s="368"/>
      <c r="AI48" s="368"/>
      <c r="AJ48" s="368"/>
      <c r="AK48" s="1259" t="s">
        <v>496</v>
      </c>
      <c r="AM48" s="501"/>
      <c r="AN48" s="501" t="str">
        <f>IF(T48="","",T48)</f>
        <v>Добавить значение признака дифференциации</v>
      </c>
      <c r="AO48" s="501"/>
      <c r="AP48" s="501"/>
      <c r="AQ48" s="1156">
        <v>20</v>
      </c>
    </row>
    <row customHeight="1" ht="22.049999999999997">
      <c r="A49" s="1364" t="s">
        <v>243</v>
      </c>
      <c r="B49" s="1364" t="s">
        <v>244</v>
      </c>
      <c r="C49" s="1364" t="s">
        <v>245</v>
      </c>
      <c r="D49" s="1364" t="s">
        <v>507</v>
      </c>
      <c r="E49" s="2260"/>
      <c r="F49" s="2260"/>
      <c r="G49" s="2260"/>
      <c r="H49" s="2260"/>
      <c r="I49" s="2257"/>
      <c r="J49" s="1364"/>
      <c r="K49" s="1364"/>
      <c r="L49" s="1365"/>
      <c r="P49" s="2258"/>
      <c r="Q49" s="1451"/>
      <c r="R49" s="357"/>
      <c r="S49" s="1279"/>
      <c r="T49" s="366" t="s">
        <v>424</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243</v>
      </c>
      <c r="B50" s="1364" t="s">
        <v>244</v>
      </c>
      <c r="C50" s="1364" t="s">
        <v>245</v>
      </c>
      <c r="D50" s="1364" t="s">
        <v>507</v>
      </c>
      <c r="E50" s="2260"/>
      <c r="F50" s="2260"/>
      <c r="G50" s="2260"/>
      <c r="H50" s="2259"/>
      <c r="I50" s="1364"/>
      <c r="J50" s="1364"/>
      <c r="K50" s="1364"/>
      <c r="L50" s="1365"/>
      <c r="M50" s="1366"/>
      <c r="N50" s="1366"/>
      <c r="O50" s="538"/>
      <c r="P50" s="361"/>
      <c r="Q50" s="376"/>
      <c r="R50" s="356"/>
      <c r="S50" s="1279"/>
      <c r="T50" s="373" t="s">
        <v>497</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243</v>
      </c>
      <c r="B51" s="1344" t="s">
        <v>244</v>
      </c>
      <c r="C51" s="1315"/>
      <c r="D51" s="1315"/>
      <c r="E51" s="2260"/>
      <c r="F51" s="2259"/>
      <c r="G51" s="1315"/>
      <c r="H51" s="1315"/>
      <c r="I51" s="1315"/>
      <c r="J51" s="1315"/>
      <c r="K51" s="1315"/>
      <c r="L51" s="1459"/>
      <c r="M51" s="1322"/>
      <c r="N51" s="1322"/>
      <c r="P51" s="1317"/>
      <c r="Q51" s="1318"/>
      <c r="R51" s="1317"/>
      <c r="S51" s="1323"/>
      <c r="T51" s="1326" t="s">
        <v>232</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243</v>
      </c>
      <c r="B52" s="1344"/>
      <c r="C52" s="1344"/>
      <c r="D52" s="1344"/>
      <c r="E52" s="2259"/>
      <c r="F52" s="1344"/>
      <c r="G52" s="1344"/>
      <c r="H52" s="1344"/>
      <c r="I52" s="1344"/>
      <c r="J52" s="1344"/>
      <c r="K52" s="1344"/>
      <c r="L52" s="1347"/>
      <c r="M52" s="1322"/>
      <c r="N52" s="1322"/>
      <c r="O52" s="519"/>
      <c r="P52" s="381"/>
      <c r="Q52" s="1345"/>
      <c r="R52" s="381"/>
      <c r="S52" s="1323"/>
      <c r="T52" s="1326" t="s">
        <v>233</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240</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84</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CAE2A57-CFE9-611F-F249-0.CE4006D5}"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126</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409</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410</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490</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491</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492</v>
      </c>
      <c r="U5" s="301"/>
      <c r="V5" s="2351"/>
      <c r="W5" s="2352"/>
      <c r="X5" s="2352"/>
      <c r="Y5" s="2352"/>
      <c r="Z5" s="2352"/>
      <c r="AA5" s="2352"/>
      <c r="AB5" s="2353"/>
      <c r="AC5" s="2354"/>
      <c r="AD5" s="2355"/>
      <c r="AE5" s="2355"/>
      <c r="AF5" s="2355"/>
      <c r="AG5" s="2355"/>
      <c r="AH5" s="2355"/>
      <c r="AI5" s="2355"/>
      <c r="AJ5" s="2356"/>
      <c r="AK5" s="1259" t="s">
        <v>493</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418</v>
      </c>
      <c r="P6" s="2258"/>
      <c r="Q6" s="2258">
        <v>1</v>
      </c>
      <c r="R6" s="358"/>
      <c r="S6" s="1458">
        <f>$J6</f>
      </c>
      <c r="T6" s="287" t="s">
        <v>419</v>
      </c>
      <c r="U6" s="301"/>
      <c r="V6" s="2246"/>
      <c r="W6" s="2247"/>
      <c r="X6" s="2247"/>
      <c r="Y6" s="2247"/>
      <c r="Z6" s="2247"/>
      <c r="AA6" s="2247"/>
      <c r="AB6" s="2248"/>
      <c r="AC6" s="2246"/>
      <c r="AD6" s="2247"/>
      <c r="AE6" s="2247"/>
      <c r="AF6" s="2247"/>
      <c r="AG6" s="2247"/>
      <c r="AH6" s="2247"/>
      <c r="AI6" s="2247"/>
      <c r="AJ6" s="2248"/>
      <c r="AK6" s="1308" t="s">
        <v>494</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63</v>
      </c>
      <c r="AA7" s="2266"/>
      <c r="AB7" s="2108" t="s">
        <v>63</v>
      </c>
      <c r="AC7" s="752"/>
      <c r="AD7" s="752"/>
      <c r="AE7" s="1258"/>
      <c r="AF7" s="2266"/>
      <c r="AG7" s="2108" t="s">
        <v>63</v>
      </c>
      <c r="AH7" s="2288"/>
      <c r="AI7" s="2108" t="s">
        <v>63</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495</v>
      </c>
      <c r="U9" s="368"/>
      <c r="V9" s="368"/>
      <c r="W9" s="368"/>
      <c r="X9" s="368"/>
      <c r="Y9" s="368"/>
      <c r="Z9" s="368"/>
      <c r="AA9" s="368"/>
      <c r="AB9" s="368"/>
      <c r="AC9" s="368"/>
      <c r="AD9" s="368"/>
      <c r="AE9" s="368"/>
      <c r="AF9" s="368"/>
      <c r="AG9" s="368"/>
      <c r="AH9" s="368"/>
      <c r="AI9" s="368"/>
      <c r="AJ9" s="368"/>
      <c r="AK9" s="1259" t="s">
        <v>496</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424</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497</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232</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233</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63</v>
      </c>
      <c r="AH15" s="2268"/>
      <c r="AI15" s="2269" t="s">
        <v>63</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427</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428</v>
      </c>
      <c r="P20" s="1363"/>
      <c r="Q20" s="1443"/>
      <c r="R20" s="1443"/>
      <c r="S20" s="730"/>
      <c r="T20" s="1161" t="s">
        <v>429</v>
      </c>
      <c r="Z20" s="187" t="s">
        <v>430</v>
      </c>
      <c r="AB20" s="187" t="s">
        <v>431</v>
      </c>
      <c r="AC20" s="1161" t="s">
        <v>429</v>
      </c>
      <c r="AG20" s="187" t="s">
        <v>432</v>
      </c>
      <c r="AI20" s="187" t="s">
        <v>431</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2. Информация
о тарифах в сфере холодного водоснабжения на товары (услуги) организации холодного водоснабжения, подлежащих регулированию</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Q25" s="1156">
        <v>14</v>
      </c>
    </row>
    <row customHeight="1" ht="14.25">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Управление по государственному регулированию цен (тарифов) Ненецкого автономного округа</v>
      </c>
      <c r="W27" s="2252"/>
      <c r="X27" s="2252"/>
      <c r="Y27" s="2252"/>
      <c r="Z27" s="2252"/>
      <c r="AA27" s="2252"/>
      <c r="AB27" s="327"/>
      <c r="AC27" s="2252" t="str">
        <f>IF(TITLE_NAME_OR_PR_CHANGE="",IF(TITLE_NAME_OR_PR="","",TITLE_NAME_OR_PR),TITLE_NAME_OR_PR_CHANGE)</f>
        <v>Управление по государственному регулированию цен (тарифов) Ненецкого автономного округа</v>
      </c>
      <c r="AD27" s="2252"/>
      <c r="AE27" s="2252"/>
      <c r="AF27" s="2252"/>
      <c r="AG27" s="2252"/>
      <c r="AH27" s="2252"/>
      <c r="AI27" s="327"/>
      <c r="AJ27" s="327"/>
      <c r="AK27" s="281"/>
      <c r="AL27" s="369"/>
      <c r="AM27" s="369"/>
      <c r="AN27" s="369"/>
      <c r="AO27" s="369"/>
      <c r="AP27" s="369"/>
      <c r="AQ27" s="419">
        <v>0</v>
      </c>
    </row>
    <row s="1854" customFormat="1" customHeight="1" ht="18.75">
      <c r="A28" s="1369"/>
      <c r="B28" s="1369"/>
      <c r="C28" s="1369"/>
      <c r="D28" s="1369"/>
      <c r="E28" s="1369"/>
      <c r="F28" s="1369"/>
      <c r="G28" s="1369"/>
      <c r="H28" s="1369"/>
      <c r="I28" s="1369"/>
      <c r="J28" s="1369"/>
      <c r="K28" s="1369"/>
      <c r="L28" s="1370"/>
      <c r="M28" s="1369"/>
      <c r="N28" s="1369"/>
      <c r="O28" s="1369"/>
      <c r="S28" s="2251" t="s">
        <v>433</v>
      </c>
      <c r="T28" s="2251"/>
      <c r="U28" s="1373"/>
      <c r="V28" s="2265" t="str">
        <f>IF(TITLE_DATE_PR_CHANGE="",IF(TITLE_DATE_PR="","",TITLE_DATE_PR),TITLE_DATE_PR_CHANGE)</f>
        <v>45642</v>
      </c>
      <c r="W28" s="2265"/>
      <c r="X28" s="2265"/>
      <c r="Y28" s="2265"/>
      <c r="Z28" s="2265"/>
      <c r="AA28" s="2265"/>
      <c r="AB28" s="327"/>
      <c r="AC28" s="2265" t="str">
        <f>IF(TITLE_DATE_PR_CHANGE="",IF(TITLE_DATE_PR="","",TITLE_DATE_PR),TITLE_DATE_PR_CHANGE)</f>
        <v>45642</v>
      </c>
      <c r="AD28" s="2265"/>
      <c r="AE28" s="2265"/>
      <c r="AF28" s="2265"/>
      <c r="AG28" s="2265"/>
      <c r="AH28" s="2265"/>
      <c r="AI28" s="327"/>
      <c r="AJ28" s="327"/>
      <c r="AK28" s="281"/>
      <c r="AL28" s="369"/>
      <c r="AM28" s="369"/>
      <c r="AN28" s="369"/>
      <c r="AO28" s="369"/>
      <c r="AP28" s="369"/>
      <c r="AQ28" s="419">
        <v>0</v>
      </c>
    </row>
    <row s="1854" customFormat="1" customHeight="1" ht="18.75">
      <c r="A29" s="1369"/>
      <c r="B29" s="1369"/>
      <c r="C29" s="1369"/>
      <c r="D29" s="1369"/>
      <c r="E29" s="1369"/>
      <c r="F29" s="1369"/>
      <c r="G29" s="1369"/>
      <c r="H29" s="1369"/>
      <c r="I29" s="1369"/>
      <c r="J29" s="1369"/>
      <c r="K29" s="1369"/>
      <c r="L29" s="1370"/>
      <c r="M29" s="1369"/>
      <c r="N29" s="1369"/>
      <c r="O29" s="1369"/>
      <c r="S29" s="2251" t="s">
        <v>434</v>
      </c>
      <c r="T29" s="2251"/>
      <c r="U29" s="1373"/>
      <c r="V29" s="2252" t="str">
        <f>IF(TITLE_NUMBER_PR_CHANGE="",IF(TITLE_NUMBER_PR="","",TITLE_NUMBER_PR),TITLE_NUMBER_PR_CHANGE)</f>
        <v>58</v>
      </c>
      <c r="W29" s="2252"/>
      <c r="X29" s="2252"/>
      <c r="Y29" s="2252"/>
      <c r="Z29" s="2252"/>
      <c r="AA29" s="2252"/>
      <c r="AB29" s="327"/>
      <c r="AC29" s="2252" t="str">
        <f>IF(TITLE_NUMBER_PR_CHANGE="",IF(TITLE_NUMBER_PR="","",TITLE_NUMBER_PR),TITLE_NUMBER_PR_CHANGE)</f>
        <v>58</v>
      </c>
      <c r="AD29" s="2252"/>
      <c r="AE29" s="2252"/>
      <c r="AF29" s="2252"/>
      <c r="AG29" s="2252"/>
      <c r="AH29" s="2252"/>
      <c r="AI29" s="327"/>
      <c r="AJ29" s="327"/>
      <c r="AK29" s="281"/>
      <c r="AL29" s="369"/>
      <c r="AM29" s="369"/>
      <c r="AN29" s="369"/>
      <c r="AO29" s="369"/>
      <c r="AP29" s="369"/>
      <c r="AQ29" s="419">
        <v>0</v>
      </c>
    </row>
    <row s="1854" customFormat="1" customHeight="1" ht="18.75">
      <c r="A30" s="1369"/>
      <c r="B30" s="1369"/>
      <c r="C30" s="1369"/>
      <c r="D30" s="1369"/>
      <c r="E30" s="1369"/>
      <c r="F30" s="1369"/>
      <c r="G30" s="1369"/>
      <c r="H30" s="1369"/>
      <c r="I30" s="1369"/>
      <c r="J30" s="1369"/>
      <c r="K30" s="1369"/>
      <c r="L30" s="1370"/>
      <c r="M30" s="1369"/>
      <c r="N30" s="1369"/>
      <c r="O30" s="1369"/>
      <c r="S30" s="2251" t="s">
        <v>44</v>
      </c>
      <c r="T30" s="2251"/>
      <c r="U30" s="1373"/>
      <c r="V30" s="2252" t="str">
        <f>IF(TITLE_IST_PUB_CHANGE="",IF(TITLE_IST_PUB="","",TITLE_IST_PUB),TITLE_IST_PUB_CHANGE)</f>
        <v>Официальный интернет портал правовой информации http://pravo.gov.ru </v>
      </c>
      <c r="W30" s="2252"/>
      <c r="X30" s="2252"/>
      <c r="Y30" s="2252"/>
      <c r="Z30" s="2252"/>
      <c r="AA30" s="2252"/>
      <c r="AB30" s="327"/>
      <c r="AC30" s="2252" t="str">
        <f>IF(TITLE_IST_PUB_CHANGE="",IF(TITLE_IST_PUB="","",TITLE_IST_PUB),TITLE_IST_PUB_CHANGE)</f>
        <v>Официальный интернет портал правовой информации http://pravo.gov.ru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435</v>
      </c>
      <c r="T32" s="2251"/>
      <c r="U32" s="1373"/>
      <c r="V32" s="2265" t="str">
        <f>IF(TITLE_DATE_PR_CHANGE="",IF(TITLE_DATE_PR="","",TITLE_DATE_PR),TITLE_DATE_PR_CHANGE)</f>
        <v>45642</v>
      </c>
      <c r="W32" s="2265"/>
      <c r="X32" s="2265"/>
      <c r="Y32" s="2265"/>
      <c r="Z32" s="2265"/>
      <c r="AA32" s="2265"/>
      <c r="AB32" s="327"/>
      <c r="AC32" s="2265" t="str">
        <f>IF(TITLE_DATE_PR_CHANGE="",IF(TITLE_DATE_PR="","",TITLE_DATE_PR),TITLE_DATE_PR_CHANGE)</f>
        <v>45642</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436</v>
      </c>
      <c r="T33" s="2251"/>
      <c r="U33" s="1373"/>
      <c r="V33" s="2252" t="str">
        <f>IF(TITLE_NUMBER_PR_CHANGE="",IF(TITLE_NUMBER_PR="","",TITLE_NUMBER_PR),TITLE_NUMBER_PR_CHANGE)</f>
        <v>58</v>
      </c>
      <c r="W33" s="2252"/>
      <c r="X33" s="2252"/>
      <c r="Y33" s="2252"/>
      <c r="Z33" s="2252"/>
      <c r="AA33" s="2252"/>
      <c r="AB33" s="327"/>
      <c r="AC33" s="2252" t="str">
        <f>IF(TITLE_NUMBER_PR_CHANGE="",IF(TITLE_NUMBER_PR="","",TITLE_NUMBER_PR),TITLE_NUMBER_PR_CHANGE)</f>
        <v>58</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437</v>
      </c>
      <c r="AC34" s="327"/>
      <c r="AD34" s="327"/>
      <c r="AE34" s="327"/>
      <c r="AF34" s="327"/>
      <c r="AG34" s="327"/>
      <c r="AH34" s="327"/>
      <c r="AI34" s="279" t="s">
        <v>437</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312</v>
      </c>
      <c r="T36" s="2128"/>
      <c r="U36" s="2128"/>
      <c r="V36" s="2128"/>
      <c r="W36" s="2128"/>
      <c r="X36" s="2128"/>
      <c r="Y36" s="2128"/>
      <c r="Z36" s="2128"/>
      <c r="AA36" s="2128"/>
      <c r="AB36" s="2128"/>
      <c r="AC36" s="2128"/>
      <c r="AD36" s="2128"/>
      <c r="AE36" s="2128"/>
      <c r="AF36" s="2128"/>
      <c r="AG36" s="2128"/>
      <c r="AH36" s="2128"/>
      <c r="AI36" s="2128"/>
      <c r="AJ36" s="2128"/>
      <c r="AK36" s="2128" t="s">
        <v>313</v>
      </c>
      <c r="AQ36" s="1156">
        <v>14</v>
      </c>
    </row>
    <row customHeight="1" ht="14.699999999999998">
      <c r="Q37" s="377"/>
      <c r="R37" s="377"/>
      <c r="S37" s="2274" t="s">
        <v>90</v>
      </c>
      <c r="T37" s="2210" t="s">
        <v>438</v>
      </c>
      <c r="U37" s="302"/>
      <c r="V37" s="2275" t="s">
        <v>439</v>
      </c>
      <c r="W37" s="2276"/>
      <c r="X37" s="2276"/>
      <c r="Y37" s="2276"/>
      <c r="Z37" s="2276"/>
      <c r="AA37" s="2277"/>
      <c r="AB37" s="2278" t="s">
        <v>440</v>
      </c>
      <c r="AC37" s="2275" t="s">
        <v>439</v>
      </c>
      <c r="AD37" s="2276"/>
      <c r="AE37" s="2276"/>
      <c r="AF37" s="2276"/>
      <c r="AG37" s="2276"/>
      <c r="AH37" s="2277"/>
      <c r="AI37" s="2278" t="s">
        <v>441</v>
      </c>
      <c r="AJ37" s="2281" t="s">
        <v>442</v>
      </c>
      <c r="AK37" s="2128"/>
      <c r="AQ37" s="1156">
        <v>14</v>
      </c>
    </row>
    <row customHeight="1" ht="35.699999999999996">
      <c r="Q38" s="377"/>
      <c r="R38" s="377"/>
      <c r="S38" s="2274"/>
      <c r="T38" s="2210"/>
      <c r="U38" s="1032"/>
      <c r="V38" s="1453" t="s">
        <v>498</v>
      </c>
      <c r="W38" s="2263" t="s">
        <v>445</v>
      </c>
      <c r="X38" s="2264"/>
      <c r="Y38" s="2263" t="s">
        <v>446</v>
      </c>
      <c r="Z38" s="2270"/>
      <c r="AA38" s="2264"/>
      <c r="AB38" s="2279"/>
      <c r="AC38" s="1453" t="s">
        <v>498</v>
      </c>
      <c r="AD38" s="2263" t="s">
        <v>445</v>
      </c>
      <c r="AE38" s="2264"/>
      <c r="AF38" s="2263" t="s">
        <v>446</v>
      </c>
      <c r="AG38" s="2270"/>
      <c r="AH38" s="2264"/>
      <c r="AI38" s="2279"/>
      <c r="AJ38" s="2282"/>
      <c r="AK38" s="2128"/>
      <c r="AQ38" s="1156">
        <v>34</v>
      </c>
    </row>
    <row customHeight="1" ht="35.699999999999996">
      <c r="A39" s="1371"/>
      <c r="B39" s="1371" t="s">
        <v>138</v>
      </c>
      <c r="C39" s="1371" t="s">
        <v>139</v>
      </c>
      <c r="D39" s="1371" t="s">
        <v>140</v>
      </c>
      <c r="E39" s="1365" t="s">
        <v>447</v>
      </c>
      <c r="F39" s="1365" t="s">
        <v>448</v>
      </c>
      <c r="G39" s="1365" t="s">
        <v>449</v>
      </c>
      <c r="H39" s="1365"/>
      <c r="I39" s="1365" t="s">
        <v>499</v>
      </c>
      <c r="J39" s="1365" t="s">
        <v>452</v>
      </c>
      <c r="K39" s="1365" t="s">
        <v>500</v>
      </c>
      <c r="L39" s="1365" t="s">
        <v>428</v>
      </c>
      <c r="Q39" s="377"/>
      <c r="R39" s="377"/>
      <c r="S39" s="2274"/>
      <c r="T39" s="2210"/>
      <c r="U39" s="303"/>
      <c r="V39" s="1453" t="s">
        <v>501</v>
      </c>
      <c r="W39" s="1223" t="s">
        <v>502</v>
      </c>
      <c r="X39" s="1223" t="s">
        <v>503</v>
      </c>
      <c r="Y39" s="1456" t="s">
        <v>456</v>
      </c>
      <c r="Z39" s="2271" t="s">
        <v>457</v>
      </c>
      <c r="AA39" s="2272"/>
      <c r="AB39" s="2280"/>
      <c r="AC39" s="1453" t="s">
        <v>501</v>
      </c>
      <c r="AD39" s="1223" t="s">
        <v>502</v>
      </c>
      <c r="AE39" s="1223" t="s">
        <v>503</v>
      </c>
      <c r="AF39" s="1456" t="s">
        <v>456</v>
      </c>
      <c r="AG39" s="2271" t="s">
        <v>457</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112</v>
      </c>
      <c r="T40" s="1256" t="s">
        <v>113</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248</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126</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248</v>
      </c>
      <c r="B42" s="1364" t="s">
        <v>249</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409</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410</v>
      </c>
      <c r="AM42" s="501"/>
      <c r="AN42" s="501" t="str">
        <f>IF(T42="","",T42)</f>
        <v>Территория действия тарифа</v>
      </c>
      <c r="AO42" s="501"/>
      <c r="AP42" s="501"/>
      <c r="AQ42" s="1156">
        <v>23</v>
      </c>
    </row>
    <row customHeight="1" ht="24">
      <c r="A43" s="1364" t="s">
        <v>248</v>
      </c>
      <c r="B43" s="1364" t="s">
        <v>249</v>
      </c>
      <c r="C43" s="1364" t="s">
        <v>250</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490</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491</v>
      </c>
      <c r="AM43" s="501"/>
      <c r="AN43" s="501" t="str">
        <f>IF(T43="","",T43)</f>
        <v>Наименование централизованной системы холодного водоснабжения</v>
      </c>
      <c r="AO43" s="501"/>
      <c r="AP43" s="501"/>
      <c r="AQ43" s="1156">
        <v>23</v>
      </c>
    </row>
    <row customHeight="1" ht="24">
      <c r="A44" s="1364" t="s">
        <v>248</v>
      </c>
      <c r="B44" s="1364" t="s">
        <v>249</v>
      </c>
      <c r="C44" s="1364" t="s">
        <v>250</v>
      </c>
      <c r="D44" s="1364" t="s">
        <v>508</v>
      </c>
      <c r="E44" s="2260"/>
      <c r="F44" s="2260"/>
      <c r="G44" s="2260"/>
      <c r="H44" s="2260"/>
      <c r="I44" s="2257" t="str">
        <f>S43&amp;".1"</f>
        <v>...1</v>
      </c>
      <c r="J44" s="1364"/>
      <c r="K44" s="1364"/>
      <c r="L44" s="1365"/>
      <c r="P44" s="2258">
        <v>1</v>
      </c>
      <c r="Q44" s="1451"/>
      <c r="R44" s="357"/>
      <c r="S44" s="1458" t="str">
        <f>$I44</f>
        <v>...1</v>
      </c>
      <c r="T44" s="286" t="s">
        <v>492</v>
      </c>
      <c r="U44" s="301"/>
      <c r="V44" s="2351"/>
      <c r="W44" s="2352"/>
      <c r="X44" s="2352"/>
      <c r="Y44" s="2352"/>
      <c r="Z44" s="2352"/>
      <c r="AA44" s="2352"/>
      <c r="AB44" s="2353"/>
      <c r="AC44" s="2354"/>
      <c r="AD44" s="2355"/>
      <c r="AE44" s="2355"/>
      <c r="AF44" s="2355"/>
      <c r="AG44" s="2355"/>
      <c r="AH44" s="2355"/>
      <c r="AI44" s="2355"/>
      <c r="AJ44" s="2356"/>
      <c r="AK44" s="1259" t="s">
        <v>493</v>
      </c>
      <c r="AM44" s="501"/>
      <c r="AN44" s="501" t="str">
        <f>IF(T44="","",T44)</f>
        <v>Наименование признака дифференциации</v>
      </c>
      <c r="AO44" s="501"/>
      <c r="AP44" s="501"/>
      <c r="AQ44" s="1156">
        <v>23</v>
      </c>
    </row>
    <row customHeight="1" ht="24">
      <c r="A45" s="1364" t="s">
        <v>248</v>
      </c>
      <c r="B45" s="1364" t="s">
        <v>249</v>
      </c>
      <c r="C45" s="1364" t="s">
        <v>250</v>
      </c>
      <c r="D45" s="1364" t="s">
        <v>508</v>
      </c>
      <c r="E45" s="2260"/>
      <c r="F45" s="2260"/>
      <c r="G45" s="2260"/>
      <c r="H45" s="2260"/>
      <c r="I45" s="2287"/>
      <c r="J45" s="2257" t="str">
        <f>I44&amp;".1"</f>
        <v>...1.1</v>
      </c>
      <c r="K45" s="1364"/>
      <c r="L45" s="1365" t="s">
        <v>418</v>
      </c>
      <c r="P45" s="2258"/>
      <c r="Q45" s="2258">
        <v>1</v>
      </c>
      <c r="R45" s="358"/>
      <c r="S45" s="1458" t="str">
        <f>$J45</f>
        <v>...1.1</v>
      </c>
      <c r="T45" s="287" t="s">
        <v>419</v>
      </c>
      <c r="U45" s="301"/>
      <c r="V45" s="2246"/>
      <c r="W45" s="2247"/>
      <c r="X45" s="2247"/>
      <c r="Y45" s="2247"/>
      <c r="Z45" s="2247"/>
      <c r="AA45" s="2247"/>
      <c r="AB45" s="2248"/>
      <c r="AC45" s="2246"/>
      <c r="AD45" s="2247"/>
      <c r="AE45" s="2247"/>
      <c r="AF45" s="2247"/>
      <c r="AG45" s="2247"/>
      <c r="AH45" s="2247"/>
      <c r="AI45" s="2247"/>
      <c r="AJ45" s="2248"/>
      <c r="AK45" s="1308" t="s">
        <v>494</v>
      </c>
      <c r="AM45" s="501"/>
      <c r="AN45" s="501" t="str">
        <f>IF(T45="","",T45)</f>
        <v>Группа потребителей</v>
      </c>
      <c r="AO45" s="501"/>
      <c r="AP45" s="501"/>
      <c r="AQ45" s="1156">
        <v>23</v>
      </c>
    </row>
    <row customHeight="1" ht="24">
      <c r="A46" s="1364" t="s">
        <v>248</v>
      </c>
      <c r="B46" s="1364" t="s">
        <v>249</v>
      </c>
      <c r="C46" s="1364" t="s">
        <v>250</v>
      </c>
      <c r="D46" s="1364" t="s">
        <v>508</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63</v>
      </c>
      <c r="AA46" s="2266"/>
      <c r="AB46" s="2108" t="s">
        <v>63</v>
      </c>
      <c r="AC46" s="752"/>
      <c r="AD46" s="752"/>
      <c r="AE46" s="1258"/>
      <c r="AF46" s="2266"/>
      <c r="AG46" s="2108" t="s">
        <v>63</v>
      </c>
      <c r="AH46" s="2288"/>
      <c r="AI46" s="2108" t="s">
        <v>63</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248</v>
      </c>
      <c r="B47" s="1364" t="s">
        <v>249</v>
      </c>
      <c r="C47" s="1364" t="s">
        <v>250</v>
      </c>
      <c r="D47" s="1364" t="s">
        <v>508</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248</v>
      </c>
      <c r="B48" s="1364" t="s">
        <v>249</v>
      </c>
      <c r="C48" s="1364" t="s">
        <v>250</v>
      </c>
      <c r="D48" s="1364" t="s">
        <v>508</v>
      </c>
      <c r="E48" s="2260"/>
      <c r="F48" s="2260"/>
      <c r="G48" s="2260"/>
      <c r="H48" s="2260"/>
      <c r="I48" s="2287"/>
      <c r="J48" s="2257"/>
      <c r="K48" s="1364"/>
      <c r="L48" s="1365"/>
      <c r="P48" s="2258"/>
      <c r="Q48" s="2258"/>
      <c r="R48" s="357"/>
      <c r="S48" s="1279"/>
      <c r="T48" s="288" t="s">
        <v>495</v>
      </c>
      <c r="U48" s="368"/>
      <c r="V48" s="368"/>
      <c r="W48" s="368"/>
      <c r="X48" s="368"/>
      <c r="Y48" s="368"/>
      <c r="Z48" s="368"/>
      <c r="AA48" s="368"/>
      <c r="AB48" s="368"/>
      <c r="AC48" s="368"/>
      <c r="AD48" s="368"/>
      <c r="AE48" s="368"/>
      <c r="AF48" s="368"/>
      <c r="AG48" s="368"/>
      <c r="AH48" s="368"/>
      <c r="AI48" s="368"/>
      <c r="AJ48" s="368"/>
      <c r="AK48" s="1259" t="s">
        <v>496</v>
      </c>
      <c r="AM48" s="501"/>
      <c r="AN48" s="501" t="str">
        <f>IF(T48="","",T48)</f>
        <v>Добавить значение признака дифференциации</v>
      </c>
      <c r="AO48" s="501"/>
      <c r="AP48" s="501"/>
      <c r="AQ48" s="1156">
        <v>20</v>
      </c>
    </row>
    <row customHeight="1" ht="22.049999999999997">
      <c r="A49" s="1364" t="s">
        <v>248</v>
      </c>
      <c r="B49" s="1364" t="s">
        <v>249</v>
      </c>
      <c r="C49" s="1364" t="s">
        <v>250</v>
      </c>
      <c r="D49" s="1364" t="s">
        <v>508</v>
      </c>
      <c r="E49" s="2260"/>
      <c r="F49" s="2260"/>
      <c r="G49" s="2260"/>
      <c r="H49" s="2260"/>
      <c r="I49" s="2257"/>
      <c r="J49" s="1364"/>
      <c r="K49" s="1364"/>
      <c r="L49" s="1365"/>
      <c r="P49" s="2258"/>
      <c r="Q49" s="1451"/>
      <c r="R49" s="357"/>
      <c r="S49" s="1279"/>
      <c r="T49" s="366" t="s">
        <v>424</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248</v>
      </c>
      <c r="B50" s="1364" t="s">
        <v>249</v>
      </c>
      <c r="C50" s="1364" t="s">
        <v>250</v>
      </c>
      <c r="D50" s="1364" t="s">
        <v>508</v>
      </c>
      <c r="E50" s="2260"/>
      <c r="F50" s="2260"/>
      <c r="G50" s="2260"/>
      <c r="H50" s="2259"/>
      <c r="I50" s="1364"/>
      <c r="J50" s="1364"/>
      <c r="K50" s="1364"/>
      <c r="L50" s="1365"/>
      <c r="M50" s="1366"/>
      <c r="N50" s="1366"/>
      <c r="O50" s="538"/>
      <c r="P50" s="361"/>
      <c r="Q50" s="376"/>
      <c r="R50" s="356"/>
      <c r="S50" s="1279"/>
      <c r="T50" s="373" t="s">
        <v>497</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248</v>
      </c>
      <c r="B51" s="1344" t="s">
        <v>249</v>
      </c>
      <c r="C51" s="1315"/>
      <c r="D51" s="1315"/>
      <c r="E51" s="2260"/>
      <c r="F51" s="2259"/>
      <c r="G51" s="1315"/>
      <c r="H51" s="1315"/>
      <c r="I51" s="1315"/>
      <c r="J51" s="1315"/>
      <c r="K51" s="1315"/>
      <c r="L51" s="1459"/>
      <c r="M51" s="1322"/>
      <c r="N51" s="1322"/>
      <c r="P51" s="1317"/>
      <c r="Q51" s="1318"/>
      <c r="R51" s="1317"/>
      <c r="S51" s="1323"/>
      <c r="T51" s="1326" t="s">
        <v>232</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248</v>
      </c>
      <c r="B52" s="1344"/>
      <c r="C52" s="1344"/>
      <c r="D52" s="1344"/>
      <c r="E52" s="2259"/>
      <c r="F52" s="1344"/>
      <c r="G52" s="1344"/>
      <c r="H52" s="1344"/>
      <c r="I52" s="1344"/>
      <c r="J52" s="1344"/>
      <c r="K52" s="1344"/>
      <c r="L52" s="1347"/>
      <c r="M52" s="1322"/>
      <c r="N52" s="1322"/>
      <c r="O52" s="519"/>
      <c r="P52" s="381"/>
      <c r="Q52" s="1345"/>
      <c r="R52" s="381"/>
      <c r="S52" s="1323"/>
      <c r="T52" s="1326" t="s">
        <v>233</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240</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84</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55F904-BDFD-968B-BB91-0.73F04C98}"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126</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409</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410</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490</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491</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492</v>
      </c>
      <c r="U5" s="301"/>
      <c r="V5" s="2351"/>
      <c r="W5" s="2352"/>
      <c r="X5" s="2352"/>
      <c r="Y5" s="2352"/>
      <c r="Z5" s="2352"/>
      <c r="AA5" s="2352"/>
      <c r="AB5" s="2353"/>
      <c r="AC5" s="2354"/>
      <c r="AD5" s="2355"/>
      <c r="AE5" s="2355"/>
      <c r="AF5" s="2355"/>
      <c r="AG5" s="2355"/>
      <c r="AH5" s="2355"/>
      <c r="AI5" s="2355"/>
      <c r="AJ5" s="2356"/>
      <c r="AK5" s="1259" t="s">
        <v>493</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418</v>
      </c>
      <c r="P6" s="2258"/>
      <c r="Q6" s="2258">
        <v>1</v>
      </c>
      <c r="R6" s="358"/>
      <c r="S6" s="1458">
        <f>$J6</f>
      </c>
      <c r="T6" s="287" t="s">
        <v>419</v>
      </c>
      <c r="U6" s="301"/>
      <c r="V6" s="2246"/>
      <c r="W6" s="2247"/>
      <c r="X6" s="2247"/>
      <c r="Y6" s="2247"/>
      <c r="Z6" s="2247"/>
      <c r="AA6" s="2247"/>
      <c r="AB6" s="2248"/>
      <c r="AC6" s="2246"/>
      <c r="AD6" s="2247"/>
      <c r="AE6" s="2247"/>
      <c r="AF6" s="2247"/>
      <c r="AG6" s="2247"/>
      <c r="AH6" s="2247"/>
      <c r="AI6" s="2247"/>
      <c r="AJ6" s="2248"/>
      <c r="AK6" s="1308" t="s">
        <v>494</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63</v>
      </c>
      <c r="AA7" s="2266"/>
      <c r="AB7" s="2108" t="s">
        <v>63</v>
      </c>
      <c r="AC7" s="752"/>
      <c r="AD7" s="752"/>
      <c r="AE7" s="1258"/>
      <c r="AF7" s="2266"/>
      <c r="AG7" s="2108" t="s">
        <v>63</v>
      </c>
      <c r="AH7" s="2288"/>
      <c r="AI7" s="2108" t="s">
        <v>63</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495</v>
      </c>
      <c r="U9" s="368"/>
      <c r="V9" s="368"/>
      <c r="W9" s="368"/>
      <c r="X9" s="368"/>
      <c r="Y9" s="368"/>
      <c r="Z9" s="368"/>
      <c r="AA9" s="368"/>
      <c r="AB9" s="368"/>
      <c r="AC9" s="368"/>
      <c r="AD9" s="368"/>
      <c r="AE9" s="368"/>
      <c r="AF9" s="368"/>
      <c r="AG9" s="368"/>
      <c r="AH9" s="368"/>
      <c r="AI9" s="368"/>
      <c r="AJ9" s="368"/>
      <c r="AK9" s="1259" t="s">
        <v>496</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424</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497</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232</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233</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63</v>
      </c>
      <c r="AH15" s="2268"/>
      <c r="AI15" s="2269" t="s">
        <v>63</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427</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428</v>
      </c>
      <c r="P20" s="1363"/>
      <c r="Q20" s="1443"/>
      <c r="R20" s="1443"/>
      <c r="S20" s="730"/>
      <c r="T20" s="1161" t="s">
        <v>429</v>
      </c>
      <c r="Z20" s="187" t="s">
        <v>430</v>
      </c>
      <c r="AB20" s="187" t="s">
        <v>431</v>
      </c>
      <c r="AC20" s="1161" t="s">
        <v>429</v>
      </c>
      <c r="AG20" s="187" t="s">
        <v>432</v>
      </c>
      <c r="AI20" s="187" t="s">
        <v>431</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2. Информация
о тарифах в сфере холодного водоснабжения на товары (услуги) организации холодного водоснабжения, подлежащих регулированию</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Q25" s="1156">
        <v>14</v>
      </c>
    </row>
    <row customHeight="1" ht="14.25">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Управление по государственному регулированию цен (тарифов) Ненецкого автономного округа</v>
      </c>
      <c r="W27" s="2252"/>
      <c r="X27" s="2252"/>
      <c r="Y27" s="2252"/>
      <c r="Z27" s="2252"/>
      <c r="AA27" s="2252"/>
      <c r="AB27" s="327"/>
      <c r="AC27" s="2252" t="str">
        <f>IF(TITLE_NAME_OR_PR_CHANGE="",IF(TITLE_NAME_OR_PR="","",TITLE_NAME_OR_PR),TITLE_NAME_OR_PR_CHANGE)</f>
        <v>Управление по государственному регулированию цен (тарифов) Ненецкого автономного округа</v>
      </c>
      <c r="AD27" s="2252"/>
      <c r="AE27" s="2252"/>
      <c r="AF27" s="2252"/>
      <c r="AG27" s="2252"/>
      <c r="AH27" s="2252"/>
      <c r="AI27" s="327"/>
      <c r="AJ27" s="327"/>
      <c r="AK27" s="281"/>
      <c r="AL27" s="369"/>
      <c r="AM27" s="369"/>
      <c r="AN27" s="369"/>
      <c r="AO27" s="369"/>
      <c r="AP27" s="369"/>
      <c r="AQ27" s="419">
        <v>0</v>
      </c>
    </row>
    <row s="1854" customFormat="1" customHeight="1" ht="18.75">
      <c r="A28" s="1369"/>
      <c r="B28" s="1369"/>
      <c r="C28" s="1369"/>
      <c r="D28" s="1369"/>
      <c r="E28" s="1369"/>
      <c r="F28" s="1369"/>
      <c r="G28" s="1369"/>
      <c r="H28" s="1369"/>
      <c r="I28" s="1369"/>
      <c r="J28" s="1369"/>
      <c r="K28" s="1369"/>
      <c r="L28" s="1370"/>
      <c r="M28" s="1369"/>
      <c r="N28" s="1369"/>
      <c r="O28" s="1369"/>
      <c r="S28" s="2251" t="s">
        <v>433</v>
      </c>
      <c r="T28" s="2251"/>
      <c r="U28" s="1373"/>
      <c r="V28" s="2265" t="str">
        <f>IF(TITLE_DATE_PR_CHANGE="",IF(TITLE_DATE_PR="","",TITLE_DATE_PR),TITLE_DATE_PR_CHANGE)</f>
        <v>45642</v>
      </c>
      <c r="W28" s="2265"/>
      <c r="X28" s="2265"/>
      <c r="Y28" s="2265"/>
      <c r="Z28" s="2265"/>
      <c r="AA28" s="2265"/>
      <c r="AB28" s="327"/>
      <c r="AC28" s="2265" t="str">
        <f>IF(TITLE_DATE_PR_CHANGE="",IF(TITLE_DATE_PR="","",TITLE_DATE_PR),TITLE_DATE_PR_CHANGE)</f>
        <v>45642</v>
      </c>
      <c r="AD28" s="2265"/>
      <c r="AE28" s="2265"/>
      <c r="AF28" s="2265"/>
      <c r="AG28" s="2265"/>
      <c r="AH28" s="2265"/>
      <c r="AI28" s="327"/>
      <c r="AJ28" s="327"/>
      <c r="AK28" s="281"/>
      <c r="AL28" s="369"/>
      <c r="AM28" s="369"/>
      <c r="AN28" s="369"/>
      <c r="AO28" s="369"/>
      <c r="AP28" s="369"/>
      <c r="AQ28" s="419">
        <v>0</v>
      </c>
    </row>
    <row s="1854" customFormat="1" customHeight="1" ht="18.75">
      <c r="A29" s="1369"/>
      <c r="B29" s="1369"/>
      <c r="C29" s="1369"/>
      <c r="D29" s="1369"/>
      <c r="E29" s="1369"/>
      <c r="F29" s="1369"/>
      <c r="G29" s="1369"/>
      <c r="H29" s="1369"/>
      <c r="I29" s="1369"/>
      <c r="J29" s="1369"/>
      <c r="K29" s="1369"/>
      <c r="L29" s="1370"/>
      <c r="M29" s="1369"/>
      <c r="N29" s="1369"/>
      <c r="O29" s="1369"/>
      <c r="S29" s="2251" t="s">
        <v>434</v>
      </c>
      <c r="T29" s="2251"/>
      <c r="U29" s="1373"/>
      <c r="V29" s="2252" t="str">
        <f>IF(TITLE_NUMBER_PR_CHANGE="",IF(TITLE_NUMBER_PR="","",TITLE_NUMBER_PR),TITLE_NUMBER_PR_CHANGE)</f>
        <v>58</v>
      </c>
      <c r="W29" s="2252"/>
      <c r="X29" s="2252"/>
      <c r="Y29" s="2252"/>
      <c r="Z29" s="2252"/>
      <c r="AA29" s="2252"/>
      <c r="AB29" s="327"/>
      <c r="AC29" s="2252" t="str">
        <f>IF(TITLE_NUMBER_PR_CHANGE="",IF(TITLE_NUMBER_PR="","",TITLE_NUMBER_PR),TITLE_NUMBER_PR_CHANGE)</f>
        <v>58</v>
      </c>
      <c r="AD29" s="2252"/>
      <c r="AE29" s="2252"/>
      <c r="AF29" s="2252"/>
      <c r="AG29" s="2252"/>
      <c r="AH29" s="2252"/>
      <c r="AI29" s="327"/>
      <c r="AJ29" s="327"/>
      <c r="AK29" s="281"/>
      <c r="AL29" s="369"/>
      <c r="AM29" s="369"/>
      <c r="AN29" s="369"/>
      <c r="AO29" s="369"/>
      <c r="AP29" s="369"/>
      <c r="AQ29" s="419">
        <v>0</v>
      </c>
    </row>
    <row s="1854" customFormat="1" customHeight="1" ht="18.75">
      <c r="A30" s="1369"/>
      <c r="B30" s="1369"/>
      <c r="C30" s="1369"/>
      <c r="D30" s="1369"/>
      <c r="E30" s="1369"/>
      <c r="F30" s="1369"/>
      <c r="G30" s="1369"/>
      <c r="H30" s="1369"/>
      <c r="I30" s="1369"/>
      <c r="J30" s="1369"/>
      <c r="K30" s="1369"/>
      <c r="L30" s="1370"/>
      <c r="M30" s="1369"/>
      <c r="N30" s="1369"/>
      <c r="O30" s="1369"/>
      <c r="S30" s="2251" t="s">
        <v>44</v>
      </c>
      <c r="T30" s="2251"/>
      <c r="U30" s="1373"/>
      <c r="V30" s="2252" t="str">
        <f>IF(TITLE_IST_PUB_CHANGE="",IF(TITLE_IST_PUB="","",TITLE_IST_PUB),TITLE_IST_PUB_CHANGE)</f>
        <v>Официальный интернет портал правовой информации http://pravo.gov.ru </v>
      </c>
      <c r="W30" s="2252"/>
      <c r="X30" s="2252"/>
      <c r="Y30" s="2252"/>
      <c r="Z30" s="2252"/>
      <c r="AA30" s="2252"/>
      <c r="AB30" s="327"/>
      <c r="AC30" s="2252" t="str">
        <f>IF(TITLE_IST_PUB_CHANGE="",IF(TITLE_IST_PUB="","",TITLE_IST_PUB),TITLE_IST_PUB_CHANGE)</f>
        <v>Официальный интернет портал правовой информации http://pravo.gov.ru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435</v>
      </c>
      <c r="T32" s="2251"/>
      <c r="U32" s="1373"/>
      <c r="V32" s="2265" t="str">
        <f>IF(TITLE_DATE_PR_CHANGE="",IF(TITLE_DATE_PR="","",TITLE_DATE_PR),TITLE_DATE_PR_CHANGE)</f>
        <v>45642</v>
      </c>
      <c r="W32" s="2265"/>
      <c r="X32" s="2265"/>
      <c r="Y32" s="2265"/>
      <c r="Z32" s="2265"/>
      <c r="AA32" s="2265"/>
      <c r="AB32" s="327"/>
      <c r="AC32" s="2265" t="str">
        <f>IF(TITLE_DATE_PR_CHANGE="",IF(TITLE_DATE_PR="","",TITLE_DATE_PR),TITLE_DATE_PR_CHANGE)</f>
        <v>45642</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436</v>
      </c>
      <c r="T33" s="2251"/>
      <c r="U33" s="1373"/>
      <c r="V33" s="2252" t="str">
        <f>IF(TITLE_NUMBER_PR_CHANGE="",IF(TITLE_NUMBER_PR="","",TITLE_NUMBER_PR),TITLE_NUMBER_PR_CHANGE)</f>
        <v>58</v>
      </c>
      <c r="W33" s="2252"/>
      <c r="X33" s="2252"/>
      <c r="Y33" s="2252"/>
      <c r="Z33" s="2252"/>
      <c r="AA33" s="2252"/>
      <c r="AB33" s="327"/>
      <c r="AC33" s="2252" t="str">
        <f>IF(TITLE_NUMBER_PR_CHANGE="",IF(TITLE_NUMBER_PR="","",TITLE_NUMBER_PR),TITLE_NUMBER_PR_CHANGE)</f>
        <v>58</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437</v>
      </c>
      <c r="AC34" s="327"/>
      <c r="AD34" s="327"/>
      <c r="AE34" s="327"/>
      <c r="AF34" s="327"/>
      <c r="AG34" s="327"/>
      <c r="AH34" s="327"/>
      <c r="AI34" s="279" t="s">
        <v>437</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312</v>
      </c>
      <c r="T36" s="2128"/>
      <c r="U36" s="2128"/>
      <c r="V36" s="2128"/>
      <c r="W36" s="2128"/>
      <c r="X36" s="2128"/>
      <c r="Y36" s="2128"/>
      <c r="Z36" s="2128"/>
      <c r="AA36" s="2128"/>
      <c r="AB36" s="2128"/>
      <c r="AC36" s="2128"/>
      <c r="AD36" s="2128"/>
      <c r="AE36" s="2128"/>
      <c r="AF36" s="2128"/>
      <c r="AG36" s="2128"/>
      <c r="AH36" s="2128"/>
      <c r="AI36" s="2128"/>
      <c r="AJ36" s="2128"/>
      <c r="AK36" s="2128" t="s">
        <v>313</v>
      </c>
      <c r="AQ36" s="1156">
        <v>14</v>
      </c>
    </row>
    <row customHeight="1" ht="14.699999999999998">
      <c r="Q37" s="377"/>
      <c r="R37" s="377"/>
      <c r="S37" s="2274" t="s">
        <v>90</v>
      </c>
      <c r="T37" s="2210" t="s">
        <v>438</v>
      </c>
      <c r="U37" s="302"/>
      <c r="V37" s="2275" t="s">
        <v>439</v>
      </c>
      <c r="W37" s="2276"/>
      <c r="X37" s="2276"/>
      <c r="Y37" s="2276"/>
      <c r="Z37" s="2276"/>
      <c r="AA37" s="2277"/>
      <c r="AB37" s="2278" t="s">
        <v>440</v>
      </c>
      <c r="AC37" s="2275" t="s">
        <v>439</v>
      </c>
      <c r="AD37" s="2276"/>
      <c r="AE37" s="2276"/>
      <c r="AF37" s="2276"/>
      <c r="AG37" s="2276"/>
      <c r="AH37" s="2277"/>
      <c r="AI37" s="2278" t="s">
        <v>441</v>
      </c>
      <c r="AJ37" s="2281" t="s">
        <v>442</v>
      </c>
      <c r="AK37" s="2128"/>
      <c r="AQ37" s="1156">
        <v>14</v>
      </c>
    </row>
    <row customHeight="1" ht="35.699999999999996">
      <c r="Q38" s="377"/>
      <c r="R38" s="377"/>
      <c r="S38" s="2274"/>
      <c r="T38" s="2210"/>
      <c r="U38" s="1032"/>
      <c r="V38" s="1453" t="s">
        <v>498</v>
      </c>
      <c r="W38" s="2263" t="s">
        <v>445</v>
      </c>
      <c r="X38" s="2264"/>
      <c r="Y38" s="2263" t="s">
        <v>446</v>
      </c>
      <c r="Z38" s="2270"/>
      <c r="AA38" s="2264"/>
      <c r="AB38" s="2279"/>
      <c r="AC38" s="1453" t="s">
        <v>498</v>
      </c>
      <c r="AD38" s="2263" t="s">
        <v>445</v>
      </c>
      <c r="AE38" s="2264"/>
      <c r="AF38" s="2263" t="s">
        <v>446</v>
      </c>
      <c r="AG38" s="2270"/>
      <c r="AH38" s="2264"/>
      <c r="AI38" s="2279"/>
      <c r="AJ38" s="2282"/>
      <c r="AK38" s="2128"/>
      <c r="AQ38" s="1156">
        <v>34</v>
      </c>
    </row>
    <row customHeight="1" ht="35.699999999999996">
      <c r="A39" s="1371"/>
      <c r="B39" s="1371" t="s">
        <v>138</v>
      </c>
      <c r="C39" s="1371" t="s">
        <v>139</v>
      </c>
      <c r="D39" s="1371" t="s">
        <v>140</v>
      </c>
      <c r="E39" s="1365" t="s">
        <v>447</v>
      </c>
      <c r="F39" s="1365" t="s">
        <v>448</v>
      </c>
      <c r="G39" s="1365" t="s">
        <v>449</v>
      </c>
      <c r="H39" s="1365"/>
      <c r="I39" s="1365" t="s">
        <v>499</v>
      </c>
      <c r="J39" s="1365" t="s">
        <v>452</v>
      </c>
      <c r="K39" s="1365" t="s">
        <v>500</v>
      </c>
      <c r="L39" s="1365" t="s">
        <v>428</v>
      </c>
      <c r="Q39" s="377"/>
      <c r="R39" s="377"/>
      <c r="S39" s="2274"/>
      <c r="T39" s="2210"/>
      <c r="U39" s="303"/>
      <c r="V39" s="1453" t="s">
        <v>501</v>
      </c>
      <c r="W39" s="1223" t="s">
        <v>502</v>
      </c>
      <c r="X39" s="1223" t="s">
        <v>503</v>
      </c>
      <c r="Y39" s="1456" t="s">
        <v>456</v>
      </c>
      <c r="Z39" s="2271" t="s">
        <v>457</v>
      </c>
      <c r="AA39" s="2272"/>
      <c r="AB39" s="2280"/>
      <c r="AC39" s="1453" t="s">
        <v>501</v>
      </c>
      <c r="AD39" s="1223" t="s">
        <v>502</v>
      </c>
      <c r="AE39" s="1223" t="s">
        <v>503</v>
      </c>
      <c r="AF39" s="1456" t="s">
        <v>456</v>
      </c>
      <c r="AG39" s="2271" t="s">
        <v>457</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112</v>
      </c>
      <c r="T40" s="1256" t="s">
        <v>113</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253</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126</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253</v>
      </c>
      <c r="B42" s="1364" t="s">
        <v>254</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409</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410</v>
      </c>
      <c r="AM42" s="501"/>
      <c r="AN42" s="501" t="str">
        <f>IF(T42="","",T42)</f>
        <v>Территория действия тарифа</v>
      </c>
      <c r="AO42" s="501"/>
      <c r="AP42" s="501"/>
      <c r="AQ42" s="1156">
        <v>23</v>
      </c>
    </row>
    <row customHeight="1" ht="24">
      <c r="A43" s="1364" t="s">
        <v>253</v>
      </c>
      <c r="B43" s="1364" t="s">
        <v>254</v>
      </c>
      <c r="C43" s="1364" t="s">
        <v>255</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490</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491</v>
      </c>
      <c r="AM43" s="501"/>
      <c r="AN43" s="501" t="str">
        <f>IF(T43="","",T43)</f>
        <v>Наименование централизованной системы холодного водоснабжения</v>
      </c>
      <c r="AO43" s="501"/>
      <c r="AP43" s="501"/>
      <c r="AQ43" s="1156">
        <v>23</v>
      </c>
    </row>
    <row customHeight="1" ht="24">
      <c r="A44" s="1364" t="s">
        <v>253</v>
      </c>
      <c r="B44" s="1364" t="s">
        <v>254</v>
      </c>
      <c r="C44" s="1364" t="s">
        <v>255</v>
      </c>
      <c r="D44" s="1364" t="s">
        <v>509</v>
      </c>
      <c r="E44" s="2260"/>
      <c r="F44" s="2260"/>
      <c r="G44" s="2260"/>
      <c r="H44" s="2260"/>
      <c r="I44" s="2257" t="str">
        <f>S43&amp;".1"</f>
        <v>...1</v>
      </c>
      <c r="J44" s="1364"/>
      <c r="K44" s="1364"/>
      <c r="L44" s="1365"/>
      <c r="P44" s="2258">
        <v>1</v>
      </c>
      <c r="Q44" s="1451"/>
      <c r="R44" s="357"/>
      <c r="S44" s="1458" t="str">
        <f>$I44</f>
        <v>...1</v>
      </c>
      <c r="T44" s="286" t="s">
        <v>492</v>
      </c>
      <c r="U44" s="301"/>
      <c r="V44" s="2351"/>
      <c r="W44" s="2352"/>
      <c r="X44" s="2352"/>
      <c r="Y44" s="2352"/>
      <c r="Z44" s="2352"/>
      <c r="AA44" s="2352"/>
      <c r="AB44" s="2353"/>
      <c r="AC44" s="2354"/>
      <c r="AD44" s="2355"/>
      <c r="AE44" s="2355"/>
      <c r="AF44" s="2355"/>
      <c r="AG44" s="2355"/>
      <c r="AH44" s="2355"/>
      <c r="AI44" s="2355"/>
      <c r="AJ44" s="2356"/>
      <c r="AK44" s="1259" t="s">
        <v>493</v>
      </c>
      <c r="AM44" s="501"/>
      <c r="AN44" s="501" t="str">
        <f>IF(T44="","",T44)</f>
        <v>Наименование признака дифференциации</v>
      </c>
      <c r="AO44" s="501"/>
      <c r="AP44" s="501"/>
      <c r="AQ44" s="1156">
        <v>23</v>
      </c>
    </row>
    <row customHeight="1" ht="24">
      <c r="A45" s="1364" t="s">
        <v>253</v>
      </c>
      <c r="B45" s="1364" t="s">
        <v>254</v>
      </c>
      <c r="C45" s="1364" t="s">
        <v>255</v>
      </c>
      <c r="D45" s="1364" t="s">
        <v>509</v>
      </c>
      <c r="E45" s="2260"/>
      <c r="F45" s="2260"/>
      <c r="G45" s="2260"/>
      <c r="H45" s="2260"/>
      <c r="I45" s="2287"/>
      <c r="J45" s="2257" t="str">
        <f>I44&amp;".1"</f>
        <v>...1.1</v>
      </c>
      <c r="K45" s="1364"/>
      <c r="L45" s="1365" t="s">
        <v>418</v>
      </c>
      <c r="P45" s="2258"/>
      <c r="Q45" s="2258">
        <v>1</v>
      </c>
      <c r="R45" s="358"/>
      <c r="S45" s="1458" t="str">
        <f>$J45</f>
        <v>...1.1</v>
      </c>
      <c r="T45" s="287" t="s">
        <v>419</v>
      </c>
      <c r="U45" s="301"/>
      <c r="V45" s="2246"/>
      <c r="W45" s="2247"/>
      <c r="X45" s="2247"/>
      <c r="Y45" s="2247"/>
      <c r="Z45" s="2247"/>
      <c r="AA45" s="2247"/>
      <c r="AB45" s="2248"/>
      <c r="AC45" s="2246"/>
      <c r="AD45" s="2247"/>
      <c r="AE45" s="2247"/>
      <c r="AF45" s="2247"/>
      <c r="AG45" s="2247"/>
      <c r="AH45" s="2247"/>
      <c r="AI45" s="2247"/>
      <c r="AJ45" s="2248"/>
      <c r="AK45" s="1308" t="s">
        <v>494</v>
      </c>
      <c r="AM45" s="501"/>
      <c r="AN45" s="501" t="str">
        <f>IF(T45="","",T45)</f>
        <v>Группа потребителей</v>
      </c>
      <c r="AO45" s="501"/>
      <c r="AP45" s="501"/>
      <c r="AQ45" s="1156">
        <v>23</v>
      </c>
    </row>
    <row customHeight="1" ht="24">
      <c r="A46" s="1364" t="s">
        <v>253</v>
      </c>
      <c r="B46" s="1364" t="s">
        <v>254</v>
      </c>
      <c r="C46" s="1364" t="s">
        <v>255</v>
      </c>
      <c r="D46" s="1364" t="s">
        <v>509</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63</v>
      </c>
      <c r="AA46" s="2266"/>
      <c r="AB46" s="2108" t="s">
        <v>63</v>
      </c>
      <c r="AC46" s="752"/>
      <c r="AD46" s="752"/>
      <c r="AE46" s="1258"/>
      <c r="AF46" s="2266"/>
      <c r="AG46" s="2108" t="s">
        <v>63</v>
      </c>
      <c r="AH46" s="2288"/>
      <c r="AI46" s="2108" t="s">
        <v>63</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253</v>
      </c>
      <c r="B47" s="1364" t="s">
        <v>254</v>
      </c>
      <c r="C47" s="1364" t="s">
        <v>255</v>
      </c>
      <c r="D47" s="1364" t="s">
        <v>509</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253</v>
      </c>
      <c r="B48" s="1364" t="s">
        <v>254</v>
      </c>
      <c r="C48" s="1364" t="s">
        <v>255</v>
      </c>
      <c r="D48" s="1364" t="s">
        <v>509</v>
      </c>
      <c r="E48" s="2260"/>
      <c r="F48" s="2260"/>
      <c r="G48" s="2260"/>
      <c r="H48" s="2260"/>
      <c r="I48" s="2287"/>
      <c r="J48" s="2257"/>
      <c r="K48" s="1364"/>
      <c r="L48" s="1365"/>
      <c r="P48" s="2258"/>
      <c r="Q48" s="2258"/>
      <c r="R48" s="357"/>
      <c r="S48" s="1279"/>
      <c r="T48" s="288" t="s">
        <v>495</v>
      </c>
      <c r="U48" s="368"/>
      <c r="V48" s="368"/>
      <c r="W48" s="368"/>
      <c r="X48" s="368"/>
      <c r="Y48" s="368"/>
      <c r="Z48" s="368"/>
      <c r="AA48" s="368"/>
      <c r="AB48" s="368"/>
      <c r="AC48" s="368"/>
      <c r="AD48" s="368"/>
      <c r="AE48" s="368"/>
      <c r="AF48" s="368"/>
      <c r="AG48" s="368"/>
      <c r="AH48" s="368"/>
      <c r="AI48" s="368"/>
      <c r="AJ48" s="368"/>
      <c r="AK48" s="1259" t="s">
        <v>496</v>
      </c>
      <c r="AM48" s="501"/>
      <c r="AN48" s="501" t="str">
        <f>IF(T48="","",T48)</f>
        <v>Добавить значение признака дифференциации</v>
      </c>
      <c r="AO48" s="501"/>
      <c r="AP48" s="501"/>
      <c r="AQ48" s="1156">
        <v>20</v>
      </c>
    </row>
    <row customHeight="1" ht="22.049999999999997">
      <c r="A49" s="1364" t="s">
        <v>253</v>
      </c>
      <c r="B49" s="1364" t="s">
        <v>254</v>
      </c>
      <c r="C49" s="1364" t="s">
        <v>255</v>
      </c>
      <c r="D49" s="1364" t="s">
        <v>509</v>
      </c>
      <c r="E49" s="2260"/>
      <c r="F49" s="2260"/>
      <c r="G49" s="2260"/>
      <c r="H49" s="2260"/>
      <c r="I49" s="2257"/>
      <c r="J49" s="1364"/>
      <c r="K49" s="1364"/>
      <c r="L49" s="1365"/>
      <c r="P49" s="2258"/>
      <c r="Q49" s="1451"/>
      <c r="R49" s="357"/>
      <c r="S49" s="1279"/>
      <c r="T49" s="366" t="s">
        <v>424</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253</v>
      </c>
      <c r="B50" s="1364" t="s">
        <v>254</v>
      </c>
      <c r="C50" s="1364" t="s">
        <v>255</v>
      </c>
      <c r="D50" s="1364" t="s">
        <v>509</v>
      </c>
      <c r="E50" s="2260"/>
      <c r="F50" s="2260"/>
      <c r="G50" s="2260"/>
      <c r="H50" s="2259"/>
      <c r="I50" s="1364"/>
      <c r="J50" s="1364"/>
      <c r="K50" s="1364"/>
      <c r="L50" s="1365"/>
      <c r="M50" s="1366"/>
      <c r="N50" s="1366"/>
      <c r="O50" s="538"/>
      <c r="P50" s="361"/>
      <c r="Q50" s="376"/>
      <c r="R50" s="356"/>
      <c r="S50" s="1279"/>
      <c r="T50" s="373" t="s">
        <v>497</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253</v>
      </c>
      <c r="B51" s="1344" t="s">
        <v>254</v>
      </c>
      <c r="C51" s="1315"/>
      <c r="D51" s="1315"/>
      <c r="E51" s="2260"/>
      <c r="F51" s="2259"/>
      <c r="G51" s="1315"/>
      <c r="H51" s="1315"/>
      <c r="I51" s="1315"/>
      <c r="J51" s="1315"/>
      <c r="K51" s="1315"/>
      <c r="L51" s="1459"/>
      <c r="M51" s="1322"/>
      <c r="N51" s="1322"/>
      <c r="P51" s="1317"/>
      <c r="Q51" s="1318"/>
      <c r="R51" s="1317"/>
      <c r="S51" s="1323"/>
      <c r="T51" s="1326" t="s">
        <v>232</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253</v>
      </c>
      <c r="B52" s="1344"/>
      <c r="C52" s="1344"/>
      <c r="D52" s="1344"/>
      <c r="E52" s="2259"/>
      <c r="F52" s="1344"/>
      <c r="G52" s="1344"/>
      <c r="H52" s="1344"/>
      <c r="I52" s="1344"/>
      <c r="J52" s="1344"/>
      <c r="K52" s="1344"/>
      <c r="L52" s="1347"/>
      <c r="M52" s="1322"/>
      <c r="N52" s="1322"/>
      <c r="O52" s="519"/>
      <c r="P52" s="381"/>
      <c r="Q52" s="1345"/>
      <c r="R52" s="381"/>
      <c r="S52" s="1323"/>
      <c r="T52" s="1326" t="s">
        <v>233</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240</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84</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3272E29-700F-8F7F-0CB1-0.EA0CD8F6}" mc:Ignorable="x14ac xr xr2 xr3">
  <sheetPr>
    <tabColor theme="6" tint="0.4"/>
  </sheetPr>
  <dimension ref="A1:AQ64"/>
  <sheetViews>
    <sheetView topLeftCell="A1" showGridLines="0" zoomScale="90" workbookViewId="0">
      <selection activeCell="A1" sqref="A1"/>
    </sheetView>
  </sheetViews>
  <sheetFormatPr defaultColWidth="10.57421875" customHeight="1" defaultRowHeight="14.25"/>
  <cols>
    <col min="1" max="3" style="1636" width="10.140625" hidden="1" customWidth="1"/>
    <col min="4" max="4" style="1636" width="11.8515625" hidden="1" customWidth="1"/>
    <col min="5" max="11" style="1636" width="10.140625" hidden="1" customWidth="1"/>
    <col min="12" max="12" style="2126" width="10.140625" hidden="1" customWidth="1"/>
    <col min="13" max="15" style="2398" width="10.140625" hidden="1" customWidth="1"/>
    <col min="16" max="16" style="1777" width="3.00390625" customWidth="1"/>
    <col min="17" max="17" style="1372" width="3.00390625" customWidth="1"/>
    <col min="18" max="18" style="345" width="3.00390625" customWidth="1"/>
    <col min="19" max="19" style="2408" width="12.00390625" customWidth="1"/>
    <col min="20" max="20" style="1636" width="31.00390625" customWidth="1"/>
    <col min="21" max="21" style="1636" width="0.140625" customWidth="1"/>
    <col min="22" max="23" style="1636" width="21.7109375" hidden="1" customWidth="1"/>
    <col min="24" max="24" style="1636" width="11.7109375" hidden="1" customWidth="1"/>
    <col min="25" max="25" style="1636" width="3.7109375" hidden="1" customWidth="1"/>
    <col min="26" max="26" style="1636" width="11.7109375" hidden="1" customWidth="1"/>
    <col min="27" max="27" style="1636" width="8.57421875" hidden="1" customWidth="1"/>
    <col min="28" max="28" style="1636" width="27.00390625" customWidth="1"/>
    <col min="29" max="29" style="1636" width="24.57421875" customWidth="1"/>
    <col min="30" max="31" style="1636" width="21.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0.75" hidden="1">
      <c r="AQ1" s="1632" t="s">
        <v>14</v>
      </c>
    </row>
    <row customHeight="1" ht="21" hidden="1">
      <c r="A2" s="1268"/>
      <c r="B2" s="1268"/>
      <c r="C2" s="1268"/>
      <c r="D2" s="1268"/>
      <c r="E2" s="2290">
        <v>1</v>
      </c>
      <c r="F2" s="1268"/>
      <c r="G2" s="1268"/>
      <c r="H2" s="1268"/>
      <c r="I2" s="1268"/>
      <c r="J2" s="1268"/>
      <c r="K2" s="1268"/>
      <c r="L2" s="1311"/>
      <c r="M2" s="1611"/>
      <c r="N2" s="1611"/>
      <c r="O2" s="1611"/>
      <c r="P2" s="1410"/>
      <c r="Q2" s="874"/>
      <c r="R2" s="356"/>
      <c r="S2" s="1959">
        <f>INDEX(PT_DIFFERENTIATION_NUM_NTAR,MATCH(A2,PT_DIFFERENTIATION_NTAR_ID,0))</f>
      </c>
      <c r="T2" s="1526" t="s">
        <v>126</v>
      </c>
      <c r="U2" s="301"/>
      <c r="V2" s="2244"/>
      <c r="W2" s="2244"/>
      <c r="X2" s="2244"/>
      <c r="Y2" s="2244"/>
      <c r="Z2" s="2244"/>
      <c r="AA2" s="2245"/>
      <c r="AB2" s="1953"/>
      <c r="AC2" s="2244">
        <f>INDEX(PT_DIFFERENTIATION_NTAR,MATCH(A2,PT_DIFFERENTIATION_NTAR_ID,0))</f>
      </c>
      <c r="AD2" s="2244"/>
      <c r="AE2" s="2244"/>
      <c r="AF2" s="2244"/>
      <c r="AG2" s="2244"/>
      <c r="AH2" s="2244"/>
      <c r="AI2" s="2244"/>
      <c r="AJ2" s="2245"/>
      <c r="AK2" s="1259" t="s">
        <v>408</v>
      </c>
      <c r="AM2" s="1625"/>
      <c r="AN2" s="1625" t="str">
        <f>IF(T2="","",T2)</f>
        <v>Наименование тарифа</v>
      </c>
      <c r="AO2" s="1625"/>
      <c r="AP2" s="1625"/>
      <c r="AQ2" s="1632">
        <v>0</v>
      </c>
    </row>
    <row customHeight="1" ht="21" hidden="1">
      <c r="A3" s="1268"/>
      <c r="B3" s="1268"/>
      <c r="C3" s="1268"/>
      <c r="D3" s="1268"/>
      <c r="E3" s="2291"/>
      <c r="F3" s="2290">
        <v>1</v>
      </c>
      <c r="G3" s="1268"/>
      <c r="H3" s="1268"/>
      <c r="I3" s="1268"/>
      <c r="J3" s="1268"/>
      <c r="K3" s="1268"/>
      <c r="L3" s="1311"/>
      <c r="M3" s="1611"/>
      <c r="N3" s="1611"/>
      <c r="O3" s="1611"/>
      <c r="P3" s="1970"/>
      <c r="Q3" s="1412"/>
      <c r="R3" s="354"/>
      <c r="S3" s="1959">
        <f>INDEX(PT_DIFFERENTIATION_NUM_TER,MATCH(B3,PT_DIFFERENTIATION_TER_ID,0))</f>
      </c>
      <c r="T3" s="1523" t="s">
        <v>409</v>
      </c>
      <c r="U3" s="301"/>
      <c r="V3" s="2244"/>
      <c r="W3" s="2244"/>
      <c r="X3" s="2244"/>
      <c r="Y3" s="2244"/>
      <c r="Z3" s="2244"/>
      <c r="AA3" s="2245"/>
      <c r="AB3" s="1953"/>
      <c r="AC3" s="2244">
        <f>INDEX(PT_DIFFERENTIATION_TER,MATCH(B3,PT_DIFFERENTIATION_TER_ID,0))</f>
      </c>
      <c r="AD3" s="2244"/>
      <c r="AE3" s="2244"/>
      <c r="AF3" s="2244"/>
      <c r="AG3" s="2244"/>
      <c r="AH3" s="2244"/>
      <c r="AI3" s="2244"/>
      <c r="AJ3" s="2245"/>
      <c r="AK3" s="1259" t="s">
        <v>410</v>
      </c>
      <c r="AM3" s="1625"/>
      <c r="AN3" s="1625" t="str">
        <f>IF(T3="","",T3)</f>
        <v>Территория действия тарифа</v>
      </c>
      <c r="AO3" s="1625"/>
      <c r="AP3" s="1625"/>
      <c r="AQ3" s="1632">
        <v>0</v>
      </c>
    </row>
    <row customHeight="1" ht="22.5" hidden="1">
      <c r="A4" s="1268"/>
      <c r="B4" s="1268"/>
      <c r="C4" s="1268"/>
      <c r="D4" s="1268"/>
      <c r="E4" s="2291"/>
      <c r="F4" s="2291"/>
      <c r="G4" s="2290">
        <v>1</v>
      </c>
      <c r="H4" s="1268"/>
      <c r="I4" s="1268"/>
      <c r="J4" s="1268"/>
      <c r="K4" s="1268"/>
      <c r="L4" s="1311"/>
      <c r="M4" s="1611"/>
      <c r="N4" s="1611"/>
      <c r="O4" s="1611"/>
      <c r="P4" s="1413"/>
      <c r="Q4" s="1412"/>
      <c r="R4" s="354"/>
      <c r="S4" s="1959">
        <f>INDEX(PT_DIFFERENTIATION_NUM_CS,MATCH(C4,PT_DIFFERENTIATION_CS_ID,0))</f>
      </c>
      <c r="T4" s="310" t="s">
        <v>411</v>
      </c>
      <c r="U4" s="301"/>
      <c r="V4" s="2244"/>
      <c r="W4" s="2244"/>
      <c r="X4" s="2244"/>
      <c r="Y4" s="2244"/>
      <c r="Z4" s="2244"/>
      <c r="AA4" s="2245"/>
      <c r="AB4" s="1953"/>
      <c r="AC4" s="2244">
        <f>INDEX(PT_DIFFERENTIATION_CS,MATCH(C4,PT_DIFFERENTIATION_CS_ID,0))</f>
      </c>
      <c r="AD4" s="2244"/>
      <c r="AE4" s="2244"/>
      <c r="AF4" s="2244"/>
      <c r="AG4" s="2244"/>
      <c r="AH4" s="2244"/>
      <c r="AI4" s="2244"/>
      <c r="AJ4" s="2245"/>
      <c r="AK4" s="1259" t="s">
        <v>412</v>
      </c>
      <c r="AM4" s="1625"/>
      <c r="AN4" s="1625" t="str">
        <f>IF(T4="","",T4)</f>
        <v>Наименование системы теплоснабжения </v>
      </c>
      <c r="AO4" s="1625"/>
      <c r="AP4" s="1625"/>
      <c r="AQ4" s="1632">
        <v>0</v>
      </c>
    </row>
    <row customHeight="1" ht="21" hidden="1">
      <c r="A5" s="1268"/>
      <c r="B5" s="1268"/>
      <c r="C5" s="1268"/>
      <c r="D5" s="1268"/>
      <c r="E5" s="2291"/>
      <c r="F5" s="2291"/>
      <c r="G5" s="2291"/>
      <c r="H5" s="2290">
        <v>1</v>
      </c>
      <c r="I5" s="1268"/>
      <c r="J5" s="1268"/>
      <c r="K5" s="1268"/>
      <c r="L5" s="1311"/>
      <c r="M5" s="1611"/>
      <c r="N5" s="1611"/>
      <c r="O5" s="1611"/>
      <c r="P5" s="1413"/>
      <c r="Q5" s="1412"/>
      <c r="R5" s="354"/>
      <c r="S5" s="1959">
        <f>INDEX(PT_DIFFERENTIATION_NUM_IST_TE,MATCH(D5,PT_DIFFERENTIATION_IST_TE_ID,0))</f>
      </c>
      <c r="T5" s="311" t="s">
        <v>413</v>
      </c>
      <c r="U5" s="301"/>
      <c r="V5" s="2244"/>
      <c r="W5" s="2244"/>
      <c r="X5" s="2244"/>
      <c r="Y5" s="2244"/>
      <c r="Z5" s="2244"/>
      <c r="AA5" s="2245"/>
      <c r="AB5" s="1953"/>
      <c r="AC5" s="2244">
        <f>INDEX(PT_DIFFERENTIATION_IST_TE,MATCH(D5,PT_DIFFERENTIATION_IST_TE_ID,0))</f>
      </c>
      <c r="AD5" s="2244"/>
      <c r="AE5" s="2244"/>
      <c r="AF5" s="2244"/>
      <c r="AG5" s="2244"/>
      <c r="AH5" s="2244"/>
      <c r="AI5" s="2244"/>
      <c r="AJ5" s="2245"/>
      <c r="AK5" s="1259" t="s">
        <v>414</v>
      </c>
      <c r="AM5" s="1625"/>
      <c r="AN5" s="1625" t="str">
        <f>IF(T5="","",T5)</f>
        <v>Источник тепловой энергии  </v>
      </c>
      <c r="AO5" s="1625"/>
      <c r="AP5" s="1625"/>
      <c r="AQ5" s="1632">
        <v>0</v>
      </c>
    </row>
    <row s="1643" customFormat="1" customHeight="1" ht="0.75" hidden="1">
      <c r="A6" s="1376"/>
      <c r="B6" s="1376"/>
      <c r="C6" s="1376"/>
      <c r="D6" s="1376"/>
      <c r="E6" s="2291"/>
      <c r="F6" s="2291"/>
      <c r="G6" s="2291"/>
      <c r="H6" s="2291"/>
      <c r="I6" s="2128">
        <f>S5&amp;".1"</f>
      </c>
      <c r="J6" s="1376"/>
      <c r="K6" s="1376"/>
      <c r="L6" s="1382" t="s">
        <v>415</v>
      </c>
      <c r="M6" s="1247"/>
      <c r="N6" s="1247"/>
      <c r="O6" s="1247"/>
      <c r="P6" s="2258">
        <v>1</v>
      </c>
      <c r="Q6" s="1955"/>
      <c r="R6" s="357"/>
      <c r="S6" s="1043"/>
      <c r="T6" s="1384"/>
      <c r="U6" s="1385"/>
      <c r="V6" s="2298"/>
      <c r="W6" s="2298"/>
      <c r="X6" s="2298"/>
      <c r="Y6" s="2298"/>
      <c r="Z6" s="2298"/>
      <c r="AA6" s="2299"/>
      <c r="AB6" s="1961"/>
      <c r="AC6" s="2298"/>
      <c r="AD6" s="2298"/>
      <c r="AE6" s="2298"/>
      <c r="AF6" s="2298"/>
      <c r="AG6" s="2298"/>
      <c r="AH6" s="2298"/>
      <c r="AI6" s="2298"/>
      <c r="AJ6" s="2299"/>
      <c r="AK6" s="1386"/>
      <c r="AM6" s="1625"/>
      <c r="AN6" s="1625" t="str">
        <f>IF(T6="","",T6)</f>
        <v/>
      </c>
      <c r="AO6" s="1625"/>
      <c r="AP6" s="1625"/>
      <c r="AQ6" s="1637">
        <v>0</v>
      </c>
    </row>
    <row s="1643" customFormat="1" customHeight="1" ht="0.75" hidden="1">
      <c r="A7" s="1376"/>
      <c r="B7" s="1376"/>
      <c r="C7" s="1376"/>
      <c r="D7" s="1376"/>
      <c r="E7" s="2291"/>
      <c r="F7" s="2291"/>
      <c r="G7" s="2291"/>
      <c r="H7" s="2291"/>
      <c r="I7" s="2102"/>
      <c r="J7" s="2128">
        <f>S5&amp;".1"</f>
      </c>
      <c r="K7" s="1376"/>
      <c r="L7" s="1382"/>
      <c r="M7" s="1247"/>
      <c r="N7" s="1247"/>
      <c r="O7" s="1247"/>
      <c r="P7" s="2258"/>
      <c r="Q7" s="2258">
        <v>1</v>
      </c>
      <c r="R7" s="358"/>
      <c r="S7" s="1043"/>
      <c r="T7" s="1400"/>
      <c r="U7" s="1385"/>
      <c r="V7" s="2298"/>
      <c r="W7" s="2298"/>
      <c r="X7" s="2298"/>
      <c r="Y7" s="2298"/>
      <c r="Z7" s="2298"/>
      <c r="AA7" s="2299"/>
      <c r="AB7" s="1961"/>
      <c r="AC7" s="2298"/>
      <c r="AD7" s="2298"/>
      <c r="AE7" s="2298"/>
      <c r="AF7" s="2298"/>
      <c r="AG7" s="2298"/>
      <c r="AH7" s="2298"/>
      <c r="AI7" s="2298"/>
      <c r="AJ7" s="2299"/>
      <c r="AK7" s="1386"/>
      <c r="AM7" s="1625"/>
      <c r="AN7" s="1625" t="str">
        <f>IF(T7="","",T7)</f>
        <v/>
      </c>
      <c r="AO7" s="1625"/>
      <c r="AP7" s="1625"/>
      <c r="AQ7" s="1637">
        <v>0</v>
      </c>
    </row>
    <row customHeight="1" ht="21" hidden="1">
      <c r="A8" s="1268"/>
      <c r="B8" s="1268"/>
      <c r="C8" s="1268"/>
      <c r="D8" s="1268"/>
      <c r="E8" s="2291"/>
      <c r="F8" s="2291"/>
      <c r="G8" s="2291"/>
      <c r="H8" s="2291"/>
      <c r="I8" s="2102"/>
      <c r="J8" s="2102"/>
      <c r="K8" s="1992">
        <f>S5&amp;".1"</f>
      </c>
      <c r="L8" s="1311"/>
      <c r="P8" s="2258"/>
      <c r="Q8" s="2258"/>
      <c r="R8" s="1996">
        <v>1</v>
      </c>
      <c r="S8" s="1994">
        <f>$K8</f>
      </c>
      <c r="T8" s="1995"/>
      <c r="U8" s="301"/>
      <c r="V8" s="752"/>
      <c r="W8" s="1258"/>
      <c r="X8" s="1993"/>
      <c r="Y8" s="1991" t="s">
        <v>63</v>
      </c>
      <c r="Z8" s="1993"/>
      <c r="AA8" s="1991" t="s">
        <v>63</v>
      </c>
      <c r="AB8" s="1997"/>
      <c r="AC8" s="1998" t="s">
        <v>28</v>
      </c>
      <c r="AD8" s="752"/>
      <c r="AE8" s="1258"/>
      <c r="AF8" s="1956"/>
      <c r="AG8" s="1943" t="s">
        <v>63</v>
      </c>
      <c r="AH8" s="1956"/>
      <c r="AI8" s="1943" t="s">
        <v>63</v>
      </c>
      <c r="AJ8" s="1349"/>
      <c r="AK8" s="2254" t="s">
        <v>473</v>
      </c>
      <c r="AL8" s="1637">
        <f>STRCHECKDATE(#REF!)</f>
      </c>
      <c r="AM8" s="1625"/>
      <c r="AN8" s="1625" t="str">
        <f>IF(T8="","",T8)</f>
        <v/>
      </c>
      <c r="AO8" s="1625"/>
      <c r="AP8" s="1625"/>
      <c r="AQ8" s="1632">
        <v>0</v>
      </c>
    </row>
    <row customHeight="1" ht="11.25" hidden="1">
      <c r="A9" s="1268"/>
      <c r="B9" s="1268"/>
      <c r="C9" s="1268"/>
      <c r="D9" s="1268"/>
      <c r="E9" s="2291"/>
      <c r="F9" s="2291"/>
      <c r="G9" s="2291"/>
      <c r="H9" s="2291"/>
      <c r="I9" s="2102"/>
      <c r="J9" s="2128"/>
      <c r="K9" s="1268"/>
      <c r="L9" s="1311"/>
      <c r="P9" s="2258"/>
      <c r="Q9" s="2258"/>
      <c r="R9" s="357"/>
      <c r="S9" s="1279"/>
      <c r="T9" s="288" t="s">
        <v>477</v>
      </c>
      <c r="U9" s="601"/>
      <c r="V9" s="601"/>
      <c r="W9" s="601"/>
      <c r="X9" s="601"/>
      <c r="Y9" s="601"/>
      <c r="Z9" s="601"/>
      <c r="AA9" s="601"/>
      <c r="AB9" s="601"/>
      <c r="AC9" s="601"/>
      <c r="AD9" s="601"/>
      <c r="AE9" s="601"/>
      <c r="AF9" s="601"/>
      <c r="AG9" s="601"/>
      <c r="AH9" s="601"/>
      <c r="AI9" s="601"/>
      <c r="AJ9" s="325"/>
      <c r="AK9" s="2256"/>
      <c r="AM9" s="1625"/>
      <c r="AN9" s="1625" t="str">
        <f>IF(T9="","",T9)</f>
        <v>Добавить строку</v>
      </c>
      <c r="AO9" s="1625"/>
      <c r="AP9" s="1625"/>
      <c r="AQ9" s="1632">
        <v>0</v>
      </c>
    </row>
    <row s="1643" customFormat="1" customHeight="1" ht="0.75" hidden="1">
      <c r="A10" s="1376"/>
      <c r="B10" s="1376"/>
      <c r="C10" s="1376"/>
      <c r="D10" s="1376"/>
      <c r="E10" s="2291"/>
      <c r="F10" s="2291"/>
      <c r="G10" s="2291"/>
      <c r="H10" s="2291"/>
      <c r="I10" s="2128"/>
      <c r="J10" s="1376"/>
      <c r="K10" s="1376"/>
      <c r="L10" s="1382"/>
      <c r="M10" s="1247"/>
      <c r="N10" s="1247"/>
      <c r="O10" s="1247"/>
      <c r="P10" s="2258"/>
      <c r="Q10" s="1955"/>
      <c r="R10" s="357"/>
      <c r="S10" s="1387"/>
      <c r="T10" s="1388"/>
      <c r="U10" s="1389"/>
      <c r="V10" s="1389"/>
      <c r="W10" s="1389"/>
      <c r="X10" s="1389"/>
      <c r="Y10" s="1389"/>
      <c r="Z10" s="1389"/>
      <c r="AA10" s="1389"/>
      <c r="AB10" s="1389"/>
      <c r="AC10" s="1389"/>
      <c r="AD10" s="1389"/>
      <c r="AE10" s="1389"/>
      <c r="AF10" s="1389"/>
      <c r="AG10" s="1389"/>
      <c r="AH10" s="1389"/>
      <c r="AI10" s="1389"/>
      <c r="AJ10" s="1389"/>
      <c r="AK10" s="1390"/>
      <c r="AM10" s="1625"/>
      <c r="AN10" s="1625" t="str">
        <f>IF(T10="","",T10)</f>
        <v/>
      </c>
      <c r="AO10" s="1625"/>
      <c r="AP10" s="1625"/>
      <c r="AQ10" s="1637">
        <v>0</v>
      </c>
    </row>
    <row s="1643" customFormat="1" customHeight="1" ht="0.75" hidden="1">
      <c r="A11" s="1376"/>
      <c r="B11" s="1376"/>
      <c r="C11" s="1376"/>
      <c r="D11" s="1376"/>
      <c r="E11" s="2291"/>
      <c r="F11" s="2291"/>
      <c r="G11" s="2291"/>
      <c r="H11" s="2290"/>
      <c r="I11" s="1376"/>
      <c r="J11" s="1376"/>
      <c r="K11" s="1376"/>
      <c r="L11" s="1382"/>
      <c r="M11" s="1379"/>
      <c r="N11" s="1379"/>
      <c r="O11" s="352"/>
      <c r="P11" s="381"/>
      <c r="Q11" s="1345"/>
      <c r="R11" s="1402"/>
      <c r="S11" s="1387"/>
      <c r="T11" s="1388"/>
      <c r="U11" s="1389"/>
      <c r="V11" s="1389"/>
      <c r="W11" s="1389"/>
      <c r="X11" s="1389"/>
      <c r="Y11" s="1389"/>
      <c r="Z11" s="1389"/>
      <c r="AA11" s="1389"/>
      <c r="AB11" s="1389"/>
      <c r="AC11" s="1389"/>
      <c r="AD11" s="1389"/>
      <c r="AE11" s="1389"/>
      <c r="AF11" s="1389"/>
      <c r="AG11" s="1389"/>
      <c r="AH11" s="1389"/>
      <c r="AI11" s="1389"/>
      <c r="AJ11" s="1389"/>
      <c r="AK11" s="1390"/>
      <c r="AM11" s="1625"/>
      <c r="AN11" s="1625" t="str">
        <f>IF(T11="","",T11)</f>
        <v/>
      </c>
      <c r="AO11" s="1625"/>
      <c r="AP11" s="1625"/>
      <c r="AQ11" s="1637">
        <v>0</v>
      </c>
    </row>
    <row s="1643" customFormat="1" customHeight="1" ht="0.75" hidden="1">
      <c r="A12" s="1376"/>
      <c r="B12" s="1376"/>
      <c r="C12" s="1376"/>
      <c r="D12" s="1375"/>
      <c r="E12" s="2291"/>
      <c r="F12" s="2291"/>
      <c r="G12" s="2290"/>
      <c r="H12" s="1375"/>
      <c r="I12" s="1375"/>
      <c r="J12" s="1375"/>
      <c r="K12" s="1375"/>
      <c r="L12" s="1378"/>
      <c r="M12" s="1379"/>
      <c r="N12" s="1379"/>
      <c r="O12" s="352"/>
      <c r="P12" s="1317"/>
      <c r="Q12" s="1318"/>
      <c r="R12" s="1317"/>
      <c r="S12" s="1323"/>
      <c r="T12" s="1326" t="s">
        <v>426</v>
      </c>
      <c r="U12" s="1325"/>
      <c r="V12" s="1325"/>
      <c r="W12" s="1325"/>
      <c r="X12" s="1325"/>
      <c r="Y12" s="1325"/>
      <c r="Z12" s="1325"/>
      <c r="AA12" s="1325"/>
      <c r="AB12" s="1325"/>
      <c r="AC12" s="1325"/>
      <c r="AD12" s="1325"/>
      <c r="AE12" s="1325"/>
      <c r="AF12" s="1325"/>
      <c r="AG12" s="1325"/>
      <c r="AH12" s="1325"/>
      <c r="AI12" s="1325"/>
      <c r="AJ12" s="1325"/>
      <c r="AK12" s="1325"/>
      <c r="AM12" s="1252"/>
      <c r="AN12" s="1252" t="str">
        <f>IF(T12="","",T12)</f>
        <v>Добавить источник для дифференциации</v>
      </c>
      <c r="AO12" s="1252"/>
      <c r="AP12" s="1252"/>
      <c r="AQ12" s="1643">
        <v>0</v>
      </c>
    </row>
    <row s="1643" customFormat="1" customHeight="1" ht="0.75" hidden="1">
      <c r="A13" s="1376"/>
      <c r="B13" s="1376"/>
      <c r="C13" s="1375"/>
      <c r="D13" s="1375"/>
      <c r="E13" s="2291"/>
      <c r="F13" s="2290"/>
      <c r="G13" s="1375"/>
      <c r="H13" s="1375"/>
      <c r="I13" s="1375"/>
      <c r="J13" s="1375"/>
      <c r="K13" s="1375"/>
      <c r="L13" s="1378"/>
      <c r="M13" s="1380"/>
      <c r="N13" s="1380"/>
      <c r="O13" s="352"/>
      <c r="P13" s="1317"/>
      <c r="Q13" s="1318"/>
      <c r="R13" s="1317"/>
      <c r="S13" s="1323"/>
      <c r="T13" s="1326" t="s">
        <v>232</v>
      </c>
      <c r="U13" s="1325"/>
      <c r="V13" s="1325"/>
      <c r="W13" s="1325"/>
      <c r="X13" s="1325"/>
      <c r="Y13" s="1325"/>
      <c r="Z13" s="1325"/>
      <c r="AA13" s="1325"/>
      <c r="AB13" s="1325"/>
      <c r="AC13" s="1325"/>
      <c r="AD13" s="1325"/>
      <c r="AE13" s="1325"/>
      <c r="AF13" s="1325"/>
      <c r="AG13" s="1325"/>
      <c r="AH13" s="1325"/>
      <c r="AI13" s="1325"/>
      <c r="AJ13" s="1325"/>
      <c r="AK13" s="1325"/>
      <c r="AM13" s="1252"/>
      <c r="AN13" s="1252" t="str">
        <f>IF(T13="","",T13)</f>
        <v>Добавить централизованную систему для дифференциации</v>
      </c>
      <c r="AO13" s="1252"/>
      <c r="AP13" s="1252"/>
      <c r="AQ13" s="1643">
        <v>0</v>
      </c>
    </row>
    <row s="1643" customFormat="1" customHeight="1" ht="0.75" hidden="1">
      <c r="A14" s="1376"/>
      <c r="B14" s="1376"/>
      <c r="C14" s="1376"/>
      <c r="D14" s="1376"/>
      <c r="E14" s="2290"/>
      <c r="F14" s="1376"/>
      <c r="G14" s="1376"/>
      <c r="H14" s="1376"/>
      <c r="I14" s="1376"/>
      <c r="J14" s="1376"/>
      <c r="K14" s="1376"/>
      <c r="L14" s="1382"/>
      <c r="M14" s="1380"/>
      <c r="N14" s="1380"/>
      <c r="O14" s="352"/>
      <c r="P14" s="381"/>
      <c r="Q14" s="1345"/>
      <c r="R14" s="381"/>
      <c r="S14" s="1323"/>
      <c r="T14" s="1326" t="s">
        <v>233</v>
      </c>
      <c r="U14" s="1325"/>
      <c r="V14" s="1325"/>
      <c r="W14" s="1325"/>
      <c r="X14" s="1325"/>
      <c r="Y14" s="1325"/>
      <c r="Z14" s="1325"/>
      <c r="AA14" s="1325"/>
      <c r="AB14" s="1325"/>
      <c r="AC14" s="1325"/>
      <c r="AD14" s="1325"/>
      <c r="AE14" s="1325"/>
      <c r="AF14" s="1325"/>
      <c r="AG14" s="1325"/>
      <c r="AH14" s="1325"/>
      <c r="AI14" s="1325"/>
      <c r="AJ14" s="1325"/>
      <c r="AK14" s="1325"/>
      <c r="AM14" s="1625"/>
      <c r="AN14" s="1625" t="str">
        <f>IF(T14="","",T14)</f>
        <v>Добавить территорию для дифференциации</v>
      </c>
      <c r="AO14" s="1625"/>
      <c r="AP14" s="1625"/>
      <c r="AQ14" s="1637">
        <v>0</v>
      </c>
    </row>
    <row customHeight="1" ht="14.25" hidden="1">
      <c r="AQ15" s="1632">
        <v>0</v>
      </c>
    </row>
    <row customHeight="1" ht="14.25" hidden="1">
      <c r="AC16" s="1503"/>
      <c r="AD16" s="1404"/>
      <c r="AE16" s="1405"/>
      <c r="AF16" s="1737"/>
      <c r="AG16" s="1967" t="s">
        <v>63</v>
      </c>
      <c r="AH16" s="1737"/>
      <c r="AI16" s="1967" t="s">
        <v>63</v>
      </c>
      <c r="AQ16" s="1632">
        <v>0</v>
      </c>
    </row>
    <row customHeight="1" ht="14.25" hidden="1">
      <c r="AL17" s="1642"/>
      <c r="AM17" s="1642"/>
      <c r="AN17" s="1642"/>
      <c r="AO17" s="1642"/>
      <c r="AP17" s="1642"/>
      <c r="AQ17" s="1632">
        <v>0</v>
      </c>
    </row>
    <row customHeight="1" ht="14.25" hidden="1">
      <c r="O18" s="1346" t="s">
        <v>427</v>
      </c>
      <c r="X18" s="1346"/>
      <c r="Z18" s="1346"/>
      <c r="AF18" s="1346"/>
      <c r="AH18" s="1346"/>
      <c r="AL18" s="1642"/>
      <c r="AM18" s="1642"/>
      <c r="AN18" s="1642"/>
      <c r="AO18" s="1642"/>
      <c r="AP18" s="1642"/>
      <c r="AQ18" s="1632">
        <v>0</v>
      </c>
    </row>
    <row customHeight="1" ht="14.25" hidden="1">
      <c r="AL19" s="1642"/>
      <c r="AM19" s="1642"/>
      <c r="AN19" s="1642"/>
      <c r="AO19" s="1642"/>
      <c r="AP19" s="1642"/>
      <c r="AQ19" s="1632">
        <v>0</v>
      </c>
    </row>
    <row s="1510" customFormat="1" customHeight="1" ht="14.25" hidden="1">
      <c r="A20" s="1972"/>
      <c r="B20" s="1972"/>
      <c r="C20" s="1972"/>
      <c r="D20" s="1972"/>
      <c r="E20" s="1972"/>
      <c r="F20" s="1972"/>
      <c r="G20" s="1972"/>
      <c r="H20" s="1972"/>
      <c r="I20" s="1972"/>
      <c r="J20" s="1972"/>
      <c r="K20" s="1972"/>
      <c r="L20" s="1972"/>
      <c r="M20" s="1973"/>
      <c r="N20" s="1973"/>
      <c r="O20" s="1974" t="s">
        <v>428</v>
      </c>
      <c r="P20" s="1509"/>
      <c r="Q20" s="1511"/>
      <c r="R20" s="1511"/>
      <c r="Y20" s="1508" t="s">
        <v>430</v>
      </c>
      <c r="AA20" s="1508" t="s">
        <v>431</v>
      </c>
      <c r="AC20" s="1508" t="s">
        <v>479</v>
      </c>
      <c r="AG20" s="1508" t="s">
        <v>430</v>
      </c>
      <c r="AI20" s="1508" t="s">
        <v>431</v>
      </c>
      <c r="AL20" s="1512"/>
      <c r="AM20" s="1512"/>
      <c r="AN20" s="1512"/>
      <c r="AO20" s="1512"/>
      <c r="AP20" s="1512"/>
      <c r="AQ20" s="1508">
        <v>0</v>
      </c>
    </row>
    <row customHeight="1" ht="14.25" hidden="1">
      <c r="O21" s="1311"/>
      <c r="AL21" s="1642"/>
      <c r="AM21" s="1642"/>
      <c r="AN21" s="1642"/>
      <c r="AO21" s="1642"/>
      <c r="AP21" s="1642"/>
      <c r="AQ21" s="1632">
        <v>0</v>
      </c>
    </row>
    <row customHeight="1" ht="14.25" hidden="1">
      <c r="O22" s="1311"/>
      <c r="AL22" s="1642"/>
      <c r="AM22" s="1642"/>
      <c r="AN22" s="1642"/>
      <c r="AO22" s="1642"/>
      <c r="AP22" s="1642"/>
      <c r="AQ22" s="1632">
        <v>0</v>
      </c>
    </row>
    <row customHeight="1" ht="14.699999999999998">
      <c r="Q23" s="292"/>
      <c r="R23" s="377"/>
      <c r="S23" s="1276"/>
      <c r="T23" s="458"/>
      <c r="U23" s="458"/>
      <c r="V23" s="1636"/>
      <c r="W23" s="1636"/>
      <c r="X23" s="1636"/>
      <c r="Y23" s="1636"/>
      <c r="Z23" s="1636"/>
      <c r="AA23" s="1636"/>
      <c r="AB23" s="1636"/>
      <c r="AC23" s="1636"/>
      <c r="AD23" s="1636"/>
      <c r="AE23" s="1636"/>
      <c r="AF23" s="1636"/>
      <c r="AG23" s="1636"/>
      <c r="AH23" s="1636"/>
      <c r="AI23" s="1636"/>
      <c r="AQ23" s="1632">
        <v>14</v>
      </c>
    </row>
    <row customHeight="1" ht="39.75">
      <c r="Q24" s="292"/>
      <c r="R24" s="377"/>
      <c r="S24" s="2249" t="str">
        <f>IF(TEMPLATE_GROUP="P",PT_P_FORM_HEAT_7_NAME_FORM,PT_R_FORM_HEAT_24_NAME_FORM)</f>
        <v>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49"/>
      <c r="U24" s="2249"/>
      <c r="V24" s="2249"/>
      <c r="W24" s="2249"/>
      <c r="X24" s="2249"/>
      <c r="Y24" s="2249"/>
      <c r="Z24" s="2249"/>
      <c r="AA24" s="2249"/>
      <c r="AB24" s="2249"/>
      <c r="AC24" s="2249"/>
      <c r="AD24" s="2249"/>
      <c r="AE24" s="2249"/>
      <c r="AF24" s="2249"/>
      <c r="AG24" s="2249"/>
      <c r="AH24" s="2249"/>
      <c r="AI24" s="1244"/>
      <c r="AQ24" s="1632">
        <v>38</v>
      </c>
    </row>
    <row customHeight="1" ht="14.699999999999998">
      <c r="Q25" s="292"/>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Q25" s="1632">
        <v>14</v>
      </c>
    </row>
    <row customHeight="1" ht="14.25" hidden="1">
      <c r="Q26" s="292"/>
      <c r="R26" s="377"/>
      <c r="S26" s="1276"/>
      <c r="T26" s="458"/>
      <c r="U26" s="458"/>
      <c r="V26" s="323"/>
      <c r="W26" s="323"/>
      <c r="X26" s="323"/>
      <c r="Y26" s="323"/>
      <c r="Z26" s="323"/>
      <c r="AA26" s="323"/>
      <c r="AB26" s="323"/>
      <c r="AC26" s="323"/>
      <c r="AD26" s="323"/>
      <c r="AE26" s="323"/>
      <c r="AF26" s="323"/>
      <c r="AG26" s="323"/>
      <c r="AH26" s="323"/>
      <c r="AI26" s="323"/>
      <c r="AJ26" s="1636"/>
      <c r="AQ26" s="1632">
        <v>0</v>
      </c>
    </row>
    <row s="1854" customFormat="1" customHeight="1" ht="25.5" hidden="1">
      <c r="A27" s="1249"/>
      <c r="B27" s="1249"/>
      <c r="C27" s="1249"/>
      <c r="D27" s="1249"/>
      <c r="E27" s="1249"/>
      <c r="F27" s="1249"/>
      <c r="G27" s="1249"/>
      <c r="H27" s="1249"/>
      <c r="I27" s="1249"/>
      <c r="J27" s="1249"/>
      <c r="K27" s="1249"/>
      <c r="L27" s="1381"/>
      <c r="M27" s="1249"/>
      <c r="N27" s="1249"/>
      <c r="O27" s="1249"/>
      <c r="P27" s="1369"/>
      <c r="Q27" s="1369"/>
      <c r="S27" s="2251" t="s">
        <v>42</v>
      </c>
      <c r="T27" s="2251"/>
      <c r="U27" s="1373"/>
      <c r="V27" s="2252" t="str">
        <f>IF(TITLE_NAME_OR_PR_CHANGE="",IF(TITLE_NAME_OR_PR="","",TITLE_NAME_OR_PR),TITLE_NAME_OR_PR_CHANGE)</f>
        <v>Управление по государственному регулированию цен (тарифов) Ненецкого автономного округа</v>
      </c>
      <c r="W27" s="2252"/>
      <c r="X27" s="2252"/>
      <c r="Y27" s="2252"/>
      <c r="Z27" s="2252"/>
      <c r="AA27" s="1636"/>
      <c r="AB27" s="1636"/>
      <c r="AC27" s="2252"/>
      <c r="AD27" s="2252"/>
      <c r="AE27" s="2252"/>
      <c r="AF27" s="2252"/>
      <c r="AG27" s="2252"/>
      <c r="AH27" s="2252"/>
      <c r="AI27" s="1636"/>
      <c r="AJ27" s="1636"/>
      <c r="AK27" s="281"/>
      <c r="AL27" s="369"/>
      <c r="AM27" s="369"/>
      <c r="AN27" s="369"/>
      <c r="AO27" s="369"/>
      <c r="AP27" s="369"/>
      <c r="AQ27" s="419">
        <v>0</v>
      </c>
    </row>
    <row s="1854" customFormat="1" customHeight="1" ht="18.75" hidden="1">
      <c r="A28" s="1249"/>
      <c r="B28" s="1249"/>
      <c r="C28" s="1249"/>
      <c r="D28" s="1249"/>
      <c r="E28" s="1249"/>
      <c r="F28" s="1249"/>
      <c r="G28" s="1249"/>
      <c r="H28" s="1249"/>
      <c r="I28" s="1249"/>
      <c r="J28" s="1249"/>
      <c r="K28" s="1249"/>
      <c r="L28" s="1381"/>
      <c r="M28" s="1249"/>
      <c r="N28" s="1249"/>
      <c r="O28" s="1249"/>
      <c r="P28" s="1369"/>
      <c r="Q28" s="1369"/>
      <c r="S28" s="2251" t="s">
        <v>433</v>
      </c>
      <c r="T28" s="2251"/>
      <c r="U28" s="1373"/>
      <c r="V28" s="2265" t="str">
        <f>IF(TITLE_DATE_PR_CHANGE="",IF(TITLE_DATE_PR="","",TITLE_DATE_PR),TITLE_DATE_PR_CHANGE)</f>
        <v>45642</v>
      </c>
      <c r="W28" s="2265"/>
      <c r="X28" s="2265"/>
      <c r="Y28" s="2265"/>
      <c r="Z28" s="2265"/>
      <c r="AA28" s="1636"/>
      <c r="AB28" s="1636"/>
      <c r="AC28" s="2265"/>
      <c r="AD28" s="2265"/>
      <c r="AE28" s="2265"/>
      <c r="AF28" s="2265"/>
      <c r="AG28" s="2265"/>
      <c r="AH28" s="2265"/>
      <c r="AI28" s="1636"/>
      <c r="AJ28" s="1636"/>
      <c r="AK28" s="281"/>
      <c r="AL28" s="369"/>
      <c r="AM28" s="369"/>
      <c r="AN28" s="369"/>
      <c r="AO28" s="369"/>
      <c r="AP28" s="369"/>
      <c r="AQ28" s="419">
        <v>0</v>
      </c>
    </row>
    <row s="1854" customFormat="1" customHeight="1" ht="18.75" hidden="1">
      <c r="A29" s="1249"/>
      <c r="B29" s="1249"/>
      <c r="C29" s="1249"/>
      <c r="D29" s="1249"/>
      <c r="E29" s="1249"/>
      <c r="F29" s="1249"/>
      <c r="G29" s="1249"/>
      <c r="H29" s="1249"/>
      <c r="I29" s="1249"/>
      <c r="J29" s="1249"/>
      <c r="K29" s="1249"/>
      <c r="L29" s="1381"/>
      <c r="M29" s="1249"/>
      <c r="N29" s="1249"/>
      <c r="O29" s="1249"/>
      <c r="P29" s="1369"/>
      <c r="Q29" s="1369"/>
      <c r="S29" s="2251" t="s">
        <v>434</v>
      </c>
      <c r="T29" s="2251"/>
      <c r="U29" s="1373"/>
      <c r="V29" s="2252" t="str">
        <f>IF(TITLE_NUMBER_PR_CHANGE="",IF(TITLE_NUMBER_PR="","",TITLE_NUMBER_PR),TITLE_NUMBER_PR_CHANGE)</f>
        <v>58</v>
      </c>
      <c r="W29" s="2252"/>
      <c r="X29" s="2252"/>
      <c r="Y29" s="2252"/>
      <c r="Z29" s="2252"/>
      <c r="AA29" s="1636"/>
      <c r="AB29" s="1636"/>
      <c r="AC29" s="2252"/>
      <c r="AD29" s="2252"/>
      <c r="AE29" s="2252"/>
      <c r="AF29" s="2252"/>
      <c r="AG29" s="2252"/>
      <c r="AH29" s="2252"/>
      <c r="AI29" s="1636"/>
      <c r="AJ29" s="1636"/>
      <c r="AK29" s="281"/>
      <c r="AL29" s="369"/>
      <c r="AM29" s="369"/>
      <c r="AN29" s="369"/>
      <c r="AO29" s="369"/>
      <c r="AP29" s="369"/>
      <c r="AQ29" s="419">
        <v>0</v>
      </c>
    </row>
    <row s="1854" customFormat="1" customHeight="1" ht="18.75" hidden="1">
      <c r="A30" s="1249"/>
      <c r="B30" s="1249"/>
      <c r="C30" s="1249"/>
      <c r="D30" s="1249"/>
      <c r="E30" s="1249"/>
      <c r="F30" s="1249"/>
      <c r="G30" s="1249"/>
      <c r="H30" s="1249"/>
      <c r="I30" s="1249"/>
      <c r="J30" s="1249"/>
      <c r="K30" s="1249"/>
      <c r="L30" s="1381"/>
      <c r="M30" s="1249"/>
      <c r="N30" s="1249"/>
      <c r="O30" s="1249"/>
      <c r="P30" s="1369"/>
      <c r="Q30" s="1369"/>
      <c r="S30" s="2251" t="s">
        <v>44</v>
      </c>
      <c r="T30" s="2251"/>
      <c r="U30" s="1373"/>
      <c r="V30" s="2252" t="str">
        <f>IF(TITLE_IST_PUB_CHANGE="",IF(TITLE_IST_PUB="","",TITLE_IST_PUB),TITLE_IST_PUB_CHANGE)</f>
        <v>Официальный интернет портал правовой информации http://pravo.gov.ru </v>
      </c>
      <c r="W30" s="2252"/>
      <c r="X30" s="2252"/>
      <c r="Y30" s="2252"/>
      <c r="Z30" s="2252"/>
      <c r="AA30" s="1636"/>
      <c r="AB30" s="1636"/>
      <c r="AC30" s="2252"/>
      <c r="AD30" s="2252"/>
      <c r="AE30" s="2252"/>
      <c r="AF30" s="2252"/>
      <c r="AG30" s="2252"/>
      <c r="AH30" s="2252"/>
      <c r="AI30" s="1636"/>
      <c r="AJ30" s="1636"/>
      <c r="AK30" s="281"/>
      <c r="AL30" s="369"/>
      <c r="AM30" s="369"/>
      <c r="AN30" s="369"/>
      <c r="AO30" s="369"/>
      <c r="AP30" s="369"/>
      <c r="AQ30" s="419">
        <v>0</v>
      </c>
    </row>
    <row customHeight="1" ht="14.25" hidden="1">
      <c r="Q31" s="292"/>
      <c r="R31" s="377"/>
      <c r="S31" s="1276"/>
      <c r="T31" s="458"/>
      <c r="U31" s="458"/>
      <c r="V31" s="323"/>
      <c r="W31" s="323"/>
      <c r="X31" s="323"/>
      <c r="Y31" s="323"/>
      <c r="Z31" s="323"/>
      <c r="AA31" s="323"/>
      <c r="AB31" s="323"/>
      <c r="AC31" s="323"/>
      <c r="AD31" s="323"/>
      <c r="AE31" s="323"/>
      <c r="AF31" s="323"/>
      <c r="AG31" s="323"/>
      <c r="AH31" s="323"/>
      <c r="AI31" s="323"/>
      <c r="AJ31" s="1636"/>
      <c r="AQ31" s="1632">
        <v>0</v>
      </c>
    </row>
    <row s="1854" customFormat="1" customHeight="1" ht="18.75" hidden="1">
      <c r="A32" s="1249"/>
      <c r="B32" s="1249"/>
      <c r="C32" s="1249"/>
      <c r="D32" s="1249"/>
      <c r="E32" s="1249"/>
      <c r="F32" s="1249"/>
      <c r="G32" s="1249"/>
      <c r="H32" s="1249"/>
      <c r="I32" s="1249"/>
      <c r="J32" s="1249"/>
      <c r="K32" s="1249"/>
      <c r="L32" s="1381"/>
      <c r="M32" s="1249"/>
      <c r="N32" s="1249"/>
      <c r="O32" s="1249"/>
      <c r="P32" s="1369"/>
      <c r="Q32" s="1369"/>
      <c r="S32" s="2251" t="s">
        <v>433</v>
      </c>
      <c r="T32" s="2251"/>
      <c r="U32" s="1373"/>
      <c r="V32" s="2265" t="str">
        <f>IF(TITLE_DATE_PR_CHANGE="",IF(TITLE_DATE_PR="","",TITLE_DATE_PR),TITLE_DATE_PR_CHANGE)</f>
        <v>45642</v>
      </c>
      <c r="W32" s="2265"/>
      <c r="X32" s="2265"/>
      <c r="Y32" s="2265"/>
      <c r="Z32" s="2265"/>
      <c r="AA32" s="1636"/>
      <c r="AB32" s="1636"/>
      <c r="AC32" s="2265"/>
      <c r="AD32" s="2265"/>
      <c r="AE32" s="2265"/>
      <c r="AF32" s="2265"/>
      <c r="AG32" s="2265"/>
      <c r="AH32" s="2265"/>
      <c r="AI32" s="1636"/>
      <c r="AJ32" s="1636"/>
      <c r="AK32" s="281"/>
      <c r="AL32" s="369"/>
      <c r="AM32" s="369"/>
      <c r="AN32" s="369"/>
      <c r="AO32" s="369"/>
      <c r="AP32" s="369"/>
      <c r="AQ32" s="419">
        <v>0</v>
      </c>
    </row>
    <row s="1854" customFormat="1" customHeight="1" ht="18" hidden="1">
      <c r="A33" s="1249"/>
      <c r="B33" s="1249"/>
      <c r="C33" s="1249"/>
      <c r="D33" s="1249"/>
      <c r="E33" s="1249"/>
      <c r="F33" s="1249"/>
      <c r="G33" s="1249"/>
      <c r="H33" s="1249"/>
      <c r="I33" s="1249"/>
      <c r="J33" s="1249"/>
      <c r="K33" s="1249"/>
      <c r="L33" s="1381"/>
      <c r="M33" s="1249"/>
      <c r="N33" s="1249"/>
      <c r="O33" s="1249"/>
      <c r="P33" s="1369"/>
      <c r="Q33" s="1369"/>
      <c r="S33" s="2251" t="s">
        <v>434</v>
      </c>
      <c r="T33" s="2251"/>
      <c r="U33" s="1373"/>
      <c r="V33" s="2252" t="str">
        <f>IF(TITLE_NUMBER_PR_CHANGE="",IF(TITLE_NUMBER_PR="","",TITLE_NUMBER_PR),TITLE_NUMBER_PR_CHANGE)</f>
        <v>58</v>
      </c>
      <c r="W33" s="2252"/>
      <c r="X33" s="2252"/>
      <c r="Y33" s="2252"/>
      <c r="Z33" s="2252"/>
      <c r="AA33" s="1636"/>
      <c r="AB33" s="1636"/>
      <c r="AC33" s="2252"/>
      <c r="AD33" s="2252"/>
      <c r="AE33" s="2252"/>
      <c r="AF33" s="2252"/>
      <c r="AG33" s="2252"/>
      <c r="AH33" s="2252"/>
      <c r="AI33" s="1636"/>
      <c r="AJ33" s="1636"/>
      <c r="AK33" s="281"/>
      <c r="AL33" s="369"/>
      <c r="AM33" s="369"/>
      <c r="AN33" s="369"/>
      <c r="AO33" s="369"/>
      <c r="AP33" s="369"/>
      <c r="AQ33" s="419">
        <v>0</v>
      </c>
    </row>
    <row s="1854" customFormat="1" customHeight="1" ht="1.05">
      <c r="A34" s="1249"/>
      <c r="B34" s="1249"/>
      <c r="C34" s="1249"/>
      <c r="D34" s="1249"/>
      <c r="E34" s="1249"/>
      <c r="F34" s="1249"/>
      <c r="G34" s="1249"/>
      <c r="H34" s="1249"/>
      <c r="I34" s="1249"/>
      <c r="J34" s="1249"/>
      <c r="K34" s="1249"/>
      <c r="L34" s="1381"/>
      <c r="M34" s="1249"/>
      <c r="N34" s="1249"/>
      <c r="O34" s="1249"/>
      <c r="P34" s="1369"/>
      <c r="Q34" s="1369"/>
      <c r="S34" s="1636"/>
      <c r="T34" s="1636"/>
      <c r="U34" s="1971"/>
      <c r="V34" s="1636"/>
      <c r="W34" s="1636"/>
      <c r="X34" s="1636"/>
      <c r="Y34" s="1636"/>
      <c r="Z34" s="1636"/>
      <c r="AA34" s="1643" t="s">
        <v>437</v>
      </c>
      <c r="AB34" s="1643"/>
      <c r="AC34" s="1636"/>
      <c r="AD34" s="1636"/>
      <c r="AE34" s="1636"/>
      <c r="AF34" s="1636"/>
      <c r="AG34" s="1636"/>
      <c r="AH34" s="1636"/>
      <c r="AI34" s="1643" t="s">
        <v>437</v>
      </c>
      <c r="AL34" s="369"/>
      <c r="AM34" s="369"/>
      <c r="AN34" s="369"/>
      <c r="AO34" s="369"/>
      <c r="AP34" s="369"/>
      <c r="AQ34" s="419">
        <v>1</v>
      </c>
    </row>
    <row customHeight="1" ht="14.699999999999998">
      <c r="Q35" s="292"/>
      <c r="R35" s="377"/>
      <c r="S35" s="1276"/>
      <c r="T35" s="458"/>
      <c r="U35" s="1245"/>
      <c r="V35" s="2253"/>
      <c r="W35" s="2253"/>
      <c r="X35" s="2253"/>
      <c r="Y35" s="2253"/>
      <c r="Z35" s="2253"/>
      <c r="AA35" s="2253"/>
      <c r="AB35" s="1958"/>
      <c r="AC35" s="2253"/>
      <c r="AD35" s="2253"/>
      <c r="AE35" s="2253"/>
      <c r="AF35" s="2253"/>
      <c r="AG35" s="2253"/>
      <c r="AH35" s="2253"/>
      <c r="AI35" s="2253"/>
      <c r="AQ35" s="1632">
        <v>14</v>
      </c>
    </row>
    <row customHeight="1" ht="14.699999999999998">
      <c r="Q36" s="292"/>
      <c r="R36" s="377"/>
      <c r="S36" s="2128" t="s">
        <v>312</v>
      </c>
      <c r="T36" s="2128"/>
      <c r="U36" s="2128"/>
      <c r="V36" s="2128"/>
      <c r="W36" s="2128"/>
      <c r="X36" s="2128"/>
      <c r="Y36" s="2128"/>
      <c r="Z36" s="2128"/>
      <c r="AA36" s="2176"/>
      <c r="AB36" s="2176"/>
      <c r="AC36" s="2176"/>
      <c r="AD36" s="2128"/>
      <c r="AE36" s="2128"/>
      <c r="AF36" s="2128"/>
      <c r="AG36" s="2128"/>
      <c r="AH36" s="2128"/>
      <c r="AI36" s="2128"/>
      <c r="AJ36" s="2128"/>
      <c r="AK36" s="2128" t="s">
        <v>313</v>
      </c>
      <c r="AQ36" s="1632">
        <v>14</v>
      </c>
    </row>
    <row customHeight="1" ht="14.699999999999998">
      <c r="Q37" s="292"/>
      <c r="R37" s="377"/>
      <c r="S37" s="2274" t="s">
        <v>90</v>
      </c>
      <c r="T37" s="2210" t="s">
        <v>510</v>
      </c>
      <c r="U37" s="338"/>
      <c r="V37" s="2276"/>
      <c r="W37" s="2276"/>
      <c r="X37" s="2276"/>
      <c r="Y37" s="2276"/>
      <c r="Z37" s="2276"/>
      <c r="AA37" s="2210" t="s">
        <v>440</v>
      </c>
      <c r="AB37" s="2209" t="s">
        <v>511</v>
      </c>
      <c r="AC37" s="2209" t="s">
        <v>483</v>
      </c>
      <c r="AD37" s="2292" t="s">
        <v>439</v>
      </c>
      <c r="AE37" s="2292"/>
      <c r="AF37" s="2276"/>
      <c r="AG37" s="2276"/>
      <c r="AH37" s="2277"/>
      <c r="AI37" s="2278" t="s">
        <v>440</v>
      </c>
      <c r="AJ37" s="2281" t="s">
        <v>442</v>
      </c>
      <c r="AK37" s="2128"/>
      <c r="AQ37" s="1632">
        <v>14</v>
      </c>
    </row>
    <row customHeight="1" ht="35.699999999999996">
      <c r="Q38" s="292"/>
      <c r="R38" s="377"/>
      <c r="S38" s="2274"/>
      <c r="T38" s="2210"/>
      <c r="U38" s="1032"/>
      <c r="V38" s="2104" t="s">
        <v>486</v>
      </c>
      <c r="W38" s="2128"/>
      <c r="X38" s="2295" t="s">
        <v>446</v>
      </c>
      <c r="Y38" s="2314"/>
      <c r="Z38" s="2314"/>
      <c r="AA38" s="2210"/>
      <c r="AB38" s="2209"/>
      <c r="AC38" s="2209"/>
      <c r="AD38" s="2104" t="s">
        <v>486</v>
      </c>
      <c r="AE38" s="2128"/>
      <c r="AF38" s="2314" t="s">
        <v>446</v>
      </c>
      <c r="AG38" s="2314"/>
      <c r="AH38" s="2315"/>
      <c r="AI38" s="2279"/>
      <c r="AJ38" s="2282"/>
      <c r="AK38" s="2128"/>
      <c r="AQ38" s="1632">
        <v>34</v>
      </c>
    </row>
    <row customHeight="1" ht="14.699999999999998">
      <c r="Q39" s="292"/>
      <c r="R39" s="377"/>
      <c r="S39" s="2274"/>
      <c r="T39" s="2210"/>
      <c r="U39" s="1032"/>
      <c r="V39" s="2341" t="str">
        <f>IF($AD$39&lt;&gt;"",$AD$39,"")</f>
        <v/>
      </c>
      <c r="W39" s="2341"/>
      <c r="X39" s="2296"/>
      <c r="Y39" s="2316"/>
      <c r="Z39" s="2316"/>
      <c r="AA39" s="2210"/>
      <c r="AB39" s="2209"/>
      <c r="AC39" s="2209"/>
      <c r="AD39" s="2357"/>
      <c r="AE39" s="2340"/>
      <c r="AF39" s="2316"/>
      <c r="AG39" s="2316"/>
      <c r="AH39" s="2317"/>
      <c r="AI39" s="2279"/>
      <c r="AJ39" s="2282"/>
      <c r="AK39" s="2128"/>
      <c r="AQ39" s="1632">
        <v>14</v>
      </c>
    </row>
    <row customHeight="1" ht="14.699999999999998">
      <c r="A40" s="1267"/>
      <c r="B40" s="1267" t="s">
        <v>138</v>
      </c>
      <c r="C40" s="1267" t="s">
        <v>139</v>
      </c>
      <c r="D40" s="1267" t="s">
        <v>140</v>
      </c>
      <c r="E40" s="1311" t="s">
        <v>447</v>
      </c>
      <c r="F40" s="1311" t="s">
        <v>448</v>
      </c>
      <c r="G40" s="1311" t="s">
        <v>449</v>
      </c>
      <c r="H40" s="1311" t="s">
        <v>450</v>
      </c>
      <c r="I40" s="1311" t="s">
        <v>451</v>
      </c>
      <c r="J40" s="1311" t="s">
        <v>452</v>
      </c>
      <c r="K40" s="1311" t="s">
        <v>453</v>
      </c>
      <c r="L40" s="1311" t="s">
        <v>428</v>
      </c>
      <c r="Q40" s="292"/>
      <c r="R40" s="377"/>
      <c r="S40" s="2274"/>
      <c r="T40" s="2210"/>
      <c r="U40" s="303"/>
      <c r="V40" s="1951" t="s">
        <v>487</v>
      </c>
      <c r="W40" s="1951" t="s">
        <v>488</v>
      </c>
      <c r="X40" s="1939" t="s">
        <v>456</v>
      </c>
      <c r="Y40" s="2271" t="s">
        <v>457</v>
      </c>
      <c r="Z40" s="2321"/>
      <c r="AA40" s="2210"/>
      <c r="AB40" s="2209"/>
      <c r="AC40" s="2209"/>
      <c r="AD40" s="1969" t="s">
        <v>487</v>
      </c>
      <c r="AE40" s="1960" t="s">
        <v>488</v>
      </c>
      <c r="AF40" s="1939" t="s">
        <v>456</v>
      </c>
      <c r="AG40" s="2271" t="s">
        <v>457</v>
      </c>
      <c r="AH40" s="2272"/>
      <c r="AI40" s="2280"/>
      <c r="AJ40" s="2283"/>
      <c r="AK40" s="2128"/>
      <c r="AQ40" s="1632">
        <v>14</v>
      </c>
    </row>
    <row s="1642" customFormat="1" customHeight="1" ht="11.25" hidden="1">
      <c r="A41" s="1267"/>
      <c r="B41" s="1267"/>
      <c r="C41" s="1267"/>
      <c r="D41" s="1267"/>
      <c r="E41" s="1267"/>
      <c r="F41" s="1267"/>
      <c r="G41" s="1267"/>
      <c r="H41" s="1267"/>
      <c r="I41" s="1267"/>
      <c r="J41" s="1267"/>
      <c r="K41" s="1267"/>
      <c r="L41" s="1311"/>
      <c r="M41" s="1966"/>
      <c r="N41" s="1966"/>
      <c r="O41" s="1966"/>
      <c r="P41" s="511"/>
      <c r="Q41" s="1255"/>
      <c r="R41" s="1255">
        <v>1</v>
      </c>
      <c r="S41" s="1278" t="s">
        <v>112</v>
      </c>
      <c r="T41" s="1256" t="s">
        <v>113</v>
      </c>
      <c r="U41" s="1246" t="str">
        <f>OFFSET(U41,0,-1)</f>
        <v>2</v>
      </c>
      <c r="V41" s="1957">
        <f>OFFSET(V41,0,-1)+1</f>
        <v>3</v>
      </c>
      <c r="W41" s="1957">
        <f>OFFSET(W41,0,-1)+1</f>
        <v>4</v>
      </c>
      <c r="X41" s="1957">
        <f>OFFSET(X41,0,-1)+1</f>
        <v>5</v>
      </c>
      <c r="Y41" s="2273">
        <f>OFFSET(Y41,0,-1)+1</f>
        <v>6</v>
      </c>
      <c r="Z41" s="2273"/>
      <c r="AA41" s="1342">
        <f>OFFSET(AA41,0,-2)+1</f>
        <v>7</v>
      </c>
      <c r="AB41" s="1342"/>
      <c r="AC41" s="1342"/>
      <c r="AD41" s="1957">
        <f>OFFSET(AD41,0,-1)+1</f>
        <v>1</v>
      </c>
      <c r="AE41" s="1957">
        <f>OFFSET(AE41,0,-1)+1</f>
        <v>2</v>
      </c>
      <c r="AF41" s="1957">
        <f>OFFSET(AF41,0,-1)+1</f>
        <v>3</v>
      </c>
      <c r="AG41" s="2273">
        <f>OFFSET(AG41,0,-1)+1</f>
        <v>4</v>
      </c>
      <c r="AH41" s="2273"/>
      <c r="AI41" s="1957">
        <f>OFFSET(AI41,0,-2)+1</f>
        <v>5</v>
      </c>
      <c r="AJ41" s="1246">
        <f>OFFSET(AJ41,0,-1)</f>
        <v>5</v>
      </c>
      <c r="AK41" s="1957">
        <f>OFFSET(AK41,0,-1)+1</f>
        <v>6</v>
      </c>
      <c r="AL41" s="1637"/>
      <c r="AM41" s="1637"/>
      <c r="AN41" s="1637"/>
      <c r="AO41" s="1637"/>
      <c r="AP41" s="1637"/>
      <c r="AQ41" s="1642">
        <v>0</v>
      </c>
    </row>
    <row customHeight="1" ht="107.25">
      <c r="A42" s="1268" t="s">
        <v>207</v>
      </c>
      <c r="B42" s="1268"/>
      <c r="C42" s="1268"/>
      <c r="D42" s="1268"/>
      <c r="E42" s="2290">
        <v>1</v>
      </c>
      <c r="F42" s="1268"/>
      <c r="G42" s="1268"/>
      <c r="H42" s="1268"/>
      <c r="I42" s="1268"/>
      <c r="J42" s="1268"/>
      <c r="K42" s="1268"/>
      <c r="L42" s="1311"/>
      <c r="M42" s="1611"/>
      <c r="N42" s="1611"/>
      <c r="O42" s="1611"/>
      <c r="P42" s="1410"/>
      <c r="Q42" s="874"/>
      <c r="R42" s="356"/>
      <c r="S42" s="1959">
        <f>INDEX(PT_DIFFERENTIATION_NUM_NTAR,MATCH(A42,PT_DIFFERENTIATION_NTAR_ID,0))</f>
        <v>0</v>
      </c>
      <c r="T42" s="1526" t="s">
        <v>126</v>
      </c>
      <c r="U42" s="301"/>
      <c r="V42" s="2244"/>
      <c r="W42" s="2244"/>
      <c r="X42" s="2244"/>
      <c r="Y42" s="2244"/>
      <c r="Z42" s="2244"/>
      <c r="AA42" s="2245"/>
      <c r="AB42" s="1953"/>
      <c r="AC42" s="2244" t="str">
        <f>INDEX(PT_DIFFERENTIATION_NTAR,MATCH(A42,PT_DIFFERENTIATION_NTAR_ID,0))</f>
        <v/>
      </c>
      <c r="AD42" s="2244"/>
      <c r="AE42" s="2244"/>
      <c r="AF42" s="2244"/>
      <c r="AG42" s="2244"/>
      <c r="AH42" s="2244"/>
      <c r="AI42" s="2244"/>
      <c r="AJ42" s="2245"/>
      <c r="AK42"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M42" s="1625"/>
      <c r="AN42" s="1625" t="str">
        <f>IF(T42="","",T42)</f>
        <v>Наименование тарифа</v>
      </c>
      <c r="AO42" s="1625"/>
      <c r="AP42" s="1625"/>
      <c r="AQ42" s="1632">
        <v>102</v>
      </c>
    </row>
    <row customHeight="1" ht="22.049999999999997">
      <c r="A43" s="1268" t="s">
        <v>207</v>
      </c>
      <c r="B43" s="1268" t="s">
        <v>208</v>
      </c>
      <c r="C43" s="1268"/>
      <c r="D43" s="1268"/>
      <c r="E43" s="2291"/>
      <c r="F43" s="2290">
        <v>1</v>
      </c>
      <c r="G43" s="1268"/>
      <c r="H43" s="1268"/>
      <c r="I43" s="1268"/>
      <c r="J43" s="1268"/>
      <c r="K43" s="1268"/>
      <c r="L43" s="1311"/>
      <c r="M43" s="1611"/>
      <c r="N43" s="1611"/>
      <c r="O43" s="1611"/>
      <c r="P43" s="1970"/>
      <c r="Q43" s="1412"/>
      <c r="R43" s="354"/>
      <c r="S43" s="1959" t="str">
        <f>INDEX(PT_DIFFERENTIATION_NUM_TER,MATCH(B43,PT_DIFFERENTIATION_TER_ID,0))</f>
        <v>.</v>
      </c>
      <c r="T43" s="1523" t="s">
        <v>409</v>
      </c>
      <c r="U43" s="301"/>
      <c r="V43" s="2244"/>
      <c r="W43" s="2244"/>
      <c r="X43" s="2244"/>
      <c r="Y43" s="2244"/>
      <c r="Z43" s="2244"/>
      <c r="AA43" s="2245"/>
      <c r="AB43" s="1953"/>
      <c r="AC43" s="2244" t="str">
        <f>INDEX(PT_DIFFERENTIATION_TER,MATCH(B43,PT_DIFFERENTIATION_TER_ID,0))</f>
        <v/>
      </c>
      <c r="AD43" s="2244"/>
      <c r="AE43" s="2244"/>
      <c r="AF43" s="2244"/>
      <c r="AG43" s="2244"/>
      <c r="AH43" s="2244"/>
      <c r="AI43" s="2244"/>
      <c r="AJ43" s="2245"/>
      <c r="AK43" s="1259" t="s">
        <v>410</v>
      </c>
      <c r="AM43" s="1625"/>
      <c r="AN43" s="1625" t="str">
        <f>IF(T43="","",T43)</f>
        <v>Территория действия тарифа</v>
      </c>
      <c r="AO43" s="1625"/>
      <c r="AP43" s="1625"/>
      <c r="AQ43" s="1632">
        <v>21</v>
      </c>
    </row>
    <row customHeight="1" ht="24">
      <c r="A44" s="1268" t="s">
        <v>207</v>
      </c>
      <c r="B44" s="1268" t="s">
        <v>208</v>
      </c>
      <c r="C44" s="1268" t="s">
        <v>209</v>
      </c>
      <c r="D44" s="1268"/>
      <c r="E44" s="2291"/>
      <c r="F44" s="2291"/>
      <c r="G44" s="2290">
        <v>1</v>
      </c>
      <c r="H44" s="1268"/>
      <c r="I44" s="1268"/>
      <c r="J44" s="1268"/>
      <c r="K44" s="1268"/>
      <c r="L44" s="1311"/>
      <c r="M44" s="1611"/>
      <c r="N44" s="1611"/>
      <c r="O44" s="1611"/>
      <c r="P44" s="1413"/>
      <c r="Q44" s="1412"/>
      <c r="R44" s="354"/>
      <c r="S44" s="1959" t="str">
        <f>INDEX(PT_DIFFERENTIATION_NUM_CS,MATCH(C44,PT_DIFFERENTIATION_CS_ID,0))</f>
        <v>..</v>
      </c>
      <c r="T44" s="310" t="s">
        <v>411</v>
      </c>
      <c r="U44" s="301"/>
      <c r="V44" s="2244"/>
      <c r="W44" s="2244"/>
      <c r="X44" s="2244"/>
      <c r="Y44" s="2244"/>
      <c r="Z44" s="2244"/>
      <c r="AA44" s="2245"/>
      <c r="AB44" s="1953"/>
      <c r="AC44" s="2244" t="str">
        <f>INDEX(PT_DIFFERENTIATION_CS,MATCH(C44,PT_DIFFERENTIATION_CS_ID,0))</f>
        <v/>
      </c>
      <c r="AD44" s="2244"/>
      <c r="AE44" s="2244"/>
      <c r="AF44" s="2244"/>
      <c r="AG44" s="2244"/>
      <c r="AH44" s="2244"/>
      <c r="AI44" s="2244"/>
      <c r="AJ44" s="2245"/>
      <c r="AK44" s="1259" t="s">
        <v>412</v>
      </c>
      <c r="AM44" s="1625"/>
      <c r="AN44" s="1625" t="str">
        <f>IF(T44="","",T44)</f>
        <v>Наименование системы теплоснабжения </v>
      </c>
      <c r="AO44" s="1625"/>
      <c r="AP44" s="1625"/>
      <c r="AQ44" s="1632">
        <v>23</v>
      </c>
    </row>
    <row customHeight="1" ht="22.049999999999997">
      <c r="A45" s="1268" t="s">
        <v>207</v>
      </c>
      <c r="B45" s="1268" t="s">
        <v>208</v>
      </c>
      <c r="C45" s="1268" t="s">
        <v>209</v>
      </c>
      <c r="D45" s="1268" t="s">
        <v>210</v>
      </c>
      <c r="E45" s="2291"/>
      <c r="F45" s="2291"/>
      <c r="G45" s="2291"/>
      <c r="H45" s="2290">
        <v>1</v>
      </c>
      <c r="I45" s="1268"/>
      <c r="J45" s="1268"/>
      <c r="K45" s="1268"/>
      <c r="L45" s="1311"/>
      <c r="M45" s="1611"/>
      <c r="N45" s="1611"/>
      <c r="O45" s="1611"/>
      <c r="P45" s="1413"/>
      <c r="Q45" s="1412"/>
      <c r="R45" s="354"/>
      <c r="S45" s="1959" t="str">
        <f>INDEX(PT_DIFFERENTIATION_NUM_IST_TE,MATCH(D45,PT_DIFFERENTIATION_IST_TE_ID,0))</f>
        <v>...</v>
      </c>
      <c r="T45" s="311" t="s">
        <v>413</v>
      </c>
      <c r="U45" s="301"/>
      <c r="V45" s="2244"/>
      <c r="W45" s="2244"/>
      <c r="X45" s="2244"/>
      <c r="Y45" s="2244"/>
      <c r="Z45" s="2244"/>
      <c r="AA45" s="2245"/>
      <c r="AB45" s="1953"/>
      <c r="AC45" s="2244" t="str">
        <f>INDEX(PT_DIFFERENTIATION_IST_TE,MATCH(D45,PT_DIFFERENTIATION_IST_TE_ID,0))</f>
        <v/>
      </c>
      <c r="AD45" s="2244"/>
      <c r="AE45" s="2244"/>
      <c r="AF45" s="2244"/>
      <c r="AG45" s="2244"/>
      <c r="AH45" s="2244"/>
      <c r="AI45" s="2244"/>
      <c r="AJ45" s="2245"/>
      <c r="AK45" s="1259" t="s">
        <v>414</v>
      </c>
      <c r="AM45" s="1625"/>
      <c r="AN45" s="1625" t="str">
        <f>IF(T45="","",T45)</f>
        <v>Источник тепловой энергии  </v>
      </c>
      <c r="AO45" s="1625"/>
      <c r="AP45" s="1625"/>
      <c r="AQ45" s="1632">
        <v>21</v>
      </c>
    </row>
    <row s="1643" customFormat="1" customHeight="1" ht="0">
      <c r="A46" s="1376" t="s">
        <v>207</v>
      </c>
      <c r="B46" s="1376" t="s">
        <v>208</v>
      </c>
      <c r="C46" s="1376" t="s">
        <v>209</v>
      </c>
      <c r="D46" s="1376" t="s">
        <v>210</v>
      </c>
      <c r="E46" s="2291"/>
      <c r="F46" s="2291"/>
      <c r="G46" s="2291"/>
      <c r="H46" s="2291"/>
      <c r="I46" s="2128" t="str">
        <f>S45&amp;".1"</f>
        <v>....1</v>
      </c>
      <c r="J46" s="1376"/>
      <c r="K46" s="1376"/>
      <c r="L46" s="1382" t="s">
        <v>415</v>
      </c>
      <c r="M46" s="1247"/>
      <c r="N46" s="1247"/>
      <c r="O46" s="1247"/>
      <c r="P46" s="2258">
        <v>1</v>
      </c>
      <c r="Q46" s="1955"/>
      <c r="R46" s="357"/>
      <c r="S46" s="1043"/>
      <c r="T46" s="1384"/>
      <c r="U46" s="1385"/>
      <c r="V46" s="2298"/>
      <c r="W46" s="2298"/>
      <c r="X46" s="2298"/>
      <c r="Y46" s="2298"/>
      <c r="Z46" s="2298"/>
      <c r="AA46" s="2299"/>
      <c r="AB46" s="1961"/>
      <c r="AC46" s="2298"/>
      <c r="AD46" s="2298"/>
      <c r="AE46" s="2298"/>
      <c r="AF46" s="2298"/>
      <c r="AG46" s="2298"/>
      <c r="AH46" s="2298"/>
      <c r="AI46" s="2298"/>
      <c r="AJ46" s="2299"/>
      <c r="AK46" s="1386"/>
      <c r="AM46" s="1625"/>
      <c r="AN46" s="1625" t="str">
        <f>IF(T46="","",T46)</f>
        <v/>
      </c>
      <c r="AO46" s="1625"/>
      <c r="AP46" s="1625"/>
      <c r="AQ46" s="1637">
        <v>0</v>
      </c>
    </row>
    <row s="1643" customFormat="1" customHeight="1" ht="0">
      <c r="A47" s="1376" t="s">
        <v>207</v>
      </c>
      <c r="B47" s="1376" t="s">
        <v>208</v>
      </c>
      <c r="C47" s="1376" t="s">
        <v>209</v>
      </c>
      <c r="D47" s="1376" t="s">
        <v>210</v>
      </c>
      <c r="E47" s="2291"/>
      <c r="F47" s="2291"/>
      <c r="G47" s="2291"/>
      <c r="H47" s="2291"/>
      <c r="I47" s="2102"/>
      <c r="J47" s="2128" t="str">
        <f>S45&amp;".1"</f>
        <v>....1</v>
      </c>
      <c r="K47" s="1376"/>
      <c r="L47" s="1382"/>
      <c r="M47" s="1247"/>
      <c r="N47" s="1247"/>
      <c r="O47" s="1247"/>
      <c r="P47" s="2258"/>
      <c r="Q47" s="2258">
        <v>1</v>
      </c>
      <c r="R47" s="358"/>
      <c r="S47" s="1043"/>
      <c r="T47" s="1400"/>
      <c r="U47" s="1385"/>
      <c r="V47" s="2298"/>
      <c r="W47" s="2298"/>
      <c r="X47" s="2298"/>
      <c r="Y47" s="2298"/>
      <c r="Z47" s="2298"/>
      <c r="AA47" s="2299"/>
      <c r="AB47" s="1961"/>
      <c r="AC47" s="2298"/>
      <c r="AD47" s="2298"/>
      <c r="AE47" s="2298"/>
      <c r="AF47" s="2298"/>
      <c r="AG47" s="2298"/>
      <c r="AH47" s="2298"/>
      <c r="AI47" s="2298"/>
      <c r="AJ47" s="2299"/>
      <c r="AK47" s="1386"/>
      <c r="AM47" s="1625"/>
      <c r="AN47" s="1625" t="str">
        <f>IF(T47="","",T47)</f>
        <v/>
      </c>
      <c r="AO47" s="1625"/>
      <c r="AP47" s="1625"/>
      <c r="AQ47" s="1637">
        <v>0</v>
      </c>
    </row>
    <row customHeight="1" ht="22.049999999999997">
      <c r="A48" s="1268" t="s">
        <v>207</v>
      </c>
      <c r="B48" s="1268" t="s">
        <v>208</v>
      </c>
      <c r="C48" s="1268" t="s">
        <v>209</v>
      </c>
      <c r="D48" s="1268" t="s">
        <v>210</v>
      </c>
      <c r="E48" s="2291"/>
      <c r="F48" s="2291"/>
      <c r="G48" s="2291"/>
      <c r="H48" s="2291"/>
      <c r="I48" s="2102"/>
      <c r="J48" s="2102"/>
      <c r="K48" s="1942" t="str">
        <f>S45&amp;".1"</f>
        <v>....1</v>
      </c>
      <c r="L48" s="1311"/>
      <c r="P48" s="2258"/>
      <c r="Q48" s="2258"/>
      <c r="R48" s="358">
        <v>1</v>
      </c>
      <c r="S48" s="1963" t="str">
        <f>$K48</f>
        <v>....1</v>
      </c>
      <c r="T48" s="1962"/>
      <c r="U48" s="301"/>
      <c r="V48" s="752"/>
      <c r="W48" s="1258"/>
      <c r="X48" s="1956"/>
      <c r="Y48" s="1943" t="s">
        <v>63</v>
      </c>
      <c r="Z48" s="1956"/>
      <c r="AA48" s="1943" t="s">
        <v>63</v>
      </c>
      <c r="AB48" s="1965"/>
      <c r="AC48" s="1964" t="s">
        <v>28</v>
      </c>
      <c r="AD48" s="752"/>
      <c r="AE48" s="1258"/>
      <c r="AF48" s="1956"/>
      <c r="AG48" s="1943" t="s">
        <v>63</v>
      </c>
      <c r="AH48" s="1956"/>
      <c r="AI48" s="1943" t="s">
        <v>63</v>
      </c>
      <c r="AJ48" s="1349"/>
      <c r="AK48" s="2254" t="s">
        <v>489</v>
      </c>
      <c r="AL48" s="1637">
        <f>STRCHECKDATE(#REF!)</f>
      </c>
      <c r="AM48" s="1625"/>
      <c r="AN48" s="1625" t="str">
        <f>IF(T48="","",T48)</f>
        <v/>
      </c>
      <c r="AO48" s="1625"/>
      <c r="AP48" s="1625"/>
      <c r="AQ48" s="1632">
        <v>21</v>
      </c>
    </row>
    <row customHeight="1" ht="11.549999999999999">
      <c r="A49" s="1268" t="s">
        <v>207</v>
      </c>
      <c r="B49" s="1268" t="s">
        <v>208</v>
      </c>
      <c r="C49" s="1268" t="s">
        <v>209</v>
      </c>
      <c r="D49" s="1268" t="s">
        <v>210</v>
      </c>
      <c r="E49" s="2291"/>
      <c r="F49" s="2291"/>
      <c r="G49" s="2291"/>
      <c r="H49" s="2291"/>
      <c r="I49" s="2102"/>
      <c r="J49" s="2128"/>
      <c r="K49" s="1268"/>
      <c r="L49" s="1311"/>
      <c r="P49" s="2258"/>
      <c r="Q49" s="2258"/>
      <c r="R49" s="357"/>
      <c r="S49" s="1279"/>
      <c r="T49" s="288" t="s">
        <v>477</v>
      </c>
      <c r="U49" s="601"/>
      <c r="V49" s="601"/>
      <c r="W49" s="601"/>
      <c r="X49" s="601"/>
      <c r="Y49" s="601"/>
      <c r="Z49" s="601"/>
      <c r="AA49" s="325"/>
      <c r="AB49" s="601"/>
      <c r="AC49" s="601"/>
      <c r="AD49" s="601"/>
      <c r="AE49" s="601"/>
      <c r="AF49" s="601"/>
      <c r="AG49" s="601"/>
      <c r="AH49" s="601"/>
      <c r="AI49" s="601"/>
      <c r="AJ49" s="325"/>
      <c r="AK49" s="2256"/>
      <c r="AM49" s="1625"/>
      <c r="AN49" s="1625" t="str">
        <f>IF(T49="","",T49)</f>
        <v>Добавить строку</v>
      </c>
      <c r="AO49" s="1625"/>
      <c r="AP49" s="1625"/>
      <c r="AQ49" s="1632">
        <v>11</v>
      </c>
    </row>
    <row s="1643" customFormat="1" customHeight="1" ht="1.05">
      <c r="A50" s="1376" t="s">
        <v>207</v>
      </c>
      <c r="B50" s="1376" t="s">
        <v>208</v>
      </c>
      <c r="C50" s="1376" t="s">
        <v>209</v>
      </c>
      <c r="D50" s="1376" t="s">
        <v>210</v>
      </c>
      <c r="E50" s="2291"/>
      <c r="F50" s="2291"/>
      <c r="G50" s="2291"/>
      <c r="H50" s="2291"/>
      <c r="I50" s="2128"/>
      <c r="J50" s="1376"/>
      <c r="K50" s="1376"/>
      <c r="L50" s="1382"/>
      <c r="M50" s="1247"/>
      <c r="N50" s="1247"/>
      <c r="O50" s="1247"/>
      <c r="P50" s="2258"/>
      <c r="Q50" s="1955"/>
      <c r="R50" s="357"/>
      <c r="S50" s="1387"/>
      <c r="T50" s="1388" t="s">
        <v>424</v>
      </c>
      <c r="U50" s="1389"/>
      <c r="V50" s="1389"/>
      <c r="W50" s="1389"/>
      <c r="X50" s="1389"/>
      <c r="Y50" s="1389"/>
      <c r="Z50" s="1389"/>
      <c r="AA50" s="1389"/>
      <c r="AB50" s="1389"/>
      <c r="AC50" s="1389"/>
      <c r="AD50" s="1389"/>
      <c r="AE50" s="1389"/>
      <c r="AF50" s="1389"/>
      <c r="AG50" s="1389"/>
      <c r="AH50" s="1389"/>
      <c r="AI50" s="1389"/>
      <c r="AJ50" s="1389"/>
      <c r="AK50" s="1390"/>
      <c r="AM50" s="1625"/>
      <c r="AN50" s="1625" t="str">
        <f>IF(T50="","",T50)</f>
        <v>Добавить группу потребителей</v>
      </c>
      <c r="AO50" s="1625"/>
      <c r="AP50" s="1625"/>
      <c r="AQ50" s="1637">
        <v>1</v>
      </c>
    </row>
    <row s="1642" customFormat="1" customHeight="1" ht="1.05">
      <c r="A51" s="1376" t="s">
        <v>207</v>
      </c>
      <c r="B51" s="1376" t="s">
        <v>208</v>
      </c>
      <c r="C51" s="1376" t="s">
        <v>209</v>
      </c>
      <c r="D51" s="1376" t="s">
        <v>210</v>
      </c>
      <c r="E51" s="2291"/>
      <c r="F51" s="2291"/>
      <c r="G51" s="2291"/>
      <c r="H51" s="2290"/>
      <c r="I51" s="1376"/>
      <c r="J51" s="1376"/>
      <c r="K51" s="1376"/>
      <c r="L51" s="1382"/>
      <c r="M51" s="1379"/>
      <c r="N51" s="1379"/>
      <c r="O51" s="352"/>
      <c r="P51" s="381"/>
      <c r="Q51" s="1345"/>
      <c r="R51" s="1401"/>
      <c r="S51" s="1387"/>
      <c r="T51" s="1388"/>
      <c r="U51" s="1389"/>
      <c r="V51" s="1389"/>
      <c r="W51" s="1389"/>
      <c r="X51" s="1389"/>
      <c r="Y51" s="1389"/>
      <c r="Z51" s="1389"/>
      <c r="AA51" s="1389"/>
      <c r="AB51" s="1389"/>
      <c r="AC51" s="1389"/>
      <c r="AD51" s="1389"/>
      <c r="AE51" s="1389"/>
      <c r="AF51" s="1389"/>
      <c r="AG51" s="1389"/>
      <c r="AH51" s="1389"/>
      <c r="AI51" s="1389"/>
      <c r="AJ51" s="1389"/>
      <c r="AK51" s="1390"/>
      <c r="AL51" s="1637"/>
      <c r="AM51" s="1625"/>
      <c r="AN51" s="1625" t="str">
        <f>IF(T51="","",T51)</f>
        <v/>
      </c>
      <c r="AO51" s="1625"/>
      <c r="AP51" s="1625"/>
      <c r="AQ51" s="1642">
        <v>1</v>
      </c>
    </row>
    <row s="1643" customFormat="1" customHeight="1" ht="1.05">
      <c r="A52" s="1376" t="s">
        <v>207</v>
      </c>
      <c r="B52" s="1376" t="s">
        <v>208</v>
      </c>
      <c r="C52" s="1376" t="s">
        <v>209</v>
      </c>
      <c r="D52" s="1375"/>
      <c r="E52" s="2291"/>
      <c r="F52" s="2291"/>
      <c r="G52" s="2290"/>
      <c r="H52" s="1375"/>
      <c r="I52" s="1375"/>
      <c r="J52" s="1375"/>
      <c r="K52" s="1375"/>
      <c r="L52" s="1378"/>
      <c r="M52" s="1379"/>
      <c r="N52" s="1379"/>
      <c r="O52" s="352"/>
      <c r="P52" s="1317"/>
      <c r="Q52" s="1318"/>
      <c r="R52" s="1317"/>
      <c r="S52" s="1323"/>
      <c r="T52" s="1326" t="s">
        <v>426</v>
      </c>
      <c r="U52" s="1325"/>
      <c r="V52" s="1325"/>
      <c r="W52" s="1325"/>
      <c r="X52" s="1325"/>
      <c r="Y52" s="1325"/>
      <c r="Z52" s="1325"/>
      <c r="AA52" s="1325"/>
      <c r="AB52" s="1325"/>
      <c r="AC52" s="1325"/>
      <c r="AD52" s="1325"/>
      <c r="AE52" s="1325"/>
      <c r="AF52" s="1325"/>
      <c r="AG52" s="1325"/>
      <c r="AH52" s="1325"/>
      <c r="AI52" s="1325"/>
      <c r="AJ52" s="1325"/>
      <c r="AK52" s="1325"/>
      <c r="AM52" s="1252"/>
      <c r="AN52" s="1252" t="str">
        <f>IF(T52="","",T52)</f>
        <v>Добавить источник для дифференциации</v>
      </c>
      <c r="AO52" s="1252"/>
      <c r="AP52" s="1252"/>
      <c r="AQ52" s="1643">
        <v>1</v>
      </c>
    </row>
    <row s="1643" customFormat="1" customHeight="1" ht="1.05">
      <c r="A53" s="1376" t="s">
        <v>207</v>
      </c>
      <c r="B53" s="1376" t="s">
        <v>208</v>
      </c>
      <c r="C53" s="1375"/>
      <c r="D53" s="1375"/>
      <c r="E53" s="2291"/>
      <c r="F53" s="2290"/>
      <c r="G53" s="1375"/>
      <c r="H53" s="1375"/>
      <c r="I53" s="1375"/>
      <c r="J53" s="1375"/>
      <c r="K53" s="1375"/>
      <c r="L53" s="1378"/>
      <c r="M53" s="1380"/>
      <c r="N53" s="1380"/>
      <c r="O53" s="352"/>
      <c r="P53" s="1317"/>
      <c r="Q53" s="1318"/>
      <c r="R53" s="1317"/>
      <c r="S53" s="1323"/>
      <c r="T53" s="1326" t="s">
        <v>232</v>
      </c>
      <c r="U53" s="1325"/>
      <c r="V53" s="1325"/>
      <c r="W53" s="1325"/>
      <c r="X53" s="1325"/>
      <c r="Y53" s="1325"/>
      <c r="Z53" s="1325"/>
      <c r="AA53" s="1325"/>
      <c r="AB53" s="1325"/>
      <c r="AC53" s="1325"/>
      <c r="AD53" s="1325"/>
      <c r="AE53" s="1325"/>
      <c r="AF53" s="1325"/>
      <c r="AG53" s="1325"/>
      <c r="AH53" s="1325"/>
      <c r="AI53" s="1325"/>
      <c r="AJ53" s="1325"/>
      <c r="AK53" s="1325"/>
      <c r="AM53" s="1252"/>
      <c r="AN53" s="1252" t="str">
        <f>IF(T53="","",T53)</f>
        <v>Добавить централизованную систему для дифференциации</v>
      </c>
      <c r="AO53" s="1252"/>
      <c r="AP53" s="1252"/>
      <c r="AQ53" s="1643">
        <v>1</v>
      </c>
    </row>
    <row s="1643" customFormat="1" customHeight="1" ht="1.05">
      <c r="A54" s="1376" t="s">
        <v>207</v>
      </c>
      <c r="B54" s="1376"/>
      <c r="C54" s="1376"/>
      <c r="D54" s="1376"/>
      <c r="E54" s="2291"/>
      <c r="F54" s="1376"/>
      <c r="G54" s="1376"/>
      <c r="H54" s="1376"/>
      <c r="I54" s="1376"/>
      <c r="J54" s="1376"/>
      <c r="K54" s="1376"/>
      <c r="L54" s="1382"/>
      <c r="M54" s="1380"/>
      <c r="N54" s="1380"/>
      <c r="O54" s="352"/>
      <c r="P54" s="381"/>
      <c r="Q54" s="1345"/>
      <c r="R54" s="381"/>
      <c r="S54" s="1323"/>
      <c r="T54" s="1326" t="s">
        <v>233</v>
      </c>
      <c r="U54" s="1325"/>
      <c r="V54" s="1325"/>
      <c r="W54" s="1325"/>
      <c r="X54" s="1325"/>
      <c r="Y54" s="1325"/>
      <c r="Z54" s="1325"/>
      <c r="AA54" s="1325"/>
      <c r="AB54" s="1325"/>
      <c r="AC54" s="1325"/>
      <c r="AD54" s="1325"/>
      <c r="AE54" s="1325"/>
      <c r="AF54" s="1325"/>
      <c r="AG54" s="1325"/>
      <c r="AH54" s="1325"/>
      <c r="AI54" s="1325"/>
      <c r="AJ54" s="1325"/>
      <c r="AK54" s="1325"/>
      <c r="AM54" s="1625"/>
      <c r="AN54" s="1625" t="str">
        <f>IF(T54="","",T54)</f>
        <v>Добавить территорию для дифференциации</v>
      </c>
      <c r="AO54" s="1625"/>
      <c r="AP54" s="1625"/>
      <c r="AQ54" s="1637">
        <v>1</v>
      </c>
    </row>
    <row s="1643" customFormat="1" customHeight="1" ht="1.05">
      <c r="A55" s="1376" t="s">
        <v>207</v>
      </c>
      <c r="B55" s="1376"/>
      <c r="C55" s="1376"/>
      <c r="D55" s="1376"/>
      <c r="E55" s="2290"/>
      <c r="F55" s="1376"/>
      <c r="G55" s="1376"/>
      <c r="H55" s="1376"/>
      <c r="I55" s="1376"/>
      <c r="J55" s="1376"/>
      <c r="K55" s="1376"/>
      <c r="L55" s="1382"/>
      <c r="M55" s="1380"/>
      <c r="N55" s="1380"/>
      <c r="O55" s="352"/>
      <c r="P55" s="381"/>
      <c r="Q55" s="1345"/>
      <c r="R55" s="381"/>
      <c r="S55" s="1323"/>
      <c r="T55" s="1326" t="s">
        <v>233</v>
      </c>
      <c r="U55" s="1325"/>
      <c r="V55" s="1325"/>
      <c r="W55" s="1325"/>
      <c r="X55" s="1325"/>
      <c r="Y55" s="1325"/>
      <c r="Z55" s="1325"/>
      <c r="AA55" s="1325"/>
      <c r="AB55" s="1325"/>
      <c r="AC55" s="1325"/>
      <c r="AD55" s="1325"/>
      <c r="AE55" s="1325"/>
      <c r="AF55" s="1325"/>
      <c r="AG55" s="1325"/>
      <c r="AH55" s="1325"/>
      <c r="AI55" s="1325"/>
      <c r="AJ55" s="1325"/>
      <c r="AK55" s="1325"/>
      <c r="AM55" s="1625"/>
      <c r="AN55" s="1625" t="str">
        <f>IF(T55="","",T55)</f>
        <v>Добавить территорию для дифференциации</v>
      </c>
      <c r="AO55" s="1625"/>
      <c r="AP55" s="1625"/>
      <c r="AQ55" s="1637">
        <v>1</v>
      </c>
    </row>
    <row s="1643" customFormat="1" customHeight="1" ht="1.05">
      <c r="A56" s="1375"/>
      <c r="B56" s="1375"/>
      <c r="C56" s="1375"/>
      <c r="D56" s="1375"/>
      <c r="E56" s="1376"/>
      <c r="F56" s="1375"/>
      <c r="G56" s="1375"/>
      <c r="H56" s="1375"/>
      <c r="I56" s="1375"/>
      <c r="J56" s="1375"/>
      <c r="K56" s="1375"/>
      <c r="L56" s="1378"/>
      <c r="M56" s="1380"/>
      <c r="N56" s="1380"/>
      <c r="O56" s="352"/>
      <c r="P56" s="1317"/>
      <c r="Q56" s="1318"/>
      <c r="R56" s="1317"/>
      <c r="S56" s="1323"/>
      <c r="T56" s="1326" t="s">
        <v>240</v>
      </c>
      <c r="U56" s="1325"/>
      <c r="V56" s="1325"/>
      <c r="W56" s="1325"/>
      <c r="X56" s="1325"/>
      <c r="Y56" s="1325"/>
      <c r="Z56" s="1325"/>
      <c r="AA56" s="1325"/>
      <c r="AB56" s="1325"/>
      <c r="AC56" s="1325"/>
      <c r="AD56" s="1325"/>
      <c r="AE56" s="1325"/>
      <c r="AF56" s="1325"/>
      <c r="AG56" s="1325"/>
      <c r="AH56" s="1325"/>
      <c r="AI56" s="1325"/>
      <c r="AJ56" s="1325"/>
      <c r="AK56" s="1325"/>
      <c r="AM56" s="1252"/>
      <c r="AN56" s="1252" t="str">
        <f>IF(T56="","",T56)</f>
        <v>Добавить наименование тарифа</v>
      </c>
      <c r="AO56" s="1252"/>
      <c r="AP56" s="1252"/>
      <c r="AQ56" s="1643">
        <v>1</v>
      </c>
    </row>
    <row customHeight="1" ht="11.549999999999999">
      <c r="M57" s="1632"/>
      <c r="N57" s="1632"/>
      <c r="O57" s="1636"/>
      <c r="P57" s="1367"/>
      <c r="Q57" s="1367"/>
      <c r="R57" s="1632"/>
      <c r="S57" s="1632"/>
      <c r="AL57" s="1632"/>
      <c r="AM57" s="1632"/>
      <c r="AN57" s="1632"/>
      <c r="AO57" s="1632"/>
      <c r="AP57" s="1632"/>
      <c r="AQ57" s="1632">
        <v>11</v>
      </c>
    </row>
    <row customHeight="1" ht="19.95">
      <c r="O58" s="1636"/>
      <c r="S58" s="1254"/>
      <c r="T58" s="2286"/>
      <c r="U58" s="2286"/>
      <c r="V58" s="2286"/>
      <c r="W58" s="2286"/>
      <c r="X58" s="2286"/>
      <c r="Y58" s="2286"/>
      <c r="Z58" s="2286"/>
      <c r="AA58" s="2286"/>
      <c r="AB58" s="2286"/>
      <c r="AC58" s="2286"/>
      <c r="AD58" s="2286"/>
      <c r="AE58" s="2286"/>
      <c r="AF58" s="2286"/>
      <c r="AG58" s="2286"/>
      <c r="AH58" s="2286"/>
      <c r="AI58" s="2286"/>
      <c r="AJ58" s="2286"/>
      <c r="AK58" s="2286"/>
      <c r="AQ58" s="1632">
        <v>19</v>
      </c>
    </row>
    <row customHeight="1" ht="21">
      <c r="O59" s="1636"/>
      <c r="T59" s="2286"/>
      <c r="U59" s="2286"/>
      <c r="V59" s="2286"/>
      <c r="W59" s="2286"/>
      <c r="X59" s="2286"/>
      <c r="Y59" s="2286"/>
      <c r="Z59" s="2286"/>
      <c r="AA59" s="2286"/>
      <c r="AB59" s="2286"/>
      <c r="AC59" s="2286"/>
      <c r="AD59" s="2286"/>
      <c r="AE59" s="2286"/>
      <c r="AF59" s="2286"/>
      <c r="AG59" s="2286"/>
      <c r="AH59" s="2286"/>
      <c r="AI59" s="2286"/>
      <c r="AJ59" s="2286"/>
      <c r="AK59" s="2286"/>
      <c r="AQ59" s="1632">
        <v>20</v>
      </c>
    </row>
    <row customHeight="1" ht="14.699999999999998">
      <c r="O60" s="1636"/>
      <c r="T60" s="1954"/>
      <c r="U60" s="1954"/>
      <c r="V60" s="1954"/>
      <c r="W60" s="1954"/>
      <c r="X60" s="1954"/>
      <c r="Y60" s="1954"/>
      <c r="Z60" s="1954"/>
      <c r="AA60" s="1954"/>
      <c r="AB60" s="1954"/>
      <c r="AC60" s="1954"/>
      <c r="AD60" s="1954"/>
      <c r="AE60" s="1954"/>
      <c r="AF60" s="1954"/>
      <c r="AG60" s="1954"/>
      <c r="AH60" s="1954"/>
      <c r="AI60" s="1954"/>
      <c r="AJ60" s="1954"/>
      <c r="AK60" s="1954"/>
      <c r="AQ60" s="1632">
        <v>14</v>
      </c>
    </row>
    <row customHeight="1" ht="19.95">
      <c r="O61" s="1636"/>
      <c r="T61" s="2286"/>
      <c r="U61" s="2286"/>
      <c r="V61" s="2286"/>
      <c r="W61" s="2286"/>
      <c r="X61" s="2286"/>
      <c r="Y61" s="2286"/>
      <c r="Z61" s="2286"/>
      <c r="AA61" s="2286"/>
      <c r="AB61" s="2286"/>
      <c r="AC61" s="2286"/>
      <c r="AD61" s="2286"/>
      <c r="AE61" s="2286"/>
      <c r="AF61" s="2286"/>
      <c r="AG61" s="2286"/>
      <c r="AH61" s="2286"/>
      <c r="AI61" s="2286"/>
      <c r="AJ61" s="2286"/>
      <c r="AK61" s="2286"/>
      <c r="AQ61" s="1632">
        <v>19</v>
      </c>
    </row>
    <row customHeight="1" ht="16.8">
      <c r="O62" s="1636"/>
      <c r="T62" s="2286"/>
      <c r="U62" s="2286"/>
      <c r="V62" s="2286"/>
      <c r="W62" s="2286"/>
      <c r="X62" s="2286"/>
      <c r="Y62" s="2286"/>
      <c r="Z62" s="2286"/>
      <c r="AA62" s="2286"/>
      <c r="AB62" s="2286"/>
      <c r="AC62" s="2286"/>
      <c r="AD62" s="2286"/>
      <c r="AE62" s="2286"/>
      <c r="AF62" s="2286"/>
      <c r="AG62" s="2286"/>
      <c r="AH62" s="2286"/>
      <c r="AI62" s="2286"/>
      <c r="AJ62" s="2286"/>
      <c r="AK62" s="2286"/>
      <c r="AQ62" s="1632">
        <v>16</v>
      </c>
    </row>
    <row customHeight="1" ht="14.699999999999998">
      <c r="O63" s="1636"/>
      <c r="AQ63" s="1632">
        <v>14</v>
      </c>
    </row>
    <row customHeight="1" ht="22.5" hidden="1">
      <c r="A64" s="1632" t="s">
        <v>84</v>
      </c>
      <c r="B64" s="1632">
        <v>0</v>
      </c>
      <c r="C64" s="1632">
        <v>0</v>
      </c>
      <c r="D64" s="1632">
        <v>0</v>
      </c>
      <c r="E64" s="1632">
        <v>0</v>
      </c>
      <c r="F64" s="1632">
        <v>0</v>
      </c>
      <c r="G64" s="1632">
        <v>0</v>
      </c>
      <c r="H64" s="1632">
        <v>0</v>
      </c>
      <c r="I64" s="1632">
        <v>0</v>
      </c>
      <c r="J64" s="1632">
        <v>0</v>
      </c>
      <c r="K64" s="1632">
        <v>0</v>
      </c>
      <c r="L64" s="1940">
        <v>0</v>
      </c>
      <c r="M64" s="1966">
        <v>0</v>
      </c>
      <c r="N64" s="1966">
        <v>0</v>
      </c>
      <c r="O64" s="1966">
        <v>0</v>
      </c>
      <c r="P64" s="1363">
        <v>3</v>
      </c>
      <c r="Q64" s="1372">
        <v>3</v>
      </c>
      <c r="R64" s="345">
        <v>3</v>
      </c>
      <c r="S64" s="582">
        <v>12</v>
      </c>
      <c r="T64" s="1632">
        <v>31</v>
      </c>
      <c r="U64" s="1632">
        <v>0</v>
      </c>
      <c r="V64" s="1632">
        <v>0</v>
      </c>
      <c r="W64" s="1632">
        <v>0</v>
      </c>
      <c r="X64" s="1632">
        <v>0</v>
      </c>
      <c r="Y64" s="1632">
        <v>0</v>
      </c>
      <c r="Z64" s="1632">
        <v>0</v>
      </c>
      <c r="AA64" s="1632">
        <v>0</v>
      </c>
      <c r="AB64" s="1632">
        <v>27</v>
      </c>
      <c r="AC64" s="1632">
        <v>24</v>
      </c>
      <c r="AD64" s="1632">
        <v>21</v>
      </c>
      <c r="AE64" s="1632">
        <v>21</v>
      </c>
      <c r="AF64" s="1632">
        <v>11</v>
      </c>
      <c r="AG64" s="1632">
        <v>3</v>
      </c>
      <c r="AH64" s="1632">
        <v>11</v>
      </c>
      <c r="AI64" s="1632">
        <v>8</v>
      </c>
      <c r="AJ64" s="1632">
        <v>4</v>
      </c>
      <c r="AK64" s="1632">
        <v>115</v>
      </c>
      <c r="AL64" s="1637">
        <v>10</v>
      </c>
      <c r="AM64" s="1637">
        <v>10</v>
      </c>
      <c r="AN64" s="1637">
        <v>10</v>
      </c>
      <c r="AO64" s="1637">
        <v>10</v>
      </c>
      <c r="AP64" s="1637">
        <v>10</v>
      </c>
      <c r="AQ64" s="1632">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allowBlank="1" errorTitle="Ошибка" error="Выберите значение из списка" sqref="V39:W39"/>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FCEE615-D835-801C-5338-0.74AB0CAC}"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66">
        <f>INDEX(PT_DIFFERENTIATION_NUM_NTAR,MATCH(A2,PT_DIFFERENTIATION_NTAR_ID,0))</f>
      </c>
      <c r="T2" s="299" t="s">
        <v>126</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66">
        <f>INDEX(PT_DIFFERENTIATION_NUM_TER,MATCH(B3,PT_DIFFERENTIATION_TER_ID,0))</f>
      </c>
      <c r="T3" s="309" t="s">
        <v>409</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410</v>
      </c>
      <c r="BE3" s="501"/>
      <c r="BF3" s="501" t="str">
        <f>IF(T3="","",T3)</f>
        <v>Территория действия тарифа</v>
      </c>
      <c r="BG3" s="501"/>
      <c r="BH3" s="501"/>
      <c r="BI3" s="1156">
        <v>0</v>
      </c>
    </row>
    <row customHeight="1" ht="42" hidden="1">
      <c r="A4" s="1364"/>
      <c r="B4" s="1364"/>
      <c r="C4" s="1364"/>
      <c r="D4" s="1364"/>
      <c r="E4" s="2260"/>
      <c r="F4" s="2260"/>
      <c r="G4" s="2259">
        <v>1</v>
      </c>
      <c r="H4" s="1364"/>
      <c r="I4" s="1364"/>
      <c r="J4" s="1364"/>
      <c r="K4" s="1364"/>
      <c r="L4" s="1365"/>
      <c r="M4" s="1366"/>
      <c r="N4" s="1366"/>
      <c r="O4" s="1366"/>
      <c r="P4" s="1413"/>
      <c r="Q4" s="1412"/>
      <c r="R4" s="354"/>
      <c r="S4" s="1466">
        <f>INDEX(PT_DIFFERENTIATION_NUM_CS,MATCH(C4,PT_DIFFERENTIATION_CS_ID,0))</f>
      </c>
      <c r="T4" s="310" t="s">
        <v>490</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491</v>
      </c>
      <c r="BE4" s="501"/>
      <c r="BF4" s="501" t="str">
        <f>IF(T4="","",T4)</f>
        <v>Наименование централизованной системы холодного водоснабжения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414</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415</v>
      </c>
      <c r="M6" s="511"/>
      <c r="N6" s="511"/>
      <c r="O6" s="511"/>
      <c r="P6" s="2258">
        <v>1</v>
      </c>
      <c r="Q6" s="1463"/>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60" t="s">
        <v>63</v>
      </c>
      <c r="AB8" s="1735"/>
      <c r="AC8" s="1460" t="s">
        <v>63</v>
      </c>
      <c r="AD8" s="2186" t="s">
        <v>63</v>
      </c>
      <c r="AE8" s="2327"/>
      <c r="AF8" s="2206">
        <v>1</v>
      </c>
      <c r="AG8" s="2364"/>
      <c r="AH8" s="2108" t="s">
        <v>63</v>
      </c>
      <c r="AI8" s="2327"/>
      <c r="AJ8" s="2206">
        <v>1</v>
      </c>
      <c r="AK8" s="2328" t="s">
        <v>28</v>
      </c>
      <c r="AL8" s="2108" t="s">
        <v>63</v>
      </c>
      <c r="AM8" s="2193"/>
      <c r="AN8" s="2206">
        <v>1</v>
      </c>
      <c r="AO8" s="2358"/>
      <c r="AP8" s="2359" t="s">
        <v>63</v>
      </c>
      <c r="AQ8" s="312"/>
      <c r="AR8" s="1464">
        <v>1</v>
      </c>
      <c r="AS8" s="1467" t="s">
        <v>28</v>
      </c>
      <c r="AT8" s="752"/>
      <c r="AU8" s="1258"/>
      <c r="AV8" s="752"/>
      <c r="AW8" s="1258"/>
      <c r="AX8" s="1735"/>
      <c r="AY8" s="1460" t="s">
        <v>63</v>
      </c>
      <c r="AZ8" s="1735"/>
      <c r="BA8" s="1460" t="s">
        <v>63</v>
      </c>
      <c r="BB8" s="1349"/>
      <c r="BC8" s="2254" t="s">
        <v>512</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513</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514</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515</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516</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477</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63"/>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6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65"/>
      <c r="M17" s="1322"/>
      <c r="N17" s="1322"/>
      <c r="P17" s="1317"/>
      <c r="Q17" s="1318"/>
      <c r="R17" s="1317"/>
      <c r="S17" s="1323"/>
      <c r="T17" s="1326" t="s">
        <v>232</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233</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61" t="s">
        <v>63</v>
      </c>
      <c r="AZ20" s="1737"/>
      <c r="BA20" s="1461" t="s">
        <v>63</v>
      </c>
      <c r="BI20" s="1156">
        <v>0</v>
      </c>
    </row>
    <row customHeight="1" ht="14.25" hidden="1">
      <c r="BD21" s="497"/>
      <c r="BE21" s="497"/>
      <c r="BF21" s="497"/>
      <c r="BG21" s="497"/>
      <c r="BH21" s="497"/>
      <c r="BI21" s="1156">
        <v>0</v>
      </c>
    </row>
    <row customHeight="1" ht="14.25" hidden="1">
      <c r="O22" s="1368" t="s">
        <v>427</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428</v>
      </c>
      <c r="P24" s="1509"/>
      <c r="Q24" s="1511"/>
      <c r="R24" s="1511"/>
      <c r="AA24" s="1508" t="s">
        <v>430</v>
      </c>
      <c r="AC24" s="1508" t="s">
        <v>431</v>
      </c>
      <c r="AD24" s="1508" t="s">
        <v>478</v>
      </c>
      <c r="AH24" s="1508" t="s">
        <v>478</v>
      </c>
      <c r="AK24" s="1508" t="s">
        <v>517</v>
      </c>
      <c r="AL24" s="1508" t="s">
        <v>478</v>
      </c>
      <c r="AP24" s="1508" t="s">
        <v>478</v>
      </c>
      <c r="AY24" s="1508" t="s">
        <v>430</v>
      </c>
      <c r="BA24" s="1508" t="s">
        <v>431</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IF(TEMPLATE_GROUP="P",PT_P_FORM_COLDVSNA_5_NAME_FORM,PT_R_FORM_COLDVSNA_17_NAME_FORM)</f>
        <v>Форма 3. Информация об установленных тарифах на подключение (технологическое присоединение) к централизованной системе холодного водоснабжения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ИМУП «ПОСЖИЛКОМСЕРВИС»</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c r="A31" s="1369"/>
      <c r="B31" s="1369"/>
      <c r="C31" s="1369"/>
      <c r="D31" s="1369"/>
      <c r="E31" s="1369"/>
      <c r="F31" s="1369"/>
      <c r="G31" s="1369"/>
      <c r="H31" s="1369"/>
      <c r="I31" s="1369"/>
      <c r="J31" s="1369"/>
      <c r="K31" s="1369"/>
      <c r="L31" s="1370"/>
      <c r="M31" s="1369"/>
      <c r="N31" s="1369"/>
      <c r="O31" s="1369"/>
      <c r="P31" s="1369"/>
      <c r="Q31" s="1369"/>
      <c r="S31" s="2251" t="s">
        <v>42</v>
      </c>
      <c r="T31" s="2251"/>
      <c r="U31" s="1373"/>
      <c r="V31" s="2252" t="str">
        <f>IF(TITLE_NAME_OR_PR_CHANGE="",IF(TITLE_NAME_OR_PR="","",TITLE_NAME_OR_PR),TITLE_NAME_OR_PR_CHANGE)</f>
        <v>Управление по государственному регулированию цен (тарифов) Ненецкого автономного округа</v>
      </c>
      <c r="W31" s="2252"/>
      <c r="X31" s="2252"/>
      <c r="Y31" s="2252"/>
      <c r="Z31" s="2252"/>
      <c r="AA31" s="2252"/>
      <c r="AB31" s="2252"/>
      <c r="AC31" s="327"/>
      <c r="AD31" s="2252" t="str">
        <f>IF(TITLE_NAME_OR_PR_CHANGE="",IF(TITLE_NAME_OR_PR="","",TITLE_NAME_OR_PR),TITLE_NAME_OR_PR_CHANGE)</f>
        <v>Управление по государственному регулированию цен (тарифов) Ненецкого автономного округа</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c r="A32" s="1369"/>
      <c r="B32" s="1369"/>
      <c r="C32" s="1369"/>
      <c r="D32" s="1369"/>
      <c r="E32" s="1369"/>
      <c r="F32" s="1369"/>
      <c r="G32" s="1369"/>
      <c r="H32" s="1369"/>
      <c r="I32" s="1369"/>
      <c r="J32" s="1369"/>
      <c r="K32" s="1369"/>
      <c r="L32" s="1370"/>
      <c r="M32" s="1369"/>
      <c r="N32" s="1369"/>
      <c r="O32" s="1369"/>
      <c r="P32" s="1369"/>
      <c r="Q32" s="1369"/>
      <c r="S32" s="2251" t="s">
        <v>433</v>
      </c>
      <c r="T32" s="2251"/>
      <c r="U32" s="1373"/>
      <c r="V32" s="2265" t="str">
        <f>IF(TITLE_DATE_PR_CHANGE="",IF(TITLE_DATE_PR="","",TITLE_DATE_PR),TITLE_DATE_PR_CHANGE)</f>
        <v>45642</v>
      </c>
      <c r="W32" s="2265"/>
      <c r="X32" s="2265"/>
      <c r="Y32" s="2265"/>
      <c r="Z32" s="2265"/>
      <c r="AA32" s="2265"/>
      <c r="AB32" s="2265"/>
      <c r="AC32" s="327"/>
      <c r="AD32" s="2265" t="str">
        <f>IF(TITLE_DATE_PR_CHANGE="",IF(TITLE_DATE_PR="","",TITLE_DATE_PR),TITLE_DATE_PR_CHANGE)</f>
        <v>45642</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c r="A33" s="1369"/>
      <c r="B33" s="1369"/>
      <c r="C33" s="1369"/>
      <c r="D33" s="1369"/>
      <c r="E33" s="1369"/>
      <c r="F33" s="1369"/>
      <c r="G33" s="1369"/>
      <c r="H33" s="1369"/>
      <c r="I33" s="1369"/>
      <c r="J33" s="1369"/>
      <c r="K33" s="1369"/>
      <c r="L33" s="1370"/>
      <c r="M33" s="1369"/>
      <c r="N33" s="1369"/>
      <c r="O33" s="1369"/>
      <c r="P33" s="1369"/>
      <c r="Q33" s="1369"/>
      <c r="S33" s="2251" t="s">
        <v>434</v>
      </c>
      <c r="T33" s="2251"/>
      <c r="U33" s="1373"/>
      <c r="V33" s="2252" t="str">
        <f>IF(TITLE_NUMBER_PR_CHANGE="",IF(TITLE_NUMBER_PR="","",TITLE_NUMBER_PR),TITLE_NUMBER_PR_CHANGE)</f>
        <v>58</v>
      </c>
      <c r="W33" s="2252"/>
      <c r="X33" s="2252"/>
      <c r="Y33" s="2252"/>
      <c r="Z33" s="2252"/>
      <c r="AA33" s="2252"/>
      <c r="AB33" s="2252"/>
      <c r="AC33" s="327"/>
      <c r="AD33" s="2252" t="str">
        <f>IF(TITLE_NUMBER_PR_CHANGE="",IF(TITLE_NUMBER_PR="","",TITLE_NUMBER_PR),TITLE_NUMBER_PR_CHANGE)</f>
        <v>58</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c r="A34" s="1369"/>
      <c r="B34" s="1369"/>
      <c r="C34" s="1369"/>
      <c r="D34" s="1369"/>
      <c r="E34" s="1369"/>
      <c r="F34" s="1369"/>
      <c r="G34" s="1369"/>
      <c r="H34" s="1369"/>
      <c r="I34" s="1369"/>
      <c r="J34" s="1369"/>
      <c r="K34" s="1369"/>
      <c r="L34" s="1370"/>
      <c r="M34" s="1369"/>
      <c r="N34" s="1369"/>
      <c r="O34" s="1369"/>
      <c r="P34" s="1369"/>
      <c r="Q34" s="1369"/>
      <c r="S34" s="2251" t="s">
        <v>44</v>
      </c>
      <c r="T34" s="2251"/>
      <c r="U34" s="1373"/>
      <c r="V34" s="2252" t="str">
        <f>IF(TITLE_IST_PUB_CHANGE="",IF(TITLE_IST_PUB="","",TITLE_IST_PUB),TITLE_IST_PUB_CHANGE)</f>
        <v>Официальный интернет портал правовой информации http://pravo.gov.ru </v>
      </c>
      <c r="W34" s="2252"/>
      <c r="X34" s="2252"/>
      <c r="Y34" s="2252"/>
      <c r="Z34" s="2252"/>
      <c r="AA34" s="2252"/>
      <c r="AB34" s="2252"/>
      <c r="AC34" s="327"/>
      <c r="AD34" s="2252" t="str">
        <f>IF(TITLE_IST_PUB_CHANGE="",IF(TITLE_IST_PUB="","",TITLE_IST_PUB),TITLE_IST_PUB_CHANGE)</f>
        <v>Официальный интернет портал правовой информации http://pravo.gov.ru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hidden="1">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hidden="1">
      <c r="A36" s="1369"/>
      <c r="B36" s="1369"/>
      <c r="C36" s="1369"/>
      <c r="D36" s="1369"/>
      <c r="E36" s="1369"/>
      <c r="F36" s="1369"/>
      <c r="G36" s="1369"/>
      <c r="H36" s="1369"/>
      <c r="I36" s="1369"/>
      <c r="J36" s="1369"/>
      <c r="K36" s="1369"/>
      <c r="L36" s="1370"/>
      <c r="M36" s="1369"/>
      <c r="N36" s="1369"/>
      <c r="O36" s="1369"/>
      <c r="P36" s="1369"/>
      <c r="Q36" s="1369"/>
      <c r="S36" s="2251" t="s">
        <v>433</v>
      </c>
      <c r="T36" s="2251"/>
      <c r="U36" s="1373"/>
      <c r="V36" s="2265" t="str">
        <f>IF(TITLE_DATE_PR_CHANGE="",IF(TITLE_DATE_PR="","",TITLE_DATE_PR),TITLE_DATE_PR_CHANGE)</f>
        <v>45642</v>
      </c>
      <c r="W36" s="2265"/>
      <c r="X36" s="2265"/>
      <c r="Y36" s="2265"/>
      <c r="Z36" s="2265"/>
      <c r="AA36" s="2265"/>
      <c r="AB36" s="2265"/>
      <c r="AC36" s="327"/>
      <c r="AD36" s="2265" t="str">
        <f>IF(TITLE_DATE_PR_CHANGE="",IF(TITLE_DATE_PR="","",TITLE_DATE_PR),TITLE_DATE_PR_CHANGE)</f>
        <v>45642</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hidden="1">
      <c r="A37" s="1369"/>
      <c r="B37" s="1369"/>
      <c r="C37" s="1369"/>
      <c r="D37" s="1369"/>
      <c r="E37" s="1369"/>
      <c r="F37" s="1369"/>
      <c r="G37" s="1369"/>
      <c r="H37" s="1369"/>
      <c r="I37" s="1369"/>
      <c r="J37" s="1369"/>
      <c r="K37" s="1369"/>
      <c r="L37" s="1370"/>
      <c r="M37" s="1369"/>
      <c r="N37" s="1369"/>
      <c r="O37" s="1369"/>
      <c r="P37" s="1369"/>
      <c r="Q37" s="1369"/>
      <c r="S37" s="2251" t="s">
        <v>434</v>
      </c>
      <c r="T37" s="2251"/>
      <c r="U37" s="1373"/>
      <c r="V37" s="2252" t="str">
        <f>IF(TITLE_NUMBER_PR_CHANGE="",IF(TITLE_NUMBER_PR="","",TITLE_NUMBER_PR),TITLE_NUMBER_PR_CHANGE)</f>
        <v>58</v>
      </c>
      <c r="W37" s="2252"/>
      <c r="X37" s="2252"/>
      <c r="Y37" s="2252"/>
      <c r="Z37" s="2252"/>
      <c r="AA37" s="2252"/>
      <c r="AB37" s="2252"/>
      <c r="AC37" s="327"/>
      <c r="AD37" s="2252" t="str">
        <f>IF(TITLE_NUMBER_PR_CHANGE="",IF(TITLE_NUMBER_PR="","",TITLE_NUMBER_PR),TITLE_NUMBER_PR_CHANGE)</f>
        <v>58</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55"/>
      <c r="V38" s="327"/>
      <c r="W38" s="327"/>
      <c r="X38" s="327"/>
      <c r="Y38" s="327"/>
      <c r="Z38" s="327"/>
      <c r="AA38" s="327"/>
      <c r="AB38" s="327"/>
      <c r="AC38" s="279" t="s">
        <v>437</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437</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312</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313</v>
      </c>
      <c r="BI40" s="1156">
        <v>14</v>
      </c>
    </row>
    <row customHeight="1" ht="14.699999999999998">
      <c r="Q41" s="292"/>
      <c r="R41" s="377"/>
      <c r="S41" s="2274" t="s">
        <v>90</v>
      </c>
      <c r="T41" s="2210" t="s">
        <v>518</v>
      </c>
      <c r="U41" s="302"/>
      <c r="V41" s="2275" t="s">
        <v>439</v>
      </c>
      <c r="W41" s="2276"/>
      <c r="X41" s="2276"/>
      <c r="Y41" s="2276"/>
      <c r="Z41" s="2276"/>
      <c r="AA41" s="2276"/>
      <c r="AB41" s="2277"/>
      <c r="AC41" s="2278" t="s">
        <v>440</v>
      </c>
      <c r="AD41" s="2329" t="s">
        <v>519</v>
      </c>
      <c r="AE41" s="2292"/>
      <c r="AF41" s="2292"/>
      <c r="AG41" s="2330"/>
      <c r="AH41" s="2329" t="s">
        <v>520</v>
      </c>
      <c r="AI41" s="2292"/>
      <c r="AJ41" s="2292"/>
      <c r="AK41" s="2330"/>
      <c r="AL41" s="2329" t="s">
        <v>521</v>
      </c>
      <c r="AM41" s="2292"/>
      <c r="AN41" s="2292"/>
      <c r="AO41" s="2330"/>
      <c r="AP41" s="2329" t="s">
        <v>522</v>
      </c>
      <c r="AQ41" s="2292"/>
      <c r="AR41" s="2292"/>
      <c r="AS41" s="2330"/>
      <c r="AT41" s="2275" t="s">
        <v>439</v>
      </c>
      <c r="AU41" s="2276"/>
      <c r="AV41" s="2276"/>
      <c r="AW41" s="2276"/>
      <c r="AX41" s="2276"/>
      <c r="AY41" s="2276"/>
      <c r="AZ41" s="2277"/>
      <c r="BA41" s="2278" t="s">
        <v>440</v>
      </c>
      <c r="BB41" s="2281" t="s">
        <v>442</v>
      </c>
      <c r="BC41" s="2128"/>
      <c r="BI41" s="1156">
        <v>14</v>
      </c>
    </row>
    <row customHeight="1" ht="35.699999999999996">
      <c r="Q42" s="292"/>
      <c r="R42" s="377"/>
      <c r="S42" s="2274"/>
      <c r="T42" s="2210"/>
      <c r="U42" s="1032"/>
      <c r="V42" s="2193" t="s">
        <v>523</v>
      </c>
      <c r="W42" s="2194"/>
      <c r="X42" s="2193" t="s">
        <v>524</v>
      </c>
      <c r="Y42" s="2194"/>
      <c r="Z42" s="2295" t="s">
        <v>525</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523</v>
      </c>
      <c r="AU42" s="2194"/>
      <c r="AV42" s="2193" t="s">
        <v>524</v>
      </c>
      <c r="AW42" s="2194"/>
      <c r="AX42" s="2295" t="s">
        <v>525</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138</v>
      </c>
      <c r="C44" s="1371" t="s">
        <v>139</v>
      </c>
      <c r="D44" s="1371" t="s">
        <v>140</v>
      </c>
      <c r="E44" s="1365" t="s">
        <v>447</v>
      </c>
      <c r="F44" s="1365" t="s">
        <v>448</v>
      </c>
      <c r="G44" s="1365" t="s">
        <v>449</v>
      </c>
      <c r="H44" s="1365" t="s">
        <v>450</v>
      </c>
      <c r="I44" s="1365" t="s">
        <v>451</v>
      </c>
      <c r="J44" s="1365" t="s">
        <v>452</v>
      </c>
      <c r="K44" s="1365" t="s">
        <v>453</v>
      </c>
      <c r="L44" s="1365" t="s">
        <v>428</v>
      </c>
      <c r="Q44" s="292"/>
      <c r="R44" s="377"/>
      <c r="S44" s="2274"/>
      <c r="T44" s="2210"/>
      <c r="U44" s="303"/>
      <c r="V44" s="1449" t="s">
        <v>487</v>
      </c>
      <c r="W44" s="1449" t="s">
        <v>488</v>
      </c>
      <c r="X44" s="1449" t="s">
        <v>487</v>
      </c>
      <c r="Y44" s="1449" t="s">
        <v>488</v>
      </c>
      <c r="Z44" s="1456" t="s">
        <v>456</v>
      </c>
      <c r="AA44" s="2271" t="s">
        <v>457</v>
      </c>
      <c r="AB44" s="2272"/>
      <c r="AC44" s="2280"/>
      <c r="AD44" s="2334"/>
      <c r="AE44" s="2335"/>
      <c r="AF44" s="2335"/>
      <c r="AG44" s="2336"/>
      <c r="AH44" s="2334"/>
      <c r="AI44" s="2335"/>
      <c r="AJ44" s="2335"/>
      <c r="AK44" s="2336"/>
      <c r="AL44" s="2334"/>
      <c r="AM44" s="2335"/>
      <c r="AN44" s="2335"/>
      <c r="AO44" s="2336"/>
      <c r="AP44" s="2334"/>
      <c r="AQ44" s="2335"/>
      <c r="AR44" s="2335"/>
      <c r="AS44" s="2336"/>
      <c r="AT44" s="1449" t="s">
        <v>487</v>
      </c>
      <c r="AU44" s="1449" t="s">
        <v>488</v>
      </c>
      <c r="AV44" s="1449" t="s">
        <v>487</v>
      </c>
      <c r="AW44" s="1449" t="s">
        <v>488</v>
      </c>
      <c r="AX44" s="1456" t="s">
        <v>456</v>
      </c>
      <c r="AY44" s="2271" t="s">
        <v>457</v>
      </c>
      <c r="AZ44" s="2272"/>
      <c r="BA44" s="2280"/>
      <c r="BB44" s="2283"/>
      <c r="BC44" s="2128"/>
      <c r="BI44" s="1156">
        <v>14</v>
      </c>
    </row>
    <row s="1642" customFormat="1" customHeight="1" ht="11.25" hidden="1">
      <c r="A45" s="1371"/>
      <c r="B45" s="1371"/>
      <c r="C45" s="1371"/>
      <c r="D45" s="1371"/>
      <c r="E45" s="1371"/>
      <c r="F45" s="1371"/>
      <c r="G45" s="1371"/>
      <c r="H45" s="1371"/>
      <c r="I45" s="1371"/>
      <c r="J45" s="1371"/>
      <c r="K45" s="1371"/>
      <c r="L45" s="1365"/>
      <c r="M45" s="1363"/>
      <c r="N45" s="1363"/>
      <c r="O45" s="1363"/>
      <c r="P45" s="511"/>
      <c r="Q45" s="1255"/>
      <c r="R45" s="1255">
        <v>1</v>
      </c>
      <c r="S45" s="1278" t="s">
        <v>112</v>
      </c>
      <c r="T45" s="1256" t="s">
        <v>113</v>
      </c>
      <c r="U45" s="1246" t="str">
        <f>OFFSET(U45,0,-1)</f>
        <v>2</v>
      </c>
      <c r="V45" s="1452">
        <f>OFFSET(V45,0,-1)+1</f>
        <v>3</v>
      </c>
      <c r="W45" s="1452">
        <f>OFFSET(W45,0,-1)+1</f>
        <v>4</v>
      </c>
      <c r="X45" s="1452">
        <f>OFFSET(X45,0,-1)+1</f>
        <v>5</v>
      </c>
      <c r="Y45" s="1452">
        <f>OFFSET(Y45,0,-1)+1</f>
        <v>6</v>
      </c>
      <c r="Z45" s="1452">
        <f>OFFSET(Z45,0,-1)+1</f>
        <v>7</v>
      </c>
      <c r="AA45" s="2273">
        <f>OFFSET(AA45,0,-1)+1</f>
        <v>8</v>
      </c>
      <c r="AB45" s="2273"/>
      <c r="AC45" s="1452">
        <f>OFFSET(AC45,0,-2)+1</f>
        <v>9</v>
      </c>
      <c r="AD45" s="1452">
        <f>OFFSET(AD45,0,-1)+1</f>
        <v>10</v>
      </c>
      <c r="AE45" s="1452"/>
      <c r="AF45" s="1452"/>
      <c r="AG45" s="1452"/>
      <c r="AH45" s="1452"/>
      <c r="AI45" s="1452"/>
      <c r="AJ45" s="1452"/>
      <c r="AK45" s="1452"/>
      <c r="AL45" s="1452"/>
      <c r="AM45" s="1452"/>
      <c r="AN45" s="1452"/>
      <c r="AO45" s="1452"/>
      <c r="AP45" s="1452"/>
      <c r="AQ45" s="1452"/>
      <c r="AR45" s="1452"/>
      <c r="AS45" s="1452"/>
      <c r="AT45" s="1452"/>
      <c r="AU45" s="1452"/>
      <c r="AV45" s="1452"/>
      <c r="AW45" s="1452">
        <f>OFFSET(AW45,0,-1)+1</f>
        <v>1</v>
      </c>
      <c r="AX45" s="1452">
        <f>OFFSET(AX45,0,-1)+1</f>
        <v>2</v>
      </c>
      <c r="AY45" s="2273">
        <f>OFFSET(AY45,0,-1)+1</f>
        <v>3</v>
      </c>
      <c r="AZ45" s="2273"/>
      <c r="BA45" s="1452">
        <f>OFFSET(BA45,0,-2)+1</f>
        <v>4</v>
      </c>
      <c r="BB45" s="1246">
        <f>OFFSET(BB45,0,-1)</f>
        <v>4</v>
      </c>
      <c r="BC45" s="1452">
        <f>OFFSET(BC45,0,-1)+1</f>
        <v>5</v>
      </c>
      <c r="BD45" s="512"/>
      <c r="BE45" s="512"/>
      <c r="BF45" s="512"/>
      <c r="BG45" s="512"/>
      <c r="BH45" s="512"/>
      <c r="BI45" s="497">
        <v>0</v>
      </c>
    </row>
    <row customHeight="1" ht="22.049999999999997">
      <c r="A46" s="1364" t="s">
        <v>258</v>
      </c>
      <c r="B46" s="1364"/>
      <c r="C46" s="1364"/>
      <c r="D46" s="1364"/>
      <c r="E46" s="2259">
        <v>1</v>
      </c>
      <c r="F46" s="1364"/>
      <c r="G46" s="1364"/>
      <c r="H46" s="1364"/>
      <c r="I46" s="1364"/>
      <c r="J46" s="1364"/>
      <c r="K46" s="1364"/>
      <c r="L46" s="1365"/>
      <c r="M46" s="1366"/>
      <c r="N46" s="1366"/>
      <c r="O46" s="1366"/>
      <c r="P46" s="1410"/>
      <c r="Q46" s="874"/>
      <c r="R46" s="356"/>
      <c r="S46" s="1458">
        <f>INDEX(PT_DIFFERENTIATION_NUM_NTAR,MATCH(A46,PT_DIFFERENTIATION_NTAR_ID,0))</f>
        <v>0</v>
      </c>
      <c r="T46" s="299" t="s">
        <v>126</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258</v>
      </c>
      <c r="B47" s="1364" t="s">
        <v>259</v>
      </c>
      <c r="C47" s="1364"/>
      <c r="D47" s="1364"/>
      <c r="E47" s="2260"/>
      <c r="F47" s="2259">
        <v>1</v>
      </c>
      <c r="G47" s="1364"/>
      <c r="H47" s="1364"/>
      <c r="I47" s="1364"/>
      <c r="J47" s="1364"/>
      <c r="K47" s="1364"/>
      <c r="L47" s="1365"/>
      <c r="M47" s="1366"/>
      <c r="N47" s="1366"/>
      <c r="O47" s="1366"/>
      <c r="P47" s="1411"/>
      <c r="Q47" s="1412"/>
      <c r="R47" s="354"/>
      <c r="S47" s="1458" t="str">
        <f>INDEX(PT_DIFFERENTIATION_NUM_TER,MATCH(B47,PT_DIFFERENTIATION_TER_ID,0))</f>
        <v>.</v>
      </c>
      <c r="T47" s="309" t="s">
        <v>409</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410</v>
      </c>
      <c r="BE47" s="501"/>
      <c r="BF47" s="501" t="str">
        <f>IF(T47="","",T47)</f>
        <v>Территория действия тарифа</v>
      </c>
      <c r="BG47" s="501"/>
      <c r="BH47" s="501"/>
      <c r="BI47" s="1156">
        <v>21</v>
      </c>
    </row>
    <row customHeight="1" ht="43.050000000000004">
      <c r="A48" s="1364" t="s">
        <v>258</v>
      </c>
      <c r="B48" s="1364" t="s">
        <v>259</v>
      </c>
      <c r="C48" s="1364" t="s">
        <v>260</v>
      </c>
      <c r="D48" s="1364"/>
      <c r="E48" s="2260"/>
      <c r="F48" s="2260"/>
      <c r="G48" s="2259">
        <v>1</v>
      </c>
      <c r="H48" s="1364"/>
      <c r="I48" s="1364"/>
      <c r="J48" s="1364"/>
      <c r="K48" s="1364"/>
      <c r="L48" s="1365"/>
      <c r="M48" s="1366"/>
      <c r="N48" s="1366"/>
      <c r="O48" s="1366"/>
      <c r="P48" s="1413"/>
      <c r="Q48" s="1412"/>
      <c r="R48" s="354"/>
      <c r="S48" s="1458" t="str">
        <f>INDEX(PT_DIFFERENTIATION_NUM_CS,MATCH(C48,PT_DIFFERENTIATION_CS_ID,0))</f>
        <v>..</v>
      </c>
      <c r="T48" s="310" t="s">
        <v>490</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491</v>
      </c>
      <c r="BE48" s="501"/>
      <c r="BF48" s="501" t="str">
        <f>IF(T48="","",T48)</f>
        <v>Наименование централизованной системы холодного водоснабжения</v>
      </c>
      <c r="BG48" s="501"/>
      <c r="BH48" s="501"/>
      <c r="BI48" s="1156">
        <v>41</v>
      </c>
    </row>
    <row s="1643" customFormat="1" customHeight="1" ht="0">
      <c r="A49" s="1344" t="s">
        <v>258</v>
      </c>
      <c r="B49" s="1344" t="s">
        <v>259</v>
      </c>
      <c r="C49" s="1344" t="s">
        <v>260</v>
      </c>
      <c r="D49" s="1344" t="s">
        <v>526</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414</v>
      </c>
      <c r="BE49" s="501"/>
      <c r="BF49" s="501" t="str">
        <f>IF(T49="","",T49)</f>
        <v/>
      </c>
      <c r="BG49" s="501"/>
      <c r="BH49" s="501"/>
      <c r="BI49" s="512">
        <v>0</v>
      </c>
    </row>
    <row s="1643" customFormat="1" customHeight="1" ht="0">
      <c r="A50" s="1344" t="s">
        <v>258</v>
      </c>
      <c r="B50" s="1344" t="s">
        <v>259</v>
      </c>
      <c r="C50" s="1344" t="s">
        <v>260</v>
      </c>
      <c r="D50" s="1344" t="s">
        <v>526</v>
      </c>
      <c r="E50" s="2260"/>
      <c r="F50" s="2260"/>
      <c r="G50" s="2260"/>
      <c r="H50" s="2260"/>
      <c r="I50" s="2257" t="str">
        <f>S49&amp;".1"</f>
        <v>.1</v>
      </c>
      <c r="J50" s="1344"/>
      <c r="K50" s="1344"/>
      <c r="L50" s="1347" t="s">
        <v>415</v>
      </c>
      <c r="M50" s="511"/>
      <c r="N50" s="511"/>
      <c r="O50" s="511"/>
      <c r="P50" s="2258">
        <v>1</v>
      </c>
      <c r="Q50" s="1463"/>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258</v>
      </c>
      <c r="B51" s="1344" t="s">
        <v>259</v>
      </c>
      <c r="C51" s="1344" t="s">
        <v>260</v>
      </c>
      <c r="D51" s="1344" t="s">
        <v>526</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258</v>
      </c>
      <c r="B52" s="1364" t="s">
        <v>259</v>
      </c>
      <c r="C52" s="1364" t="s">
        <v>260</v>
      </c>
      <c r="D52" s="1364" t="s">
        <v>526</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60" t="s">
        <v>63</v>
      </c>
      <c r="AB52" s="1735"/>
      <c r="AC52" s="1460" t="s">
        <v>63</v>
      </c>
      <c r="AD52" s="2186" t="s">
        <v>63</v>
      </c>
      <c r="AE52" s="2327"/>
      <c r="AF52" s="2206">
        <v>1</v>
      </c>
      <c r="AG52" s="2364"/>
      <c r="AH52" s="2108" t="s">
        <v>63</v>
      </c>
      <c r="AI52" s="2327"/>
      <c r="AJ52" s="2206">
        <v>1</v>
      </c>
      <c r="AK52" s="2328" t="s">
        <v>28</v>
      </c>
      <c r="AL52" s="2108" t="s">
        <v>63</v>
      </c>
      <c r="AM52" s="2193"/>
      <c r="AN52" s="2206">
        <v>1</v>
      </c>
      <c r="AO52" s="2358"/>
      <c r="AP52" s="2359" t="s">
        <v>63</v>
      </c>
      <c r="AQ52" s="312"/>
      <c r="AR52" s="1464">
        <v>1</v>
      </c>
      <c r="AS52" s="1467" t="s">
        <v>28</v>
      </c>
      <c r="AT52" s="752"/>
      <c r="AU52" s="1258"/>
      <c r="AV52" s="752"/>
      <c r="AW52" s="1258"/>
      <c r="AX52" s="1735"/>
      <c r="AY52" s="1460" t="s">
        <v>63</v>
      </c>
      <c r="AZ52" s="1735"/>
      <c r="BA52" s="1460" t="s">
        <v>63</v>
      </c>
      <c r="BB52" s="1349"/>
      <c r="BC52" s="2254" t="s">
        <v>512</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513</v>
      </c>
      <c r="AT53" s="1394"/>
      <c r="AU53" s="1497"/>
      <c r="AV53" s="1394"/>
      <c r="AW53" s="1497"/>
      <c r="AX53" s="1394"/>
      <c r="AY53" s="1394"/>
      <c r="AZ53" s="1394"/>
      <c r="BA53" s="1394"/>
      <c r="BB53" s="1398"/>
      <c r="BC53" s="2255"/>
      <c r="BE53" s="501"/>
      <c r="BF53" s="501"/>
      <c r="BG53" s="501"/>
      <c r="BH53" s="501"/>
      <c r="BI53" s="1156">
        <v>11</v>
      </c>
    </row>
    <row customHeight="1" ht="11.549999999999999">
      <c r="A54" s="1364" t="s">
        <v>258</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514</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258</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515</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258</v>
      </c>
      <c r="B56" s="1364" t="s">
        <v>259</v>
      </c>
      <c r="C56" s="1364" t="s">
        <v>260</v>
      </c>
      <c r="D56" s="1364" t="s">
        <v>526</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516</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258</v>
      </c>
      <c r="B57" s="1364" t="s">
        <v>259</v>
      </c>
      <c r="C57" s="1364" t="s">
        <v>260</v>
      </c>
      <c r="D57" s="1364" t="s">
        <v>526</v>
      </c>
      <c r="E57" s="2260"/>
      <c r="F57" s="2260"/>
      <c r="G57" s="2260"/>
      <c r="H57" s="2260"/>
      <c r="I57" s="2287"/>
      <c r="J57" s="2257"/>
      <c r="K57" s="1364"/>
      <c r="L57" s="1365"/>
      <c r="P57" s="2258"/>
      <c r="Q57" s="2258"/>
      <c r="R57" s="357"/>
      <c r="S57" s="1279"/>
      <c r="T57" s="288" t="s">
        <v>477</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258</v>
      </c>
      <c r="B58" s="1344" t="s">
        <v>259</v>
      </c>
      <c r="C58" s="1344" t="s">
        <v>260</v>
      </c>
      <c r="D58" s="1344" t="s">
        <v>526</v>
      </c>
      <c r="E58" s="2260"/>
      <c r="F58" s="2260"/>
      <c r="G58" s="2260"/>
      <c r="H58" s="2260"/>
      <c r="I58" s="2257"/>
      <c r="J58" s="1344"/>
      <c r="K58" s="1344"/>
      <c r="L58" s="1347"/>
      <c r="M58" s="511"/>
      <c r="N58" s="511"/>
      <c r="O58" s="511"/>
      <c r="P58" s="2258"/>
      <c r="Q58" s="1463"/>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258</v>
      </c>
      <c r="B59" s="1344" t="s">
        <v>259</v>
      </c>
      <c r="C59" s="1344" t="s">
        <v>260</v>
      </c>
      <c r="D59" s="1344" t="s">
        <v>526</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258</v>
      </c>
      <c r="B60" s="1344" t="s">
        <v>259</v>
      </c>
      <c r="C60" s="1344" t="s">
        <v>260</v>
      </c>
      <c r="D60" s="1315"/>
      <c r="E60" s="2260"/>
      <c r="F60" s="2260"/>
      <c r="G60" s="2259"/>
      <c r="H60" s="1315"/>
      <c r="I60" s="1315"/>
      <c r="J60" s="1315"/>
      <c r="K60" s="1315"/>
      <c r="L60" s="146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258</v>
      </c>
      <c r="B61" s="1344" t="s">
        <v>259</v>
      </c>
      <c r="C61" s="1315"/>
      <c r="D61" s="1315"/>
      <c r="E61" s="2260"/>
      <c r="F61" s="2259"/>
      <c r="G61" s="1315"/>
      <c r="H61" s="1315"/>
      <c r="I61" s="1315"/>
      <c r="J61" s="1315"/>
      <c r="K61" s="1315"/>
      <c r="L61" s="1465"/>
      <c r="M61" s="1322"/>
      <c r="N61" s="1322"/>
      <c r="P61" s="1317"/>
      <c r="Q61" s="1318"/>
      <c r="R61" s="1317"/>
      <c r="S61" s="1323"/>
      <c r="T61" s="1326" t="s">
        <v>232</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258</v>
      </c>
      <c r="B62" s="1344"/>
      <c r="C62" s="1344"/>
      <c r="D62" s="1344"/>
      <c r="E62" s="2259"/>
      <c r="F62" s="1344"/>
      <c r="G62" s="1344"/>
      <c r="H62" s="1344"/>
      <c r="I62" s="1344"/>
      <c r="J62" s="1344"/>
      <c r="K62" s="1344"/>
      <c r="L62" s="1347"/>
      <c r="M62" s="1322"/>
      <c r="N62" s="1322"/>
      <c r="O62" s="519"/>
      <c r="P62" s="381"/>
      <c r="Q62" s="1345"/>
      <c r="R62" s="381"/>
      <c r="S62" s="1323"/>
      <c r="T62" s="1326" t="s">
        <v>233</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65"/>
      <c r="M63" s="1322"/>
      <c r="N63" s="1322"/>
      <c r="P63" s="1317"/>
      <c r="Q63" s="1318"/>
      <c r="R63" s="1317"/>
      <c r="S63" s="1323"/>
      <c r="T63" s="1326" t="s">
        <v>240</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9.95">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19</v>
      </c>
    </row>
    <row customHeight="1" ht="14.699999999999998">
      <c r="O66" s="538"/>
      <c r="T66" s="1450"/>
      <c r="U66" s="1450"/>
      <c r="V66" s="1450"/>
      <c r="W66" s="1450"/>
      <c r="X66" s="1450"/>
      <c r="Y66" s="1450"/>
      <c r="Z66" s="1450"/>
      <c r="AA66" s="1450"/>
      <c r="AB66" s="1450"/>
      <c r="AC66" s="1450"/>
      <c r="AD66" s="1450"/>
      <c r="AE66" s="1450"/>
      <c r="AF66" s="1450"/>
      <c r="AG66" s="1450"/>
      <c r="AH66" s="1450"/>
      <c r="AI66" s="1450"/>
      <c r="AJ66" s="1450"/>
      <c r="AK66" s="1450"/>
      <c r="AL66" s="1450"/>
      <c r="AM66" s="1450"/>
      <c r="AN66" s="1450"/>
      <c r="AO66" s="1450"/>
      <c r="AP66" s="1450"/>
      <c r="AQ66" s="1450"/>
      <c r="AR66" s="1450"/>
      <c r="AS66" s="1450"/>
      <c r="AT66" s="1450"/>
      <c r="AU66" s="1450"/>
      <c r="AV66" s="1450"/>
      <c r="AW66" s="1450"/>
      <c r="AX66" s="1450"/>
      <c r="AY66" s="1450"/>
      <c r="AZ66" s="1450"/>
      <c r="BA66" s="1450"/>
      <c r="BB66" s="1450"/>
      <c r="BC66" s="1450"/>
      <c r="BI66" s="1156">
        <v>14</v>
      </c>
    </row>
    <row customHeight="1" ht="19.95">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19</v>
      </c>
    </row>
    <row customHeight="1" ht="14.699999999999998">
      <c r="O68" s="538"/>
      <c r="BI68" s="1156">
        <v>14</v>
      </c>
    </row>
    <row customHeight="1" ht="14.25" hidden="1">
      <c r="A69" s="1161" t="s">
        <v>84</v>
      </c>
      <c r="B69" s="1161">
        <v>0</v>
      </c>
      <c r="C69" s="1161">
        <v>0</v>
      </c>
      <c r="D69" s="1161">
        <v>0</v>
      </c>
      <c r="E69" s="1161">
        <v>0</v>
      </c>
      <c r="F69" s="1161">
        <v>0</v>
      </c>
      <c r="G69" s="1161">
        <v>0</v>
      </c>
      <c r="H69" s="1161">
        <v>0</v>
      </c>
      <c r="I69" s="1161">
        <v>0</v>
      </c>
      <c r="J69" s="1161">
        <v>0</v>
      </c>
      <c r="K69" s="1161">
        <v>0</v>
      </c>
      <c r="L69" s="1462">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8EB7A46-AC7E-D75D-5587-0.C44B8CAA}"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126</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409</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410</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527</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528</v>
      </c>
      <c r="AM4" s="501"/>
      <c r="AN4" s="501" t="str">
        <f>IF(T4="","",T4)</f>
        <v>Наименование централизованной системы водоотведения</v>
      </c>
      <c r="AO4" s="501"/>
      <c r="AP4" s="501"/>
      <c r="AQ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492</v>
      </c>
      <c r="U5" s="301"/>
      <c r="V5" s="2351"/>
      <c r="W5" s="2352"/>
      <c r="X5" s="2352"/>
      <c r="Y5" s="2352"/>
      <c r="Z5" s="2352"/>
      <c r="AA5" s="2352"/>
      <c r="AB5" s="2353"/>
      <c r="AC5" s="2354"/>
      <c r="AD5" s="2355"/>
      <c r="AE5" s="2355"/>
      <c r="AF5" s="2355"/>
      <c r="AG5" s="2355"/>
      <c r="AH5" s="2355"/>
      <c r="AI5" s="2355"/>
      <c r="AJ5" s="2356"/>
      <c r="AK5" s="1259" t="s">
        <v>493</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418</v>
      </c>
      <c r="P6" s="2258"/>
      <c r="Q6" s="2258">
        <v>1</v>
      </c>
      <c r="R6" s="358"/>
      <c r="S6" s="1494">
        <f>$J6</f>
      </c>
      <c r="T6" s="287" t="s">
        <v>419</v>
      </c>
      <c r="U6" s="301"/>
      <c r="V6" s="2246"/>
      <c r="W6" s="2247"/>
      <c r="X6" s="2247"/>
      <c r="Y6" s="2247"/>
      <c r="Z6" s="2247"/>
      <c r="AA6" s="2247"/>
      <c r="AB6" s="2248"/>
      <c r="AC6" s="2246"/>
      <c r="AD6" s="2247"/>
      <c r="AE6" s="2247"/>
      <c r="AF6" s="2247"/>
      <c r="AG6" s="2247"/>
      <c r="AH6" s="2247"/>
      <c r="AI6" s="2247"/>
      <c r="AJ6" s="2248"/>
      <c r="AK6" s="1308" t="s">
        <v>494</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1258"/>
      <c r="Y7" s="2266"/>
      <c r="Z7" s="2108" t="s">
        <v>63</v>
      </c>
      <c r="AA7" s="2266"/>
      <c r="AB7" s="2108" t="s">
        <v>63</v>
      </c>
      <c r="AC7" s="752"/>
      <c r="AD7" s="752"/>
      <c r="AE7" s="1258"/>
      <c r="AF7" s="2266"/>
      <c r="AG7" s="2108" t="s">
        <v>63</v>
      </c>
      <c r="AH7" s="2288"/>
      <c r="AI7" s="2108" t="s">
        <v>63</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495</v>
      </c>
      <c r="U9" s="368"/>
      <c r="V9" s="368"/>
      <c r="W9" s="368"/>
      <c r="X9" s="368"/>
      <c r="Y9" s="368"/>
      <c r="Z9" s="368"/>
      <c r="AA9" s="368"/>
      <c r="AB9" s="368"/>
      <c r="AC9" s="368"/>
      <c r="AD9" s="368"/>
      <c r="AE9" s="368"/>
      <c r="AF9" s="368"/>
      <c r="AG9" s="368"/>
      <c r="AH9" s="368"/>
      <c r="AI9" s="368"/>
      <c r="AJ9" s="368"/>
      <c r="AK9" s="1259" t="s">
        <v>496</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82"/>
      <c r="R10" s="357"/>
      <c r="S10" s="1279"/>
      <c r="T10" s="366" t="s">
        <v>424</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497</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232</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233</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63</v>
      </c>
      <c r="AH15" s="2268"/>
      <c r="AI15" s="2269" t="s">
        <v>63</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79"/>
      <c r="M18" s="1363"/>
      <c r="N18" s="1363"/>
      <c r="O18" s="1368" t="s">
        <v>427</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79"/>
      <c r="M19" s="1363"/>
      <c r="N19" s="1363"/>
      <c r="O19" s="1363"/>
      <c r="P19" s="1363"/>
      <c r="Q19" s="1372"/>
      <c r="R19" s="1372"/>
      <c r="S19" s="730"/>
      <c r="AB19" s="1367"/>
      <c r="AI19" s="1367"/>
      <c r="AL19" s="512"/>
      <c r="AM19" s="512"/>
      <c r="AN19" s="512"/>
      <c r="AO19" s="512"/>
      <c r="AP19" s="512"/>
      <c r="AQ19" s="1161">
        <v>0</v>
      </c>
    </row>
    <row s="1367" customFormat="1" customHeight="1" ht="12" hidden="1">
      <c r="L20" s="1479"/>
      <c r="M20" s="1363"/>
      <c r="N20" s="1363"/>
      <c r="O20" s="1365" t="s">
        <v>428</v>
      </c>
      <c r="P20" s="1363"/>
      <c r="Q20" s="1443"/>
      <c r="R20" s="1443"/>
      <c r="S20" s="730"/>
      <c r="T20" s="1161" t="s">
        <v>429</v>
      </c>
      <c r="Z20" s="187" t="s">
        <v>430</v>
      </c>
      <c r="AB20" s="187" t="s">
        <v>431</v>
      </c>
      <c r="AC20" s="1161" t="s">
        <v>429</v>
      </c>
      <c r="AG20" s="187" t="s">
        <v>432</v>
      </c>
      <c r="AI20" s="187" t="s">
        <v>431</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IF(TEMPLATE_GROUP="P",PT_P_FORM_VOTV_4_NAME_FORM,PT_R_FORM_VOTV_16_NAME_FORM)</f>
        <v>Форма 2. Информация о тарифах в сфере водоотведения на товары (услуги) организации водоотведения, подлежащих регулированию</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Q25" s="1156">
        <v>14</v>
      </c>
    </row>
    <row customHeight="1" ht="14.25">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Управление по государственному регулированию цен (тарифов) Ненецкого автономного округа</v>
      </c>
      <c r="W27" s="2252"/>
      <c r="X27" s="2252"/>
      <c r="Y27" s="2252"/>
      <c r="Z27" s="2252"/>
      <c r="AA27" s="2252"/>
      <c r="AB27" s="327"/>
      <c r="AC27" s="2252" t="str">
        <f>IF(TITLE_NAME_OR_PR_CHANGE="",IF(TITLE_NAME_OR_PR="","",TITLE_NAME_OR_PR),TITLE_NAME_OR_PR_CHANGE)</f>
        <v>Управление по государственному регулированию цен (тарифов) Ненецкого автономного округа</v>
      </c>
      <c r="AD27" s="2252"/>
      <c r="AE27" s="2252"/>
      <c r="AF27" s="2252"/>
      <c r="AG27" s="2252"/>
      <c r="AH27" s="2252"/>
      <c r="AI27" s="327"/>
      <c r="AJ27" s="327"/>
      <c r="AK27" s="281"/>
      <c r="AL27" s="369"/>
      <c r="AM27" s="369"/>
      <c r="AN27" s="369"/>
      <c r="AO27" s="369"/>
      <c r="AP27" s="369"/>
      <c r="AQ27" s="419">
        <v>0</v>
      </c>
    </row>
    <row s="1854" customFormat="1" customHeight="1" ht="18.75">
      <c r="A28" s="1369"/>
      <c r="B28" s="1369"/>
      <c r="C28" s="1369"/>
      <c r="D28" s="1369"/>
      <c r="E28" s="1369"/>
      <c r="F28" s="1369"/>
      <c r="G28" s="1369"/>
      <c r="H28" s="1369"/>
      <c r="I28" s="1369"/>
      <c r="J28" s="1369"/>
      <c r="K28" s="1369"/>
      <c r="L28" s="1370"/>
      <c r="M28" s="1369"/>
      <c r="N28" s="1369"/>
      <c r="O28" s="1369"/>
      <c r="S28" s="2251" t="s">
        <v>433</v>
      </c>
      <c r="T28" s="2251"/>
      <c r="U28" s="1373"/>
      <c r="V28" s="2265" t="str">
        <f>IF(TITLE_DATE_PR_CHANGE="",IF(TITLE_DATE_PR="","",TITLE_DATE_PR),TITLE_DATE_PR_CHANGE)</f>
        <v>45642</v>
      </c>
      <c r="W28" s="2265"/>
      <c r="X28" s="2265"/>
      <c r="Y28" s="2265"/>
      <c r="Z28" s="2265"/>
      <c r="AA28" s="2265"/>
      <c r="AB28" s="327"/>
      <c r="AC28" s="2265" t="str">
        <f>IF(TITLE_DATE_PR_CHANGE="",IF(TITLE_DATE_PR="","",TITLE_DATE_PR),TITLE_DATE_PR_CHANGE)</f>
        <v>45642</v>
      </c>
      <c r="AD28" s="2265"/>
      <c r="AE28" s="2265"/>
      <c r="AF28" s="2265"/>
      <c r="AG28" s="2265"/>
      <c r="AH28" s="2265"/>
      <c r="AI28" s="327"/>
      <c r="AJ28" s="327"/>
      <c r="AK28" s="281"/>
      <c r="AL28" s="369"/>
      <c r="AM28" s="369"/>
      <c r="AN28" s="369"/>
      <c r="AO28" s="369"/>
      <c r="AP28" s="369"/>
      <c r="AQ28" s="419">
        <v>0</v>
      </c>
    </row>
    <row s="1854" customFormat="1" customHeight="1" ht="18.75">
      <c r="A29" s="1369"/>
      <c r="B29" s="1369"/>
      <c r="C29" s="1369"/>
      <c r="D29" s="1369"/>
      <c r="E29" s="1369"/>
      <c r="F29" s="1369"/>
      <c r="G29" s="1369"/>
      <c r="H29" s="1369"/>
      <c r="I29" s="1369"/>
      <c r="J29" s="1369"/>
      <c r="K29" s="1369"/>
      <c r="L29" s="1370"/>
      <c r="M29" s="1369"/>
      <c r="N29" s="1369"/>
      <c r="O29" s="1369"/>
      <c r="S29" s="2251" t="s">
        <v>434</v>
      </c>
      <c r="T29" s="2251"/>
      <c r="U29" s="1373"/>
      <c r="V29" s="2252" t="str">
        <f>IF(TITLE_NUMBER_PR_CHANGE="",IF(TITLE_NUMBER_PR="","",TITLE_NUMBER_PR),TITLE_NUMBER_PR_CHANGE)</f>
        <v>58</v>
      </c>
      <c r="W29" s="2252"/>
      <c r="X29" s="2252"/>
      <c r="Y29" s="2252"/>
      <c r="Z29" s="2252"/>
      <c r="AA29" s="2252"/>
      <c r="AB29" s="327"/>
      <c r="AC29" s="2252" t="str">
        <f>IF(TITLE_NUMBER_PR_CHANGE="",IF(TITLE_NUMBER_PR="","",TITLE_NUMBER_PR),TITLE_NUMBER_PR_CHANGE)</f>
        <v>58</v>
      </c>
      <c r="AD29" s="2252"/>
      <c r="AE29" s="2252"/>
      <c r="AF29" s="2252"/>
      <c r="AG29" s="2252"/>
      <c r="AH29" s="2252"/>
      <c r="AI29" s="327"/>
      <c r="AJ29" s="327"/>
      <c r="AK29" s="281"/>
      <c r="AL29" s="369"/>
      <c r="AM29" s="369"/>
      <c r="AN29" s="369"/>
      <c r="AO29" s="369"/>
      <c r="AP29" s="369"/>
      <c r="AQ29" s="419">
        <v>0</v>
      </c>
    </row>
    <row s="1854" customFormat="1" customHeight="1" ht="18.75">
      <c r="A30" s="1369"/>
      <c r="B30" s="1369"/>
      <c r="C30" s="1369"/>
      <c r="D30" s="1369"/>
      <c r="E30" s="1369"/>
      <c r="F30" s="1369"/>
      <c r="G30" s="1369"/>
      <c r="H30" s="1369"/>
      <c r="I30" s="1369"/>
      <c r="J30" s="1369"/>
      <c r="K30" s="1369"/>
      <c r="L30" s="1370"/>
      <c r="M30" s="1369"/>
      <c r="N30" s="1369"/>
      <c r="O30" s="1369"/>
      <c r="S30" s="2251" t="s">
        <v>44</v>
      </c>
      <c r="T30" s="2251"/>
      <c r="U30" s="1373"/>
      <c r="V30" s="2252" t="str">
        <f>IF(TITLE_IST_PUB_CHANGE="",IF(TITLE_IST_PUB="","",TITLE_IST_PUB),TITLE_IST_PUB_CHANGE)</f>
        <v>Официальный интернет портал правовой информации http://pravo.gov.ru </v>
      </c>
      <c r="W30" s="2252"/>
      <c r="X30" s="2252"/>
      <c r="Y30" s="2252"/>
      <c r="Z30" s="2252"/>
      <c r="AA30" s="2252"/>
      <c r="AB30" s="327"/>
      <c r="AC30" s="2252" t="str">
        <f>IF(TITLE_IST_PUB_CHANGE="",IF(TITLE_IST_PUB="","",TITLE_IST_PUB),TITLE_IST_PUB_CHANGE)</f>
        <v>Официальный интернет портал правовой информации http://pravo.gov.ru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435</v>
      </c>
      <c r="T32" s="2251"/>
      <c r="U32" s="1373"/>
      <c r="V32" s="2265" t="str">
        <f>IF(TITLE_DATE_PR_CHANGE="",IF(TITLE_DATE_PR="","",TITLE_DATE_PR),TITLE_DATE_PR_CHANGE)</f>
        <v>45642</v>
      </c>
      <c r="W32" s="2265"/>
      <c r="X32" s="2265"/>
      <c r="Y32" s="2265"/>
      <c r="Z32" s="2265"/>
      <c r="AA32" s="2265"/>
      <c r="AB32" s="327"/>
      <c r="AC32" s="2265" t="str">
        <f>IF(TITLE_DATE_PR_CHANGE="",IF(TITLE_DATE_PR="","",TITLE_DATE_PR),TITLE_DATE_PR_CHANGE)</f>
        <v>45642</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436</v>
      </c>
      <c r="T33" s="2251"/>
      <c r="U33" s="1373"/>
      <c r="V33" s="2252" t="str">
        <f>IF(TITLE_NUMBER_PR_CHANGE="",IF(TITLE_NUMBER_PR="","",TITLE_NUMBER_PR),TITLE_NUMBER_PR_CHANGE)</f>
        <v>58</v>
      </c>
      <c r="W33" s="2252"/>
      <c r="X33" s="2252"/>
      <c r="Y33" s="2252"/>
      <c r="Z33" s="2252"/>
      <c r="AA33" s="2252"/>
      <c r="AB33" s="327"/>
      <c r="AC33" s="2252" t="str">
        <f>IF(TITLE_NUMBER_PR_CHANGE="",IF(TITLE_NUMBER_PR="","",TITLE_NUMBER_PR),TITLE_NUMBER_PR_CHANGE)</f>
        <v>58</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327"/>
      <c r="X34" s="327"/>
      <c r="Y34" s="327"/>
      <c r="Z34" s="327"/>
      <c r="AA34" s="327"/>
      <c r="AB34" s="279" t="s">
        <v>437</v>
      </c>
      <c r="AC34" s="327"/>
      <c r="AD34" s="327"/>
      <c r="AE34" s="327"/>
      <c r="AF34" s="327"/>
      <c r="AG34" s="327"/>
      <c r="AH34" s="327"/>
      <c r="AI34" s="279" t="s">
        <v>437</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312</v>
      </c>
      <c r="T36" s="2128"/>
      <c r="U36" s="2128"/>
      <c r="V36" s="2128"/>
      <c r="W36" s="2128"/>
      <c r="X36" s="2128"/>
      <c r="Y36" s="2128"/>
      <c r="Z36" s="2128"/>
      <c r="AA36" s="2128"/>
      <c r="AB36" s="2128"/>
      <c r="AC36" s="2128"/>
      <c r="AD36" s="2128"/>
      <c r="AE36" s="2128"/>
      <c r="AF36" s="2128"/>
      <c r="AG36" s="2128"/>
      <c r="AH36" s="2128"/>
      <c r="AI36" s="2128"/>
      <c r="AJ36" s="2128"/>
      <c r="AK36" s="2128" t="s">
        <v>313</v>
      </c>
      <c r="AQ36" s="1156">
        <v>14</v>
      </c>
    </row>
    <row customHeight="1" ht="14.699999999999998">
      <c r="Q37" s="377"/>
      <c r="R37" s="377"/>
      <c r="S37" s="2274" t="s">
        <v>90</v>
      </c>
      <c r="T37" s="2210" t="s">
        <v>438</v>
      </c>
      <c r="U37" s="302"/>
      <c r="V37" s="2275" t="s">
        <v>439</v>
      </c>
      <c r="W37" s="2276"/>
      <c r="X37" s="2276"/>
      <c r="Y37" s="2276"/>
      <c r="Z37" s="2276"/>
      <c r="AA37" s="2277"/>
      <c r="AB37" s="2278" t="s">
        <v>440</v>
      </c>
      <c r="AC37" s="2275" t="s">
        <v>439</v>
      </c>
      <c r="AD37" s="2276"/>
      <c r="AE37" s="2276"/>
      <c r="AF37" s="2276"/>
      <c r="AG37" s="2276"/>
      <c r="AH37" s="2277"/>
      <c r="AI37" s="2278" t="s">
        <v>441</v>
      </c>
      <c r="AJ37" s="2281" t="s">
        <v>442</v>
      </c>
      <c r="AK37" s="2128"/>
      <c r="AQ37" s="1156">
        <v>14</v>
      </c>
    </row>
    <row customHeight="1" ht="35.699999999999996">
      <c r="Q38" s="377"/>
      <c r="R38" s="377"/>
      <c r="S38" s="2274"/>
      <c r="T38" s="2210"/>
      <c r="U38" s="1032"/>
      <c r="V38" s="1484" t="s">
        <v>498</v>
      </c>
      <c r="W38" s="2263" t="s">
        <v>445</v>
      </c>
      <c r="X38" s="2264"/>
      <c r="Y38" s="2263" t="s">
        <v>446</v>
      </c>
      <c r="Z38" s="2270"/>
      <c r="AA38" s="2264"/>
      <c r="AB38" s="2279"/>
      <c r="AC38" s="1484" t="s">
        <v>498</v>
      </c>
      <c r="AD38" s="2263" t="s">
        <v>445</v>
      </c>
      <c r="AE38" s="2264"/>
      <c r="AF38" s="2263" t="s">
        <v>446</v>
      </c>
      <c r="AG38" s="2270"/>
      <c r="AH38" s="2264"/>
      <c r="AI38" s="2279"/>
      <c r="AJ38" s="2282"/>
      <c r="AK38" s="2128"/>
      <c r="AQ38" s="1156">
        <v>34</v>
      </c>
    </row>
    <row customHeight="1" ht="90.3">
      <c r="A39" s="1371"/>
      <c r="B39" s="1371" t="s">
        <v>138</v>
      </c>
      <c r="C39" s="1371" t="s">
        <v>139</v>
      </c>
      <c r="D39" s="1371" t="s">
        <v>140</v>
      </c>
      <c r="E39" s="1365" t="s">
        <v>447</v>
      </c>
      <c r="F39" s="1365" t="s">
        <v>448</v>
      </c>
      <c r="G39" s="1365" t="s">
        <v>449</v>
      </c>
      <c r="H39" s="1365"/>
      <c r="I39" s="1365" t="s">
        <v>499</v>
      </c>
      <c r="J39" s="1365" t="s">
        <v>452</v>
      </c>
      <c r="K39" s="1365" t="s">
        <v>500</v>
      </c>
      <c r="L39" s="1365" t="s">
        <v>428</v>
      </c>
      <c r="Q39" s="377"/>
      <c r="R39" s="377"/>
      <c r="S39" s="2274"/>
      <c r="T39" s="2210"/>
      <c r="U39" s="303"/>
      <c r="V39" s="1484" t="s">
        <v>529</v>
      </c>
      <c r="W39" s="1223" t="s">
        <v>530</v>
      </c>
      <c r="X39" s="1223" t="s">
        <v>503</v>
      </c>
      <c r="Y39" s="1490" t="s">
        <v>456</v>
      </c>
      <c r="Z39" s="2271" t="s">
        <v>457</v>
      </c>
      <c r="AA39" s="2272"/>
      <c r="AB39" s="2280"/>
      <c r="AC39" s="1484" t="s">
        <v>529</v>
      </c>
      <c r="AD39" s="1223" t="s">
        <v>530</v>
      </c>
      <c r="AE39" s="1223" t="s">
        <v>503</v>
      </c>
      <c r="AF39" s="1490" t="s">
        <v>456</v>
      </c>
      <c r="AG39" s="2271" t="s">
        <v>457</v>
      </c>
      <c r="AH39" s="2272"/>
      <c r="AI39" s="2280"/>
      <c r="AJ39" s="2283"/>
      <c r="AK39" s="2128"/>
      <c r="AQ39" s="1156">
        <v>86</v>
      </c>
    </row>
    <row s="1642" customFormat="1" customHeight="1" ht="11.25" hidden="1">
      <c r="A40" s="1371"/>
      <c r="B40" s="1371"/>
      <c r="C40" s="1371"/>
      <c r="D40" s="1371"/>
      <c r="E40" s="1371"/>
      <c r="F40" s="1371"/>
      <c r="G40" s="1371"/>
      <c r="H40" s="1371"/>
      <c r="I40" s="1371"/>
      <c r="J40" s="1371"/>
      <c r="K40" s="1371"/>
      <c r="L40" s="1365"/>
      <c r="M40" s="1363"/>
      <c r="N40" s="1363"/>
      <c r="O40" s="1363"/>
      <c r="P40" s="1247"/>
      <c r="Q40" s="1248"/>
      <c r="R40" s="1255">
        <v>1</v>
      </c>
      <c r="S40" s="1278" t="s">
        <v>112</v>
      </c>
      <c r="T40" s="1256" t="s">
        <v>113</v>
      </c>
      <c r="U40" s="1246" t="str">
        <f>OFFSET(U40,0,-1)</f>
        <v>2</v>
      </c>
      <c r="V40" s="1483">
        <f>OFFSET(V40,0,-1)+1</f>
        <v>3</v>
      </c>
      <c r="W40" s="1483">
        <f>OFFSET(W40,0,-1)+1</f>
        <v>4</v>
      </c>
      <c r="X40" s="1483">
        <f>OFFSET(X40,0,-1)+1</f>
        <v>5</v>
      </c>
      <c r="Y40" s="1483">
        <f>OFFSET(Y40,0,-1)+1</f>
        <v>6</v>
      </c>
      <c r="Z40" s="2273">
        <f>OFFSET(Z40,0,-1)+1</f>
        <v>7</v>
      </c>
      <c r="AA40" s="2273"/>
      <c r="AB40" s="1483">
        <f>OFFSET(AB40,0,-2)+1</f>
        <v>8</v>
      </c>
      <c r="AC40" s="1483">
        <f>OFFSET(AC40,0,-1)+1</f>
        <v>9</v>
      </c>
      <c r="AD40" s="1483">
        <f>OFFSET(AD40,0,-1)+1</f>
        <v>10</v>
      </c>
      <c r="AE40" s="1483">
        <f>OFFSET(AE40,0,-1)+1</f>
        <v>11</v>
      </c>
      <c r="AF40" s="1483">
        <f>OFFSET(AF40,0,-1)+1</f>
        <v>12</v>
      </c>
      <c r="AG40" s="2273">
        <f>OFFSET(AG40,0,-1)+1</f>
        <v>13</v>
      </c>
      <c r="AH40" s="2273"/>
      <c r="AI40" s="1483">
        <f>OFFSET(AI40,0,-2)+1</f>
        <v>14</v>
      </c>
      <c r="AJ40" s="1246">
        <f>OFFSET(AJ40,0,-1)</f>
        <v>14</v>
      </c>
      <c r="AK40" s="1483">
        <f>OFFSET(AK40,0,-1)+1</f>
        <v>15</v>
      </c>
      <c r="AL40" s="512"/>
      <c r="AM40" s="512"/>
      <c r="AN40" s="512"/>
      <c r="AO40" s="512"/>
      <c r="AP40" s="512"/>
      <c r="AQ40" s="497">
        <v>0</v>
      </c>
    </row>
    <row customHeight="1" ht="24">
      <c r="A41" s="1364" t="s">
        <v>278</v>
      </c>
      <c r="B41" s="1364"/>
      <c r="C41" s="1364"/>
      <c r="D41" s="1364"/>
      <c r="E41" s="2259">
        <v>1</v>
      </c>
      <c r="F41" s="1364"/>
      <c r="G41" s="1364"/>
      <c r="H41" s="1364"/>
      <c r="I41" s="1364"/>
      <c r="J41" s="1364"/>
      <c r="K41" s="1364"/>
      <c r="L41" s="1365"/>
      <c r="M41" s="1366"/>
      <c r="N41" s="1366"/>
      <c r="O41" s="1366"/>
      <c r="P41" s="362"/>
      <c r="Q41" s="361"/>
      <c r="R41" s="356"/>
      <c r="S41" s="1494">
        <f>INDEX(PT_DIFFERENTIATION_NUM_NTAR,MATCH(A41,PT_DIFFERENTIATION_NTAR_ID,0))</f>
        <v>0</v>
      </c>
      <c r="T41" s="299" t="s">
        <v>126</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278</v>
      </c>
      <c r="B42" s="1364" t="s">
        <v>279</v>
      </c>
      <c r="C42" s="1364"/>
      <c r="D42" s="1364"/>
      <c r="E42" s="2260"/>
      <c r="F42" s="2259">
        <v>1</v>
      </c>
      <c r="G42" s="1364"/>
      <c r="H42" s="1364"/>
      <c r="I42" s="1364"/>
      <c r="J42" s="1364"/>
      <c r="K42" s="1364"/>
      <c r="L42" s="1365"/>
      <c r="M42" s="1366"/>
      <c r="N42" s="1366"/>
      <c r="O42" s="1366"/>
      <c r="P42" s="1488"/>
      <c r="Q42" s="353"/>
      <c r="R42" s="354"/>
      <c r="S42" s="1494" t="str">
        <f>INDEX(PT_DIFFERENTIATION_NUM_TER,MATCH(B42,PT_DIFFERENTIATION_TER_ID,0))</f>
        <v>.</v>
      </c>
      <c r="T42" s="309" t="s">
        <v>409</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410</v>
      </c>
      <c r="AM42" s="501"/>
      <c r="AN42" s="501" t="str">
        <f>IF(T42="","",T42)</f>
        <v>Территория действия тарифа</v>
      </c>
      <c r="AO42" s="501"/>
      <c r="AP42" s="501"/>
      <c r="AQ42" s="1156">
        <v>23</v>
      </c>
    </row>
    <row customHeight="1" ht="24">
      <c r="A43" s="1364" t="s">
        <v>278</v>
      </c>
      <c r="B43" s="1364" t="s">
        <v>279</v>
      </c>
      <c r="C43" s="1364" t="s">
        <v>280</v>
      </c>
      <c r="D43" s="1364"/>
      <c r="E43" s="2260"/>
      <c r="F43" s="2260"/>
      <c r="G43" s="2259">
        <v>1</v>
      </c>
      <c r="H43" s="1364"/>
      <c r="I43" s="1364"/>
      <c r="J43" s="1364"/>
      <c r="K43" s="1364"/>
      <c r="L43" s="1365"/>
      <c r="M43" s="1366"/>
      <c r="N43" s="1366"/>
      <c r="O43" s="1366"/>
      <c r="P43" s="355"/>
      <c r="Q43" s="353"/>
      <c r="R43" s="354"/>
      <c r="S43" s="1494" t="str">
        <f>INDEX(PT_DIFFERENTIATION_NUM_CS,MATCH(C43,PT_DIFFERENTIATION_CS_ID,0))</f>
        <v>..</v>
      </c>
      <c r="T43" s="310" t="s">
        <v>527</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528</v>
      </c>
      <c r="AM43" s="501"/>
      <c r="AN43" s="501" t="str">
        <f>IF(T43="","",T43)</f>
        <v>Наименование централизованной системы водоотведения</v>
      </c>
      <c r="AO43" s="501"/>
      <c r="AP43" s="501"/>
      <c r="AQ43" s="1156">
        <v>23</v>
      </c>
    </row>
    <row customHeight="1" ht="24">
      <c r="A44" s="1364" t="s">
        <v>278</v>
      </c>
      <c r="B44" s="1364" t="s">
        <v>279</v>
      </c>
      <c r="C44" s="1364" t="s">
        <v>280</v>
      </c>
      <c r="D44" s="1364" t="s">
        <v>531</v>
      </c>
      <c r="E44" s="2260"/>
      <c r="F44" s="2260"/>
      <c r="G44" s="2260"/>
      <c r="H44" s="2260"/>
      <c r="I44" s="2257" t="str">
        <f>S43&amp;".1"</f>
        <v>...1</v>
      </c>
      <c r="J44" s="1364"/>
      <c r="K44" s="1364"/>
      <c r="L44" s="1365"/>
      <c r="P44" s="2258">
        <v>1</v>
      </c>
      <c r="Q44" s="1482"/>
      <c r="R44" s="357"/>
      <c r="S44" s="1494" t="str">
        <f>$I44</f>
        <v>...1</v>
      </c>
      <c r="T44" s="286" t="s">
        <v>492</v>
      </c>
      <c r="U44" s="301"/>
      <c r="V44" s="2351"/>
      <c r="W44" s="2352"/>
      <c r="X44" s="2352"/>
      <c r="Y44" s="2352"/>
      <c r="Z44" s="2352"/>
      <c r="AA44" s="2352"/>
      <c r="AB44" s="2353"/>
      <c r="AC44" s="2354"/>
      <c r="AD44" s="2355"/>
      <c r="AE44" s="2355"/>
      <c r="AF44" s="2355"/>
      <c r="AG44" s="2355"/>
      <c r="AH44" s="2355"/>
      <c r="AI44" s="2355"/>
      <c r="AJ44" s="2356"/>
      <c r="AK44" s="1259" t="s">
        <v>493</v>
      </c>
      <c r="AM44" s="501"/>
      <c r="AN44" s="501" t="str">
        <f>IF(T44="","",T44)</f>
        <v>Наименование признака дифференциации</v>
      </c>
      <c r="AO44" s="501"/>
      <c r="AP44" s="501"/>
      <c r="AQ44" s="1156">
        <v>23</v>
      </c>
    </row>
    <row customHeight="1" ht="24">
      <c r="A45" s="1364" t="s">
        <v>278</v>
      </c>
      <c r="B45" s="1364" t="s">
        <v>279</v>
      </c>
      <c r="C45" s="1364" t="s">
        <v>280</v>
      </c>
      <c r="D45" s="1364" t="s">
        <v>531</v>
      </c>
      <c r="E45" s="2260"/>
      <c r="F45" s="2260"/>
      <c r="G45" s="2260"/>
      <c r="H45" s="2260"/>
      <c r="I45" s="2287"/>
      <c r="J45" s="2257" t="str">
        <f>I44&amp;".1"</f>
        <v>...1.1</v>
      </c>
      <c r="K45" s="1364"/>
      <c r="L45" s="1365" t="s">
        <v>418</v>
      </c>
      <c r="P45" s="2258"/>
      <c r="Q45" s="2258">
        <v>1</v>
      </c>
      <c r="R45" s="358"/>
      <c r="S45" s="1494" t="str">
        <f>$J45</f>
        <v>...1.1</v>
      </c>
      <c r="T45" s="287" t="s">
        <v>419</v>
      </c>
      <c r="U45" s="301"/>
      <c r="V45" s="2246"/>
      <c r="W45" s="2247"/>
      <c r="X45" s="2247"/>
      <c r="Y45" s="2247"/>
      <c r="Z45" s="2247"/>
      <c r="AA45" s="2247"/>
      <c r="AB45" s="2248"/>
      <c r="AC45" s="2246"/>
      <c r="AD45" s="2247"/>
      <c r="AE45" s="2247"/>
      <c r="AF45" s="2247"/>
      <c r="AG45" s="2247"/>
      <c r="AH45" s="2247"/>
      <c r="AI45" s="2247"/>
      <c r="AJ45" s="2248"/>
      <c r="AK45" s="1308" t="s">
        <v>494</v>
      </c>
      <c r="AM45" s="501"/>
      <c r="AN45" s="501" t="str">
        <f>IF(T45="","",T45)</f>
        <v>Группа потребителей</v>
      </c>
      <c r="AO45" s="501"/>
      <c r="AP45" s="501"/>
      <c r="AQ45" s="1156">
        <v>23</v>
      </c>
    </row>
    <row customHeight="1" ht="24">
      <c r="A46" s="1364" t="s">
        <v>278</v>
      </c>
      <c r="B46" s="1364" t="s">
        <v>279</v>
      </c>
      <c r="C46" s="1364" t="s">
        <v>280</v>
      </c>
      <c r="D46" s="1364" t="s">
        <v>531</v>
      </c>
      <c r="E46" s="2260"/>
      <c r="F46" s="2260"/>
      <c r="G46" s="2260"/>
      <c r="H46" s="2260"/>
      <c r="I46" s="2287"/>
      <c r="J46" s="2287"/>
      <c r="K46" s="2257" t="str">
        <f>J45&amp;".1"</f>
        <v>...1.1.1</v>
      </c>
      <c r="L46" s="1365"/>
      <c r="P46" s="2258"/>
      <c r="Q46" s="2258"/>
      <c r="R46" s="358">
        <v>1</v>
      </c>
      <c r="S46" s="1494" t="str">
        <f>$K46</f>
        <v>...1.1.1</v>
      </c>
      <c r="T46" s="1438"/>
      <c r="U46" s="301"/>
      <c r="V46" s="1361"/>
      <c r="W46" s="1361"/>
      <c r="X46" s="1362"/>
      <c r="Y46" s="2268"/>
      <c r="Z46" s="2269" t="s">
        <v>63</v>
      </c>
      <c r="AA46" s="2268"/>
      <c r="AB46" s="2269" t="s">
        <v>63</v>
      </c>
      <c r="AC46" s="752"/>
      <c r="AD46" s="752"/>
      <c r="AE46" s="1258"/>
      <c r="AF46" s="2266"/>
      <c r="AG46" s="2108" t="s">
        <v>63</v>
      </c>
      <c r="AH46" s="2288"/>
      <c r="AI46" s="2108" t="s">
        <v>19</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278</v>
      </c>
      <c r="B47" s="1364" t="s">
        <v>279</v>
      </c>
      <c r="C47" s="1364" t="s">
        <v>280</v>
      </c>
      <c r="D47" s="1364" t="s">
        <v>531</v>
      </c>
      <c r="E47" s="2260"/>
      <c r="F47" s="2260"/>
      <c r="G47" s="2260"/>
      <c r="H47" s="2260"/>
      <c r="I47" s="2287"/>
      <c r="J47" s="2287"/>
      <c r="K47" s="2257"/>
      <c r="L47" s="1365"/>
      <c r="P47" s="2258"/>
      <c r="Q47" s="2258"/>
      <c r="R47" s="358"/>
      <c r="S47" s="1491"/>
      <c r="T47" s="301"/>
      <c r="U47" s="301"/>
      <c r="V47" s="1361"/>
      <c r="W47" s="1361"/>
      <c r="X47" s="329" t="str">
        <f>Y46&amp;"-"&amp;AA46</f>
        <v>-</v>
      </c>
      <c r="Y47" s="2269"/>
      <c r="Z47" s="2269"/>
      <c r="AA47" s="2269"/>
      <c r="AB47" s="2269"/>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278</v>
      </c>
      <c r="B48" s="1364" t="s">
        <v>279</v>
      </c>
      <c r="C48" s="1364" t="s">
        <v>280</v>
      </c>
      <c r="D48" s="1364" t="s">
        <v>531</v>
      </c>
      <c r="E48" s="2260"/>
      <c r="F48" s="2260"/>
      <c r="G48" s="2260"/>
      <c r="H48" s="2260"/>
      <c r="I48" s="2287"/>
      <c r="J48" s="2257"/>
      <c r="K48" s="1364"/>
      <c r="L48" s="1365"/>
      <c r="P48" s="2258"/>
      <c r="Q48" s="2258"/>
      <c r="R48" s="357"/>
      <c r="S48" s="1279"/>
      <c r="T48" s="288" t="s">
        <v>495</v>
      </c>
      <c r="U48" s="368"/>
      <c r="V48" s="368"/>
      <c r="W48" s="368"/>
      <c r="X48" s="368"/>
      <c r="Y48" s="368"/>
      <c r="Z48" s="368"/>
      <c r="AA48" s="368"/>
      <c r="AB48" s="368"/>
      <c r="AC48" s="368"/>
      <c r="AD48" s="368"/>
      <c r="AE48" s="368"/>
      <c r="AF48" s="368"/>
      <c r="AG48" s="368"/>
      <c r="AH48" s="368"/>
      <c r="AI48" s="368"/>
      <c r="AJ48" s="368"/>
      <c r="AK48" s="1259" t="s">
        <v>496</v>
      </c>
      <c r="AM48" s="501"/>
      <c r="AN48" s="501" t="str">
        <f>IF(T48="","",T48)</f>
        <v>Добавить значение признака дифференциации</v>
      </c>
      <c r="AO48" s="501"/>
      <c r="AP48" s="501"/>
      <c r="AQ48" s="1156">
        <v>20</v>
      </c>
    </row>
    <row customHeight="1" ht="22.049999999999997">
      <c r="A49" s="1364" t="s">
        <v>278</v>
      </c>
      <c r="B49" s="1364" t="s">
        <v>279</v>
      </c>
      <c r="C49" s="1364" t="s">
        <v>280</v>
      </c>
      <c r="D49" s="1364" t="s">
        <v>531</v>
      </c>
      <c r="E49" s="2260"/>
      <c r="F49" s="2260"/>
      <c r="G49" s="2260"/>
      <c r="H49" s="2260"/>
      <c r="I49" s="2257"/>
      <c r="J49" s="1364"/>
      <c r="K49" s="1364"/>
      <c r="L49" s="1365"/>
      <c r="P49" s="2258"/>
      <c r="Q49" s="1482"/>
      <c r="R49" s="357"/>
      <c r="S49" s="1279"/>
      <c r="T49" s="366" t="s">
        <v>424</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278</v>
      </c>
      <c r="B50" s="1364" t="s">
        <v>279</v>
      </c>
      <c r="C50" s="1364" t="s">
        <v>280</v>
      </c>
      <c r="D50" s="1364" t="s">
        <v>531</v>
      </c>
      <c r="E50" s="2260"/>
      <c r="F50" s="2260"/>
      <c r="G50" s="2260"/>
      <c r="H50" s="2259"/>
      <c r="I50" s="1364"/>
      <c r="J50" s="1364"/>
      <c r="K50" s="1364"/>
      <c r="L50" s="1365"/>
      <c r="M50" s="1366"/>
      <c r="N50" s="1366"/>
      <c r="O50" s="538"/>
      <c r="P50" s="361"/>
      <c r="Q50" s="376"/>
      <c r="R50" s="356"/>
      <c r="S50" s="1279"/>
      <c r="T50" s="373" t="s">
        <v>497</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278</v>
      </c>
      <c r="B51" s="1344" t="s">
        <v>279</v>
      </c>
      <c r="C51" s="1315"/>
      <c r="D51" s="1315"/>
      <c r="E51" s="2260"/>
      <c r="F51" s="2259"/>
      <c r="G51" s="1315"/>
      <c r="H51" s="1315"/>
      <c r="I51" s="1315"/>
      <c r="J51" s="1315"/>
      <c r="K51" s="1315"/>
      <c r="L51" s="1495"/>
      <c r="M51" s="1322"/>
      <c r="N51" s="1322"/>
      <c r="P51" s="1317"/>
      <c r="Q51" s="1318"/>
      <c r="R51" s="1317"/>
      <c r="S51" s="1323"/>
      <c r="T51" s="1326" t="s">
        <v>232</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278</v>
      </c>
      <c r="B52" s="1344"/>
      <c r="C52" s="1344"/>
      <c r="D52" s="1344"/>
      <c r="E52" s="2259"/>
      <c r="F52" s="1344"/>
      <c r="G52" s="1344"/>
      <c r="H52" s="1344"/>
      <c r="I52" s="1344"/>
      <c r="J52" s="1344"/>
      <c r="K52" s="1344"/>
      <c r="L52" s="1347"/>
      <c r="M52" s="1322"/>
      <c r="N52" s="1322"/>
      <c r="O52" s="519"/>
      <c r="P52" s="381"/>
      <c r="Q52" s="1345"/>
      <c r="R52" s="381"/>
      <c r="S52" s="1323"/>
      <c r="T52" s="1326" t="s">
        <v>233</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95"/>
      <c r="M53" s="1322"/>
      <c r="N53" s="1322"/>
      <c r="P53" s="1317"/>
      <c r="Q53" s="1318"/>
      <c r="R53" s="1317"/>
      <c r="S53" s="1323"/>
      <c r="T53" s="1326" t="s">
        <v>240</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84</v>
      </c>
      <c r="B58" s="1161">
        <v>0</v>
      </c>
      <c r="C58" s="1161">
        <v>0</v>
      </c>
      <c r="D58" s="1161">
        <v>0</v>
      </c>
      <c r="E58" s="1161">
        <v>0</v>
      </c>
      <c r="F58" s="1161">
        <v>0</v>
      </c>
      <c r="G58" s="1161">
        <v>0</v>
      </c>
      <c r="H58" s="1161">
        <v>0</v>
      </c>
      <c r="I58" s="1161">
        <v>0</v>
      </c>
      <c r="J58" s="1161">
        <v>0</v>
      </c>
      <c r="K58" s="1161">
        <v>0</v>
      </c>
      <c r="L58" s="1479">
        <v>0</v>
      </c>
      <c r="M58" s="1363">
        <v>0</v>
      </c>
      <c r="N58" s="1363">
        <v>0</v>
      </c>
      <c r="O58" s="1363">
        <v>0</v>
      </c>
      <c r="P58" s="1474">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85C679-DF92-0267-A3F3-0.370CC946}"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126</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409</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410</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527</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528</v>
      </c>
      <c r="AM4" s="501"/>
      <c r="AN4" s="501" t="str">
        <f>IF(T4="","",T4)</f>
        <v>Наименование централизованной системы водоотведения</v>
      </c>
      <c r="AO4" s="501"/>
      <c r="AP4" s="501"/>
      <c r="AQ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492</v>
      </c>
      <c r="U5" s="301"/>
      <c r="V5" s="2351"/>
      <c r="W5" s="2352"/>
      <c r="X5" s="2352"/>
      <c r="Y5" s="2352"/>
      <c r="Z5" s="2352"/>
      <c r="AA5" s="2352"/>
      <c r="AB5" s="2353"/>
      <c r="AC5" s="2354"/>
      <c r="AD5" s="2355"/>
      <c r="AE5" s="2355"/>
      <c r="AF5" s="2355"/>
      <c r="AG5" s="2355"/>
      <c r="AH5" s="2355"/>
      <c r="AI5" s="2355"/>
      <c r="AJ5" s="2356"/>
      <c r="AK5" s="1259" t="s">
        <v>493</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418</v>
      </c>
      <c r="P6" s="2258"/>
      <c r="Q6" s="2258">
        <v>1</v>
      </c>
      <c r="R6" s="358"/>
      <c r="S6" s="1494">
        <f>$J6</f>
      </c>
      <c r="T6" s="287" t="s">
        <v>419</v>
      </c>
      <c r="U6" s="301"/>
      <c r="V6" s="2246"/>
      <c r="W6" s="2247"/>
      <c r="X6" s="2247"/>
      <c r="Y6" s="2247"/>
      <c r="Z6" s="2247"/>
      <c r="AA6" s="2247"/>
      <c r="AB6" s="2248"/>
      <c r="AC6" s="2246"/>
      <c r="AD6" s="2247"/>
      <c r="AE6" s="2247"/>
      <c r="AF6" s="2247"/>
      <c r="AG6" s="2247"/>
      <c r="AH6" s="2247"/>
      <c r="AI6" s="2247"/>
      <c r="AJ6" s="2248"/>
      <c r="AK6" s="1308" t="s">
        <v>494</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1258"/>
      <c r="Y7" s="2266"/>
      <c r="Z7" s="2108" t="s">
        <v>63</v>
      </c>
      <c r="AA7" s="2266"/>
      <c r="AB7" s="2108" t="s">
        <v>63</v>
      </c>
      <c r="AC7" s="752"/>
      <c r="AD7" s="752"/>
      <c r="AE7" s="1258"/>
      <c r="AF7" s="2266"/>
      <c r="AG7" s="2108" t="s">
        <v>63</v>
      </c>
      <c r="AH7" s="2288"/>
      <c r="AI7" s="2108" t="s">
        <v>63</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495</v>
      </c>
      <c r="U9" s="368"/>
      <c r="V9" s="368"/>
      <c r="W9" s="368"/>
      <c r="X9" s="368"/>
      <c r="Y9" s="368"/>
      <c r="Z9" s="368"/>
      <c r="AA9" s="368"/>
      <c r="AB9" s="368"/>
      <c r="AC9" s="368"/>
      <c r="AD9" s="368"/>
      <c r="AE9" s="368"/>
      <c r="AF9" s="368"/>
      <c r="AG9" s="368"/>
      <c r="AH9" s="368"/>
      <c r="AI9" s="368"/>
      <c r="AJ9" s="368"/>
      <c r="AK9" s="1259" t="s">
        <v>496</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82"/>
      <c r="R10" s="357"/>
      <c r="S10" s="1279"/>
      <c r="T10" s="366" t="s">
        <v>424</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497</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232</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233</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63</v>
      </c>
      <c r="AH15" s="2268"/>
      <c r="AI15" s="2269" t="s">
        <v>63</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79"/>
      <c r="M18" s="1363"/>
      <c r="N18" s="1363"/>
      <c r="O18" s="1368" t="s">
        <v>427</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79"/>
      <c r="M19" s="1363"/>
      <c r="N19" s="1363"/>
      <c r="O19" s="1363"/>
      <c r="P19" s="1363"/>
      <c r="Q19" s="1372"/>
      <c r="R19" s="1372"/>
      <c r="S19" s="730"/>
      <c r="AB19" s="1367"/>
      <c r="AI19" s="1367"/>
      <c r="AL19" s="512"/>
      <c r="AM19" s="512"/>
      <c r="AN19" s="512"/>
      <c r="AO19" s="512"/>
      <c r="AP19" s="512"/>
      <c r="AQ19" s="1161">
        <v>0</v>
      </c>
    </row>
    <row s="1367" customFormat="1" customHeight="1" ht="12" hidden="1">
      <c r="L20" s="1479"/>
      <c r="M20" s="1363"/>
      <c r="N20" s="1363"/>
      <c r="O20" s="1365" t="s">
        <v>428</v>
      </c>
      <c r="P20" s="1363"/>
      <c r="Q20" s="1443"/>
      <c r="R20" s="1443"/>
      <c r="S20" s="730"/>
      <c r="T20" s="1161" t="s">
        <v>429</v>
      </c>
      <c r="Z20" s="187" t="s">
        <v>430</v>
      </c>
      <c r="AB20" s="187" t="s">
        <v>431</v>
      </c>
      <c r="AC20" s="1161" t="s">
        <v>429</v>
      </c>
      <c r="AG20" s="187" t="s">
        <v>432</v>
      </c>
      <c r="AI20" s="187" t="s">
        <v>431</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IF(TEMPLATE_GROUP="P",PT_P_FORM_VOTV_4_NAME_FORM,PT_R_FORM_VOTV_16_NAME_FORM)</f>
        <v>Форма 2. Информация о тарифах в сфере водоотведения на товары (услуги) организации водоотведения, подлежащих регулированию</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Q25" s="1156">
        <v>14</v>
      </c>
    </row>
    <row customHeight="1" ht="14.25">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Управление по государственному регулированию цен (тарифов) Ненецкого автономного округа</v>
      </c>
      <c r="W27" s="2252"/>
      <c r="X27" s="2252"/>
      <c r="Y27" s="2252"/>
      <c r="Z27" s="2252"/>
      <c r="AA27" s="2252"/>
      <c r="AB27" s="327"/>
      <c r="AC27" s="2252" t="str">
        <f>IF(TITLE_NAME_OR_PR_CHANGE="",IF(TITLE_NAME_OR_PR="","",TITLE_NAME_OR_PR),TITLE_NAME_OR_PR_CHANGE)</f>
        <v>Управление по государственному регулированию цен (тарифов) Ненецкого автономного округа</v>
      </c>
      <c r="AD27" s="2252"/>
      <c r="AE27" s="2252"/>
      <c r="AF27" s="2252"/>
      <c r="AG27" s="2252"/>
      <c r="AH27" s="2252"/>
      <c r="AI27" s="327"/>
      <c r="AJ27" s="327"/>
      <c r="AK27" s="281"/>
      <c r="AL27" s="369"/>
      <c r="AM27" s="369"/>
      <c r="AN27" s="369"/>
      <c r="AO27" s="369"/>
      <c r="AP27" s="369"/>
      <c r="AQ27" s="419">
        <v>0</v>
      </c>
    </row>
    <row s="1854" customFormat="1" customHeight="1" ht="18.75">
      <c r="A28" s="1369"/>
      <c r="B28" s="1369"/>
      <c r="C28" s="1369"/>
      <c r="D28" s="1369"/>
      <c r="E28" s="1369"/>
      <c r="F28" s="1369"/>
      <c r="G28" s="1369"/>
      <c r="H28" s="1369"/>
      <c r="I28" s="1369"/>
      <c r="J28" s="1369"/>
      <c r="K28" s="1369"/>
      <c r="L28" s="1370"/>
      <c r="M28" s="1369"/>
      <c r="N28" s="1369"/>
      <c r="O28" s="1369"/>
      <c r="S28" s="2251" t="s">
        <v>433</v>
      </c>
      <c r="T28" s="2251"/>
      <c r="U28" s="1373"/>
      <c r="V28" s="2265" t="str">
        <f>IF(TITLE_DATE_PR_CHANGE="",IF(TITLE_DATE_PR="","",TITLE_DATE_PR),TITLE_DATE_PR_CHANGE)</f>
        <v>45642</v>
      </c>
      <c r="W28" s="2265"/>
      <c r="X28" s="2265"/>
      <c r="Y28" s="2265"/>
      <c r="Z28" s="2265"/>
      <c r="AA28" s="2265"/>
      <c r="AB28" s="327"/>
      <c r="AC28" s="2265" t="str">
        <f>IF(TITLE_DATE_PR_CHANGE="",IF(TITLE_DATE_PR="","",TITLE_DATE_PR),TITLE_DATE_PR_CHANGE)</f>
        <v>45642</v>
      </c>
      <c r="AD28" s="2265"/>
      <c r="AE28" s="2265"/>
      <c r="AF28" s="2265"/>
      <c r="AG28" s="2265"/>
      <c r="AH28" s="2265"/>
      <c r="AI28" s="327"/>
      <c r="AJ28" s="327"/>
      <c r="AK28" s="281"/>
      <c r="AL28" s="369"/>
      <c r="AM28" s="369"/>
      <c r="AN28" s="369"/>
      <c r="AO28" s="369"/>
      <c r="AP28" s="369"/>
      <c r="AQ28" s="419">
        <v>0</v>
      </c>
    </row>
    <row s="1854" customFormat="1" customHeight="1" ht="18.75">
      <c r="A29" s="1369"/>
      <c r="B29" s="1369"/>
      <c r="C29" s="1369"/>
      <c r="D29" s="1369"/>
      <c r="E29" s="1369"/>
      <c r="F29" s="1369"/>
      <c r="G29" s="1369"/>
      <c r="H29" s="1369"/>
      <c r="I29" s="1369"/>
      <c r="J29" s="1369"/>
      <c r="K29" s="1369"/>
      <c r="L29" s="1370"/>
      <c r="M29" s="1369"/>
      <c r="N29" s="1369"/>
      <c r="O29" s="1369"/>
      <c r="S29" s="2251" t="s">
        <v>434</v>
      </c>
      <c r="T29" s="2251"/>
      <c r="U29" s="1373"/>
      <c r="V29" s="2252" t="str">
        <f>IF(TITLE_NUMBER_PR_CHANGE="",IF(TITLE_NUMBER_PR="","",TITLE_NUMBER_PR),TITLE_NUMBER_PR_CHANGE)</f>
        <v>58</v>
      </c>
      <c r="W29" s="2252"/>
      <c r="X29" s="2252"/>
      <c r="Y29" s="2252"/>
      <c r="Z29" s="2252"/>
      <c r="AA29" s="2252"/>
      <c r="AB29" s="327"/>
      <c r="AC29" s="2252" t="str">
        <f>IF(TITLE_NUMBER_PR_CHANGE="",IF(TITLE_NUMBER_PR="","",TITLE_NUMBER_PR),TITLE_NUMBER_PR_CHANGE)</f>
        <v>58</v>
      </c>
      <c r="AD29" s="2252"/>
      <c r="AE29" s="2252"/>
      <c r="AF29" s="2252"/>
      <c r="AG29" s="2252"/>
      <c r="AH29" s="2252"/>
      <c r="AI29" s="327"/>
      <c r="AJ29" s="327"/>
      <c r="AK29" s="281"/>
      <c r="AL29" s="369"/>
      <c r="AM29" s="369"/>
      <c r="AN29" s="369"/>
      <c r="AO29" s="369"/>
      <c r="AP29" s="369"/>
      <c r="AQ29" s="419">
        <v>0</v>
      </c>
    </row>
    <row s="1854" customFormat="1" customHeight="1" ht="18.75">
      <c r="A30" s="1369"/>
      <c r="B30" s="1369"/>
      <c r="C30" s="1369"/>
      <c r="D30" s="1369"/>
      <c r="E30" s="1369"/>
      <c r="F30" s="1369"/>
      <c r="G30" s="1369"/>
      <c r="H30" s="1369"/>
      <c r="I30" s="1369"/>
      <c r="J30" s="1369"/>
      <c r="K30" s="1369"/>
      <c r="L30" s="1370"/>
      <c r="M30" s="1369"/>
      <c r="N30" s="1369"/>
      <c r="O30" s="1369"/>
      <c r="S30" s="2251" t="s">
        <v>44</v>
      </c>
      <c r="T30" s="2251"/>
      <c r="U30" s="1373"/>
      <c r="V30" s="2252" t="str">
        <f>IF(TITLE_IST_PUB_CHANGE="",IF(TITLE_IST_PUB="","",TITLE_IST_PUB),TITLE_IST_PUB_CHANGE)</f>
        <v>Официальный интернет портал правовой информации http://pravo.gov.ru </v>
      </c>
      <c r="W30" s="2252"/>
      <c r="X30" s="2252"/>
      <c r="Y30" s="2252"/>
      <c r="Z30" s="2252"/>
      <c r="AA30" s="2252"/>
      <c r="AB30" s="327"/>
      <c r="AC30" s="2252" t="str">
        <f>IF(TITLE_IST_PUB_CHANGE="",IF(TITLE_IST_PUB="","",TITLE_IST_PUB),TITLE_IST_PUB_CHANGE)</f>
        <v>Официальный интернет портал правовой информации http://pravo.gov.ru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435</v>
      </c>
      <c r="T32" s="2251"/>
      <c r="U32" s="1373"/>
      <c r="V32" s="2265" t="str">
        <f>IF(TITLE_DATE_PR_CHANGE="",IF(TITLE_DATE_PR="","",TITLE_DATE_PR),TITLE_DATE_PR_CHANGE)</f>
        <v>45642</v>
      </c>
      <c r="W32" s="2265"/>
      <c r="X32" s="2265"/>
      <c r="Y32" s="2265"/>
      <c r="Z32" s="2265"/>
      <c r="AA32" s="2265"/>
      <c r="AB32" s="327"/>
      <c r="AC32" s="2265" t="str">
        <f>IF(TITLE_DATE_PR_CHANGE="",IF(TITLE_DATE_PR="","",TITLE_DATE_PR),TITLE_DATE_PR_CHANGE)</f>
        <v>45642</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436</v>
      </c>
      <c r="T33" s="2251"/>
      <c r="U33" s="1373"/>
      <c r="V33" s="2252" t="str">
        <f>IF(TITLE_NUMBER_PR_CHANGE="",IF(TITLE_NUMBER_PR="","",TITLE_NUMBER_PR),TITLE_NUMBER_PR_CHANGE)</f>
        <v>58</v>
      </c>
      <c r="W33" s="2252"/>
      <c r="X33" s="2252"/>
      <c r="Y33" s="2252"/>
      <c r="Z33" s="2252"/>
      <c r="AA33" s="2252"/>
      <c r="AB33" s="327"/>
      <c r="AC33" s="2252" t="str">
        <f>IF(TITLE_NUMBER_PR_CHANGE="",IF(TITLE_NUMBER_PR="","",TITLE_NUMBER_PR),TITLE_NUMBER_PR_CHANGE)</f>
        <v>58</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327"/>
      <c r="X34" s="327"/>
      <c r="Y34" s="327"/>
      <c r="Z34" s="327"/>
      <c r="AA34" s="327"/>
      <c r="AB34" s="279" t="s">
        <v>437</v>
      </c>
      <c r="AC34" s="327"/>
      <c r="AD34" s="327"/>
      <c r="AE34" s="327"/>
      <c r="AF34" s="327"/>
      <c r="AG34" s="327"/>
      <c r="AH34" s="327"/>
      <c r="AI34" s="279" t="s">
        <v>437</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312</v>
      </c>
      <c r="T36" s="2128"/>
      <c r="U36" s="2128"/>
      <c r="V36" s="2128"/>
      <c r="W36" s="2128"/>
      <c r="X36" s="2128"/>
      <c r="Y36" s="2128"/>
      <c r="Z36" s="2128"/>
      <c r="AA36" s="2128"/>
      <c r="AB36" s="2128"/>
      <c r="AC36" s="2128"/>
      <c r="AD36" s="2128"/>
      <c r="AE36" s="2128"/>
      <c r="AF36" s="2128"/>
      <c r="AG36" s="2128"/>
      <c r="AH36" s="2128"/>
      <c r="AI36" s="2128"/>
      <c r="AJ36" s="2128"/>
      <c r="AK36" s="2128" t="s">
        <v>313</v>
      </c>
      <c r="AQ36" s="1156">
        <v>14</v>
      </c>
    </row>
    <row customHeight="1" ht="14.699999999999998">
      <c r="Q37" s="377"/>
      <c r="R37" s="377"/>
      <c r="S37" s="2274" t="s">
        <v>90</v>
      </c>
      <c r="T37" s="2210" t="s">
        <v>438</v>
      </c>
      <c r="U37" s="302"/>
      <c r="V37" s="2275" t="s">
        <v>439</v>
      </c>
      <c r="W37" s="2276"/>
      <c r="X37" s="2276"/>
      <c r="Y37" s="2276"/>
      <c r="Z37" s="2276"/>
      <c r="AA37" s="2277"/>
      <c r="AB37" s="2278" t="s">
        <v>440</v>
      </c>
      <c r="AC37" s="2275" t="s">
        <v>439</v>
      </c>
      <c r="AD37" s="2276"/>
      <c r="AE37" s="2276"/>
      <c r="AF37" s="2276"/>
      <c r="AG37" s="2276"/>
      <c r="AH37" s="2277"/>
      <c r="AI37" s="2278" t="s">
        <v>441</v>
      </c>
      <c r="AJ37" s="2281" t="s">
        <v>442</v>
      </c>
      <c r="AK37" s="2128"/>
      <c r="AQ37" s="1156">
        <v>14</v>
      </c>
    </row>
    <row customHeight="1" ht="35.699999999999996">
      <c r="Q38" s="377"/>
      <c r="R38" s="377"/>
      <c r="S38" s="2274"/>
      <c r="T38" s="2210"/>
      <c r="U38" s="1032"/>
      <c r="V38" s="1484" t="s">
        <v>498</v>
      </c>
      <c r="W38" s="2263" t="s">
        <v>445</v>
      </c>
      <c r="X38" s="2264"/>
      <c r="Y38" s="2263" t="s">
        <v>446</v>
      </c>
      <c r="Z38" s="2270"/>
      <c r="AA38" s="2264"/>
      <c r="AB38" s="2279"/>
      <c r="AC38" s="1484" t="s">
        <v>498</v>
      </c>
      <c r="AD38" s="2263" t="s">
        <v>445</v>
      </c>
      <c r="AE38" s="2264"/>
      <c r="AF38" s="2263" t="s">
        <v>446</v>
      </c>
      <c r="AG38" s="2270"/>
      <c r="AH38" s="2264"/>
      <c r="AI38" s="2279"/>
      <c r="AJ38" s="2282"/>
      <c r="AK38" s="2128"/>
      <c r="AQ38" s="1156">
        <v>34</v>
      </c>
    </row>
    <row customHeight="1" ht="90.3">
      <c r="A39" s="1371"/>
      <c r="B39" s="1371" t="s">
        <v>138</v>
      </c>
      <c r="C39" s="1371" t="s">
        <v>139</v>
      </c>
      <c r="D39" s="1371" t="s">
        <v>140</v>
      </c>
      <c r="E39" s="1365" t="s">
        <v>447</v>
      </c>
      <c r="F39" s="1365" t="s">
        <v>448</v>
      </c>
      <c r="G39" s="1365" t="s">
        <v>449</v>
      </c>
      <c r="H39" s="1365"/>
      <c r="I39" s="1365" t="s">
        <v>499</v>
      </c>
      <c r="J39" s="1365" t="s">
        <v>452</v>
      </c>
      <c r="K39" s="1365" t="s">
        <v>500</v>
      </c>
      <c r="L39" s="1365" t="s">
        <v>428</v>
      </c>
      <c r="Q39" s="377"/>
      <c r="R39" s="377"/>
      <c r="S39" s="2274"/>
      <c r="T39" s="2210"/>
      <c r="U39" s="303"/>
      <c r="V39" s="1484" t="s">
        <v>529</v>
      </c>
      <c r="W39" s="1223" t="s">
        <v>530</v>
      </c>
      <c r="X39" s="1223" t="s">
        <v>503</v>
      </c>
      <c r="Y39" s="1490" t="s">
        <v>456</v>
      </c>
      <c r="Z39" s="2271" t="s">
        <v>457</v>
      </c>
      <c r="AA39" s="2272"/>
      <c r="AB39" s="2280"/>
      <c r="AC39" s="1484" t="s">
        <v>529</v>
      </c>
      <c r="AD39" s="1223" t="s">
        <v>530</v>
      </c>
      <c r="AE39" s="1223" t="s">
        <v>503</v>
      </c>
      <c r="AF39" s="1490" t="s">
        <v>456</v>
      </c>
      <c r="AG39" s="2271" t="s">
        <v>457</v>
      </c>
      <c r="AH39" s="2272"/>
      <c r="AI39" s="2280"/>
      <c r="AJ39" s="2283"/>
      <c r="AK39" s="2128"/>
      <c r="AQ39" s="1156">
        <v>86</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112</v>
      </c>
      <c r="T40" s="1256" t="s">
        <v>113</v>
      </c>
      <c r="U40" s="1246" t="str">
        <f>OFFSET(U40,0,-1)</f>
        <v>2</v>
      </c>
      <c r="V40" s="1483">
        <f>OFFSET(V40,0,-1)+1</f>
        <v>3</v>
      </c>
      <c r="W40" s="1483">
        <f>OFFSET(W40,0,-1)+1</f>
        <v>4</v>
      </c>
      <c r="X40" s="1483">
        <f>OFFSET(X40,0,-1)+1</f>
        <v>5</v>
      </c>
      <c r="Y40" s="1483">
        <f>OFFSET(Y40,0,-1)+1</f>
        <v>6</v>
      </c>
      <c r="Z40" s="2273">
        <f>OFFSET(Z40,0,-1)+1</f>
        <v>7</v>
      </c>
      <c r="AA40" s="2273"/>
      <c r="AB40" s="1483">
        <f>OFFSET(AB40,0,-2)+1</f>
        <v>8</v>
      </c>
      <c r="AC40" s="1483">
        <f>OFFSET(AC40,0,-1)+1</f>
        <v>9</v>
      </c>
      <c r="AD40" s="1483">
        <f>OFFSET(AD40,0,-1)+1</f>
        <v>10</v>
      </c>
      <c r="AE40" s="1483">
        <f>OFFSET(AE40,0,-1)+1</f>
        <v>11</v>
      </c>
      <c r="AF40" s="1483">
        <f>OFFSET(AF40,0,-1)+1</f>
        <v>12</v>
      </c>
      <c r="AG40" s="2273">
        <f>OFFSET(AG40,0,-1)+1</f>
        <v>13</v>
      </c>
      <c r="AH40" s="2273"/>
      <c r="AI40" s="1483">
        <f>OFFSET(AI40,0,-2)+1</f>
        <v>14</v>
      </c>
      <c r="AJ40" s="1246">
        <f>OFFSET(AJ40,0,-1)</f>
        <v>14</v>
      </c>
      <c r="AK40" s="1483">
        <f>OFFSET(AK40,0,-1)+1</f>
        <v>15</v>
      </c>
      <c r="AL40" s="512"/>
      <c r="AM40" s="512"/>
      <c r="AN40" s="512"/>
      <c r="AO40" s="512"/>
      <c r="AP40" s="512"/>
      <c r="AQ40" s="497">
        <v>0</v>
      </c>
    </row>
    <row customHeight="1" ht="24">
      <c r="A41" s="1364" t="s">
        <v>283</v>
      </c>
      <c r="B41" s="1364"/>
      <c r="C41" s="1364"/>
      <c r="D41" s="1364"/>
      <c r="E41" s="2259">
        <v>1</v>
      </c>
      <c r="F41" s="1364"/>
      <c r="G41" s="1364"/>
      <c r="H41" s="1364"/>
      <c r="I41" s="1364"/>
      <c r="J41" s="1364"/>
      <c r="K41" s="1364"/>
      <c r="L41" s="1365"/>
      <c r="M41" s="1366"/>
      <c r="N41" s="1366"/>
      <c r="O41" s="1366"/>
      <c r="P41" s="362"/>
      <c r="Q41" s="361"/>
      <c r="R41" s="356"/>
      <c r="S41" s="1494">
        <f>INDEX(PT_DIFFERENTIATION_NUM_NTAR,MATCH(A41,PT_DIFFERENTIATION_NTAR_ID,0))</f>
        <v>0</v>
      </c>
      <c r="T41" s="299" t="s">
        <v>126</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283</v>
      </c>
      <c r="B42" s="1364" t="s">
        <v>284</v>
      </c>
      <c r="C42" s="1364"/>
      <c r="D42" s="1364"/>
      <c r="E42" s="2260"/>
      <c r="F42" s="2259">
        <v>1</v>
      </c>
      <c r="G42" s="1364"/>
      <c r="H42" s="1364"/>
      <c r="I42" s="1364"/>
      <c r="J42" s="1364"/>
      <c r="K42" s="1364"/>
      <c r="L42" s="1365"/>
      <c r="M42" s="1366"/>
      <c r="N42" s="1366"/>
      <c r="O42" s="1366"/>
      <c r="P42" s="1488"/>
      <c r="Q42" s="353"/>
      <c r="R42" s="354"/>
      <c r="S42" s="1494" t="str">
        <f>INDEX(PT_DIFFERENTIATION_NUM_TER,MATCH(B42,PT_DIFFERENTIATION_TER_ID,0))</f>
        <v>.</v>
      </c>
      <c r="T42" s="309" t="s">
        <v>409</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410</v>
      </c>
      <c r="AM42" s="501"/>
      <c r="AN42" s="501" t="str">
        <f>IF(T42="","",T42)</f>
        <v>Территория действия тарифа</v>
      </c>
      <c r="AO42" s="501"/>
      <c r="AP42" s="501"/>
      <c r="AQ42" s="1156">
        <v>23</v>
      </c>
    </row>
    <row customHeight="1" ht="24">
      <c r="A43" s="1364" t="s">
        <v>283</v>
      </c>
      <c r="B43" s="1364" t="s">
        <v>284</v>
      </c>
      <c r="C43" s="1364" t="s">
        <v>285</v>
      </c>
      <c r="D43" s="1364"/>
      <c r="E43" s="2260"/>
      <c r="F43" s="2260"/>
      <c r="G43" s="2259">
        <v>1</v>
      </c>
      <c r="H43" s="1364"/>
      <c r="I43" s="1364"/>
      <c r="J43" s="1364"/>
      <c r="K43" s="1364"/>
      <c r="L43" s="1365"/>
      <c r="M43" s="1366"/>
      <c r="N43" s="1366"/>
      <c r="O43" s="1366"/>
      <c r="P43" s="355"/>
      <c r="Q43" s="353"/>
      <c r="R43" s="354"/>
      <c r="S43" s="1494" t="str">
        <f>INDEX(PT_DIFFERENTIATION_NUM_CS,MATCH(C43,PT_DIFFERENTIATION_CS_ID,0))</f>
        <v>..</v>
      </c>
      <c r="T43" s="310" t="s">
        <v>527</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528</v>
      </c>
      <c r="AM43" s="501"/>
      <c r="AN43" s="501" t="str">
        <f>IF(T43="","",T43)</f>
        <v>Наименование централизованной системы водоотведения</v>
      </c>
      <c r="AO43" s="501"/>
      <c r="AP43" s="501"/>
      <c r="AQ43" s="1156">
        <v>23</v>
      </c>
    </row>
    <row customHeight="1" ht="24">
      <c r="A44" s="1364" t="s">
        <v>283</v>
      </c>
      <c r="B44" s="1364" t="s">
        <v>284</v>
      </c>
      <c r="C44" s="1364" t="s">
        <v>285</v>
      </c>
      <c r="D44" s="1364" t="s">
        <v>532</v>
      </c>
      <c r="E44" s="2260"/>
      <c r="F44" s="2260"/>
      <c r="G44" s="2260"/>
      <c r="H44" s="2260"/>
      <c r="I44" s="2257" t="str">
        <f>S43&amp;".1"</f>
        <v>...1</v>
      </c>
      <c r="J44" s="1364"/>
      <c r="K44" s="1364"/>
      <c r="L44" s="1365"/>
      <c r="P44" s="2258">
        <v>1</v>
      </c>
      <c r="Q44" s="1482"/>
      <c r="R44" s="357"/>
      <c r="S44" s="1494" t="str">
        <f>$I44</f>
        <v>...1</v>
      </c>
      <c r="T44" s="286" t="s">
        <v>492</v>
      </c>
      <c r="U44" s="301"/>
      <c r="V44" s="2351"/>
      <c r="W44" s="2352"/>
      <c r="X44" s="2352"/>
      <c r="Y44" s="2352"/>
      <c r="Z44" s="2352"/>
      <c r="AA44" s="2352"/>
      <c r="AB44" s="2353"/>
      <c r="AC44" s="2354"/>
      <c r="AD44" s="2355"/>
      <c r="AE44" s="2355"/>
      <c r="AF44" s="2355"/>
      <c r="AG44" s="2355"/>
      <c r="AH44" s="2355"/>
      <c r="AI44" s="2355"/>
      <c r="AJ44" s="2356"/>
      <c r="AK44" s="1259" t="s">
        <v>493</v>
      </c>
      <c r="AM44" s="501"/>
      <c r="AN44" s="501" t="str">
        <f>IF(T44="","",T44)</f>
        <v>Наименование признака дифференциации</v>
      </c>
      <c r="AO44" s="501"/>
      <c r="AP44" s="501"/>
      <c r="AQ44" s="1156">
        <v>23</v>
      </c>
    </row>
    <row customHeight="1" ht="24">
      <c r="A45" s="1364" t="s">
        <v>283</v>
      </c>
      <c r="B45" s="1364" t="s">
        <v>284</v>
      </c>
      <c r="C45" s="1364" t="s">
        <v>285</v>
      </c>
      <c r="D45" s="1364" t="s">
        <v>532</v>
      </c>
      <c r="E45" s="2260"/>
      <c r="F45" s="2260"/>
      <c r="G45" s="2260"/>
      <c r="H45" s="2260"/>
      <c r="I45" s="2287"/>
      <c r="J45" s="2257" t="str">
        <f>I44&amp;".1"</f>
        <v>...1.1</v>
      </c>
      <c r="K45" s="1364"/>
      <c r="L45" s="1365" t="s">
        <v>418</v>
      </c>
      <c r="P45" s="2258"/>
      <c r="Q45" s="2258">
        <v>1</v>
      </c>
      <c r="R45" s="358"/>
      <c r="S45" s="1494" t="str">
        <f>$J45</f>
        <v>...1.1</v>
      </c>
      <c r="T45" s="287" t="s">
        <v>419</v>
      </c>
      <c r="U45" s="301"/>
      <c r="V45" s="2246"/>
      <c r="W45" s="2247"/>
      <c r="X45" s="2247"/>
      <c r="Y45" s="2247"/>
      <c r="Z45" s="2247"/>
      <c r="AA45" s="2247"/>
      <c r="AB45" s="2248"/>
      <c r="AC45" s="2246"/>
      <c r="AD45" s="2247"/>
      <c r="AE45" s="2247"/>
      <c r="AF45" s="2247"/>
      <c r="AG45" s="2247"/>
      <c r="AH45" s="2247"/>
      <c r="AI45" s="2247"/>
      <c r="AJ45" s="2248"/>
      <c r="AK45" s="1308" t="s">
        <v>494</v>
      </c>
      <c r="AM45" s="501"/>
      <c r="AN45" s="501" t="str">
        <f>IF(T45="","",T45)</f>
        <v>Группа потребителей</v>
      </c>
      <c r="AO45" s="501"/>
      <c r="AP45" s="501"/>
      <c r="AQ45" s="1156">
        <v>23</v>
      </c>
    </row>
    <row customHeight="1" ht="24">
      <c r="A46" s="1364" t="s">
        <v>283</v>
      </c>
      <c r="B46" s="1364" t="s">
        <v>284</v>
      </c>
      <c r="C46" s="1364" t="s">
        <v>285</v>
      </c>
      <c r="D46" s="1364" t="s">
        <v>532</v>
      </c>
      <c r="E46" s="2260"/>
      <c r="F46" s="2260"/>
      <c r="G46" s="2260"/>
      <c r="H46" s="2260"/>
      <c r="I46" s="2287"/>
      <c r="J46" s="2287"/>
      <c r="K46" s="2257" t="str">
        <f>J45&amp;".1"</f>
        <v>...1.1.1</v>
      </c>
      <c r="L46" s="1365"/>
      <c r="P46" s="2258"/>
      <c r="Q46" s="2258"/>
      <c r="R46" s="358">
        <v>1</v>
      </c>
      <c r="S46" s="1494" t="str">
        <f>$K46</f>
        <v>...1.1.1</v>
      </c>
      <c r="T46" s="1438"/>
      <c r="U46" s="301"/>
      <c r="V46" s="1361"/>
      <c r="W46" s="1361"/>
      <c r="X46" s="1362"/>
      <c r="Y46" s="2268"/>
      <c r="Z46" s="2269" t="s">
        <v>63</v>
      </c>
      <c r="AA46" s="2268"/>
      <c r="AB46" s="2269" t="s">
        <v>63</v>
      </c>
      <c r="AC46" s="752"/>
      <c r="AD46" s="752"/>
      <c r="AE46" s="1258"/>
      <c r="AF46" s="2266"/>
      <c r="AG46" s="2108" t="s">
        <v>63</v>
      </c>
      <c r="AH46" s="2288"/>
      <c r="AI46" s="2108" t="s">
        <v>19</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283</v>
      </c>
      <c r="B47" s="1364" t="s">
        <v>284</v>
      </c>
      <c r="C47" s="1364" t="s">
        <v>285</v>
      </c>
      <c r="D47" s="1364" t="s">
        <v>532</v>
      </c>
      <c r="E47" s="2260"/>
      <c r="F47" s="2260"/>
      <c r="G47" s="2260"/>
      <c r="H47" s="2260"/>
      <c r="I47" s="2287"/>
      <c r="J47" s="2287"/>
      <c r="K47" s="2257"/>
      <c r="L47" s="1365"/>
      <c r="P47" s="2258"/>
      <c r="Q47" s="2258"/>
      <c r="R47" s="358"/>
      <c r="S47" s="1491"/>
      <c r="T47" s="301"/>
      <c r="U47" s="301"/>
      <c r="V47" s="1361"/>
      <c r="W47" s="1361"/>
      <c r="X47" s="329" t="str">
        <f>Y46&amp;"-"&amp;AA46</f>
        <v>-</v>
      </c>
      <c r="Y47" s="2269"/>
      <c r="Z47" s="2269"/>
      <c r="AA47" s="2269"/>
      <c r="AB47" s="2269"/>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283</v>
      </c>
      <c r="B48" s="1364" t="s">
        <v>284</v>
      </c>
      <c r="C48" s="1364" t="s">
        <v>285</v>
      </c>
      <c r="D48" s="1364" t="s">
        <v>532</v>
      </c>
      <c r="E48" s="2260"/>
      <c r="F48" s="2260"/>
      <c r="G48" s="2260"/>
      <c r="H48" s="2260"/>
      <c r="I48" s="2287"/>
      <c r="J48" s="2257"/>
      <c r="K48" s="1364"/>
      <c r="L48" s="1365"/>
      <c r="P48" s="2258"/>
      <c r="Q48" s="2258"/>
      <c r="R48" s="357"/>
      <c r="S48" s="1279"/>
      <c r="T48" s="288" t="s">
        <v>495</v>
      </c>
      <c r="U48" s="368"/>
      <c r="V48" s="368"/>
      <c r="W48" s="368"/>
      <c r="X48" s="368"/>
      <c r="Y48" s="368"/>
      <c r="Z48" s="368"/>
      <c r="AA48" s="368"/>
      <c r="AB48" s="368"/>
      <c r="AC48" s="368"/>
      <c r="AD48" s="368"/>
      <c r="AE48" s="368"/>
      <c r="AF48" s="368"/>
      <c r="AG48" s="368"/>
      <c r="AH48" s="368"/>
      <c r="AI48" s="368"/>
      <c r="AJ48" s="368"/>
      <c r="AK48" s="1259" t="s">
        <v>496</v>
      </c>
      <c r="AM48" s="501"/>
      <c r="AN48" s="501" t="str">
        <f>IF(T48="","",T48)</f>
        <v>Добавить значение признака дифференциации</v>
      </c>
      <c r="AO48" s="501"/>
      <c r="AP48" s="501"/>
      <c r="AQ48" s="1156">
        <v>20</v>
      </c>
    </row>
    <row customHeight="1" ht="22.049999999999997">
      <c r="A49" s="1364" t="s">
        <v>283</v>
      </c>
      <c r="B49" s="1364" t="s">
        <v>284</v>
      </c>
      <c r="C49" s="1364" t="s">
        <v>285</v>
      </c>
      <c r="D49" s="1364" t="s">
        <v>532</v>
      </c>
      <c r="E49" s="2260"/>
      <c r="F49" s="2260"/>
      <c r="G49" s="2260"/>
      <c r="H49" s="2260"/>
      <c r="I49" s="2257"/>
      <c r="J49" s="1364"/>
      <c r="K49" s="1364"/>
      <c r="L49" s="1365"/>
      <c r="P49" s="2258"/>
      <c r="Q49" s="1482"/>
      <c r="R49" s="357"/>
      <c r="S49" s="1279"/>
      <c r="T49" s="366" t="s">
        <v>424</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283</v>
      </c>
      <c r="B50" s="1364" t="s">
        <v>284</v>
      </c>
      <c r="C50" s="1364" t="s">
        <v>285</v>
      </c>
      <c r="D50" s="1364" t="s">
        <v>532</v>
      </c>
      <c r="E50" s="2260"/>
      <c r="F50" s="2260"/>
      <c r="G50" s="2260"/>
      <c r="H50" s="2259"/>
      <c r="I50" s="1364"/>
      <c r="J50" s="1364"/>
      <c r="K50" s="1364"/>
      <c r="L50" s="1365"/>
      <c r="M50" s="1366"/>
      <c r="N50" s="1366"/>
      <c r="O50" s="538"/>
      <c r="P50" s="361"/>
      <c r="Q50" s="376"/>
      <c r="R50" s="356"/>
      <c r="S50" s="1279"/>
      <c r="T50" s="373" t="s">
        <v>497</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283</v>
      </c>
      <c r="B51" s="1344" t="s">
        <v>284</v>
      </c>
      <c r="C51" s="1315"/>
      <c r="D51" s="1315"/>
      <c r="E51" s="2260"/>
      <c r="F51" s="2259"/>
      <c r="G51" s="1315"/>
      <c r="H51" s="1315"/>
      <c r="I51" s="1315"/>
      <c r="J51" s="1315"/>
      <c r="K51" s="1315"/>
      <c r="L51" s="1495"/>
      <c r="M51" s="1322"/>
      <c r="N51" s="1322"/>
      <c r="P51" s="1317"/>
      <c r="Q51" s="1318"/>
      <c r="R51" s="1317"/>
      <c r="S51" s="1323"/>
      <c r="T51" s="1326" t="s">
        <v>232</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283</v>
      </c>
      <c r="B52" s="1344"/>
      <c r="C52" s="1344"/>
      <c r="D52" s="1344"/>
      <c r="E52" s="2259"/>
      <c r="F52" s="1344"/>
      <c r="G52" s="1344"/>
      <c r="H52" s="1344"/>
      <c r="I52" s="1344"/>
      <c r="J52" s="1344"/>
      <c r="K52" s="1344"/>
      <c r="L52" s="1347"/>
      <c r="M52" s="1322"/>
      <c r="N52" s="1322"/>
      <c r="O52" s="519"/>
      <c r="P52" s="381"/>
      <c r="Q52" s="1345"/>
      <c r="R52" s="381"/>
      <c r="S52" s="1323"/>
      <c r="T52" s="1326" t="s">
        <v>233</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95"/>
      <c r="M53" s="1322"/>
      <c r="N53" s="1322"/>
      <c r="P53" s="1317"/>
      <c r="Q53" s="1318"/>
      <c r="R53" s="1317"/>
      <c r="S53" s="1323"/>
      <c r="T53" s="1326" t="s">
        <v>240</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84</v>
      </c>
      <c r="B58" s="1161">
        <v>0</v>
      </c>
      <c r="C58" s="1161">
        <v>0</v>
      </c>
      <c r="D58" s="1161">
        <v>0</v>
      </c>
      <c r="E58" s="1161">
        <v>0</v>
      </c>
      <c r="F58" s="1161">
        <v>0</v>
      </c>
      <c r="G58" s="1161">
        <v>0</v>
      </c>
      <c r="H58" s="1161">
        <v>0</v>
      </c>
      <c r="I58" s="1161">
        <v>0</v>
      </c>
      <c r="J58" s="1161">
        <v>0</v>
      </c>
      <c r="K58" s="1161">
        <v>0</v>
      </c>
      <c r="L58" s="1479">
        <v>0</v>
      </c>
      <c r="M58" s="1363">
        <v>0</v>
      </c>
      <c r="N58" s="1363">
        <v>0</v>
      </c>
      <c r="O58" s="1363">
        <v>0</v>
      </c>
      <c r="P58" s="1474">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7ABB5A7-B5BD-6DA8-B7CB-0.50FB42B4}"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94">
        <f>INDEX(PT_DIFFERENTIATION_NUM_NTAR,MATCH(A2,PT_DIFFERENTIATION_NTAR_ID,0))</f>
      </c>
      <c r="T2" s="299" t="s">
        <v>126</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94">
        <f>INDEX(PT_DIFFERENTIATION_NUM_TER,MATCH(B3,PT_DIFFERENTIATION_TER_ID,0))</f>
      </c>
      <c r="T3" s="309" t="s">
        <v>409</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410</v>
      </c>
      <c r="BE3" s="501"/>
      <c r="BF3" s="501" t="str">
        <f>IF(T3="","",T3)</f>
        <v>Территория действия тарифа</v>
      </c>
      <c r="BG3" s="501"/>
      <c r="BH3" s="501"/>
      <c r="BI3" s="1156">
        <v>0</v>
      </c>
    </row>
    <row customHeight="1" ht="33.75" hidden="1">
      <c r="A4" s="1364"/>
      <c r="B4" s="1364"/>
      <c r="C4" s="1364"/>
      <c r="D4" s="1364"/>
      <c r="E4" s="2260"/>
      <c r="F4" s="2260"/>
      <c r="G4" s="2259">
        <v>1</v>
      </c>
      <c r="H4" s="1364"/>
      <c r="I4" s="1364"/>
      <c r="J4" s="1364"/>
      <c r="K4" s="1364"/>
      <c r="L4" s="1365"/>
      <c r="M4" s="1366"/>
      <c r="N4" s="1366"/>
      <c r="O4" s="1366"/>
      <c r="P4" s="1413"/>
      <c r="Q4" s="1412"/>
      <c r="R4" s="354"/>
      <c r="S4" s="1494">
        <f>INDEX(PT_DIFFERENTIATION_NUM_CS,MATCH(C4,PT_DIFFERENTIATION_CS_ID,0))</f>
      </c>
      <c r="T4" s="310" t="s">
        <v>527</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528</v>
      </c>
      <c r="BE4" s="501"/>
      <c r="BF4" s="501" t="str">
        <f>IF(T4="","",T4)</f>
        <v>Наименование централизованной системы водоотведения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414</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415</v>
      </c>
      <c r="M6" s="511"/>
      <c r="N6" s="511"/>
      <c r="O6" s="511"/>
      <c r="P6" s="2258">
        <v>1</v>
      </c>
      <c r="Q6" s="1482"/>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70" t="s">
        <v>63</v>
      </c>
      <c r="AB8" s="1735"/>
      <c r="AC8" s="1470" t="s">
        <v>63</v>
      </c>
      <c r="AD8" s="2186" t="s">
        <v>63</v>
      </c>
      <c r="AE8" s="2327"/>
      <c r="AF8" s="2206">
        <v>1</v>
      </c>
      <c r="AG8" s="2364"/>
      <c r="AH8" s="2108" t="s">
        <v>63</v>
      </c>
      <c r="AI8" s="2327"/>
      <c r="AJ8" s="2206">
        <v>1</v>
      </c>
      <c r="AK8" s="2328" t="s">
        <v>28</v>
      </c>
      <c r="AL8" s="2108" t="s">
        <v>63</v>
      </c>
      <c r="AM8" s="2193"/>
      <c r="AN8" s="2206">
        <v>1</v>
      </c>
      <c r="AO8" s="2358"/>
      <c r="AP8" s="2359" t="s">
        <v>63</v>
      </c>
      <c r="AQ8" s="312"/>
      <c r="AR8" s="1487">
        <v>1</v>
      </c>
      <c r="AS8" s="1493" t="s">
        <v>28</v>
      </c>
      <c r="AT8" s="752"/>
      <c r="AU8" s="1258"/>
      <c r="AV8" s="752"/>
      <c r="AW8" s="1258"/>
      <c r="AX8" s="1735"/>
      <c r="AY8" s="1470" t="s">
        <v>63</v>
      </c>
      <c r="AZ8" s="1735"/>
      <c r="BA8" s="1470" t="s">
        <v>63</v>
      </c>
      <c r="BB8" s="1349"/>
      <c r="BC8" s="2254" t="s">
        <v>512</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513</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533</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534</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516</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477</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82"/>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9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95"/>
      <c r="M17" s="1322"/>
      <c r="N17" s="1322"/>
      <c r="P17" s="1317"/>
      <c r="Q17" s="1318"/>
      <c r="R17" s="1317"/>
      <c r="S17" s="1323"/>
      <c r="T17" s="1326" t="s">
        <v>232</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233</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86" t="s">
        <v>63</v>
      </c>
      <c r="AZ20" s="1737"/>
      <c r="BA20" s="1486" t="s">
        <v>63</v>
      </c>
      <c r="BI20" s="1156">
        <v>0</v>
      </c>
    </row>
    <row customHeight="1" ht="14.25" hidden="1">
      <c r="BD21" s="497"/>
      <c r="BE21" s="497"/>
      <c r="BF21" s="497"/>
      <c r="BG21" s="497"/>
      <c r="BH21" s="497"/>
      <c r="BI21" s="1156">
        <v>0</v>
      </c>
    </row>
    <row customHeight="1" ht="14.25" hidden="1">
      <c r="O22" s="1368" t="s">
        <v>427</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428</v>
      </c>
      <c r="P24" s="1509"/>
      <c r="Q24" s="1511"/>
      <c r="R24" s="1511"/>
      <c r="AA24" s="1508" t="s">
        <v>430</v>
      </c>
      <c r="AC24" s="1508" t="s">
        <v>431</v>
      </c>
      <c r="AD24" s="1508" t="s">
        <v>478</v>
      </c>
      <c r="AH24" s="1508" t="s">
        <v>478</v>
      </c>
      <c r="AK24" s="1508" t="s">
        <v>517</v>
      </c>
      <c r="AL24" s="1508" t="s">
        <v>478</v>
      </c>
      <c r="AP24" s="1508" t="s">
        <v>478</v>
      </c>
      <c r="AY24" s="1508" t="s">
        <v>430</v>
      </c>
      <c r="BA24" s="1508" t="s">
        <v>431</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IF(TEMPLATE_GROUP="P",PT_P_FORM_VOTV_5_NAME_FORM,PT_R_FORM_VOTV_17_NAME_FORM)</f>
        <v>Форма 3.  Информация об установленных тарифах на подключение (технологическое присоединение) к централизованной системе водоотведения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ИМУП «ПОСЖИЛКОМСЕРВИС»</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c r="A31" s="1369"/>
      <c r="B31" s="1369"/>
      <c r="C31" s="1369"/>
      <c r="D31" s="1369"/>
      <c r="E31" s="1369"/>
      <c r="F31" s="1369"/>
      <c r="G31" s="1369"/>
      <c r="H31" s="1369"/>
      <c r="I31" s="1369"/>
      <c r="J31" s="1369"/>
      <c r="K31" s="1369"/>
      <c r="L31" s="1370"/>
      <c r="M31" s="1369"/>
      <c r="N31" s="1369"/>
      <c r="O31" s="1369"/>
      <c r="P31" s="1369"/>
      <c r="Q31" s="1369"/>
      <c r="S31" s="2251" t="s">
        <v>42</v>
      </c>
      <c r="T31" s="2251"/>
      <c r="U31" s="1373"/>
      <c r="V31" s="2252" t="str">
        <f>IF(TITLE_NAME_OR_PR_CHANGE="",IF(TITLE_NAME_OR_PR="","",TITLE_NAME_OR_PR),TITLE_NAME_OR_PR_CHANGE)</f>
        <v>Управление по государственному регулированию цен (тарифов) Ненецкого автономного округа</v>
      </c>
      <c r="W31" s="2252"/>
      <c r="X31" s="2252"/>
      <c r="Y31" s="2252"/>
      <c r="Z31" s="2252"/>
      <c r="AA31" s="2252"/>
      <c r="AB31" s="2252"/>
      <c r="AC31" s="327"/>
      <c r="AD31" s="2252" t="str">
        <f>IF(TITLE_NAME_OR_PR_CHANGE="",IF(TITLE_NAME_OR_PR="","",TITLE_NAME_OR_PR),TITLE_NAME_OR_PR_CHANGE)</f>
        <v>Управление по государственному регулированию цен (тарифов) Ненецкого автономного округа</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c r="A32" s="1369"/>
      <c r="B32" s="1369"/>
      <c r="C32" s="1369"/>
      <c r="D32" s="1369"/>
      <c r="E32" s="1369"/>
      <c r="F32" s="1369"/>
      <c r="G32" s="1369"/>
      <c r="H32" s="1369"/>
      <c r="I32" s="1369"/>
      <c r="J32" s="1369"/>
      <c r="K32" s="1369"/>
      <c r="L32" s="1370"/>
      <c r="M32" s="1369"/>
      <c r="N32" s="1369"/>
      <c r="O32" s="1369"/>
      <c r="P32" s="1369"/>
      <c r="Q32" s="1369"/>
      <c r="S32" s="2251" t="s">
        <v>433</v>
      </c>
      <c r="T32" s="2251"/>
      <c r="U32" s="1373"/>
      <c r="V32" s="2265" t="str">
        <f>IF(TITLE_DATE_PR_CHANGE="",IF(TITLE_DATE_PR="","",TITLE_DATE_PR),TITLE_DATE_PR_CHANGE)</f>
        <v>45642</v>
      </c>
      <c r="W32" s="2265"/>
      <c r="X32" s="2265"/>
      <c r="Y32" s="2265"/>
      <c r="Z32" s="2265"/>
      <c r="AA32" s="2265"/>
      <c r="AB32" s="2265"/>
      <c r="AC32" s="327"/>
      <c r="AD32" s="2265" t="str">
        <f>IF(TITLE_DATE_PR_CHANGE="",IF(TITLE_DATE_PR="","",TITLE_DATE_PR),TITLE_DATE_PR_CHANGE)</f>
        <v>45642</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c r="A33" s="1369"/>
      <c r="B33" s="1369"/>
      <c r="C33" s="1369"/>
      <c r="D33" s="1369"/>
      <c r="E33" s="1369"/>
      <c r="F33" s="1369"/>
      <c r="G33" s="1369"/>
      <c r="H33" s="1369"/>
      <c r="I33" s="1369"/>
      <c r="J33" s="1369"/>
      <c r="K33" s="1369"/>
      <c r="L33" s="1370"/>
      <c r="M33" s="1369"/>
      <c r="N33" s="1369"/>
      <c r="O33" s="1369"/>
      <c r="P33" s="1369"/>
      <c r="Q33" s="1369"/>
      <c r="S33" s="2251" t="s">
        <v>434</v>
      </c>
      <c r="T33" s="2251"/>
      <c r="U33" s="1373"/>
      <c r="V33" s="2252" t="str">
        <f>IF(TITLE_NUMBER_PR_CHANGE="",IF(TITLE_NUMBER_PR="","",TITLE_NUMBER_PR),TITLE_NUMBER_PR_CHANGE)</f>
        <v>58</v>
      </c>
      <c r="W33" s="2252"/>
      <c r="X33" s="2252"/>
      <c r="Y33" s="2252"/>
      <c r="Z33" s="2252"/>
      <c r="AA33" s="2252"/>
      <c r="AB33" s="2252"/>
      <c r="AC33" s="327"/>
      <c r="AD33" s="2252" t="str">
        <f>IF(TITLE_NUMBER_PR_CHANGE="",IF(TITLE_NUMBER_PR="","",TITLE_NUMBER_PR),TITLE_NUMBER_PR_CHANGE)</f>
        <v>58</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c r="A34" s="1369"/>
      <c r="B34" s="1369"/>
      <c r="C34" s="1369"/>
      <c r="D34" s="1369"/>
      <c r="E34" s="1369"/>
      <c r="F34" s="1369"/>
      <c r="G34" s="1369"/>
      <c r="H34" s="1369"/>
      <c r="I34" s="1369"/>
      <c r="J34" s="1369"/>
      <c r="K34" s="1369"/>
      <c r="L34" s="1370"/>
      <c r="M34" s="1369"/>
      <c r="N34" s="1369"/>
      <c r="O34" s="1369"/>
      <c r="P34" s="1369"/>
      <c r="Q34" s="1369"/>
      <c r="S34" s="2251" t="s">
        <v>44</v>
      </c>
      <c r="T34" s="2251"/>
      <c r="U34" s="1373"/>
      <c r="V34" s="2252" t="str">
        <f>IF(TITLE_IST_PUB_CHANGE="",IF(TITLE_IST_PUB="","",TITLE_IST_PUB),TITLE_IST_PUB_CHANGE)</f>
        <v>Официальный интернет портал правовой информации http://pravo.gov.ru </v>
      </c>
      <c r="W34" s="2252"/>
      <c r="X34" s="2252"/>
      <c r="Y34" s="2252"/>
      <c r="Z34" s="2252"/>
      <c r="AA34" s="2252"/>
      <c r="AB34" s="2252"/>
      <c r="AC34" s="327"/>
      <c r="AD34" s="2252" t="str">
        <f>IF(TITLE_IST_PUB_CHANGE="",IF(TITLE_IST_PUB="","",TITLE_IST_PUB),TITLE_IST_PUB_CHANGE)</f>
        <v>Официальный интернет портал правовой информации http://pravo.gov.ru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hidden="1">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hidden="1">
      <c r="A36" s="1369"/>
      <c r="B36" s="1369"/>
      <c r="C36" s="1369"/>
      <c r="D36" s="1369"/>
      <c r="E36" s="1369"/>
      <c r="F36" s="1369"/>
      <c r="G36" s="1369"/>
      <c r="H36" s="1369"/>
      <c r="I36" s="1369"/>
      <c r="J36" s="1369"/>
      <c r="K36" s="1369"/>
      <c r="L36" s="1370"/>
      <c r="M36" s="1369"/>
      <c r="N36" s="1369"/>
      <c r="O36" s="1369"/>
      <c r="P36" s="1369"/>
      <c r="Q36" s="1369"/>
      <c r="S36" s="2251" t="s">
        <v>433</v>
      </c>
      <c r="T36" s="2251"/>
      <c r="U36" s="1373"/>
      <c r="V36" s="2265" t="str">
        <f>IF(TITLE_DATE_PR_CHANGE="",IF(TITLE_DATE_PR="","",TITLE_DATE_PR),TITLE_DATE_PR_CHANGE)</f>
        <v>45642</v>
      </c>
      <c r="W36" s="2265"/>
      <c r="X36" s="2265"/>
      <c r="Y36" s="2265"/>
      <c r="Z36" s="2265"/>
      <c r="AA36" s="2265"/>
      <c r="AB36" s="2265"/>
      <c r="AC36" s="327"/>
      <c r="AD36" s="2265" t="str">
        <f>IF(TITLE_DATE_PR_CHANGE="",IF(TITLE_DATE_PR="","",TITLE_DATE_PR),TITLE_DATE_PR_CHANGE)</f>
        <v>45642</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hidden="1">
      <c r="A37" s="1369"/>
      <c r="B37" s="1369"/>
      <c r="C37" s="1369"/>
      <c r="D37" s="1369"/>
      <c r="E37" s="1369"/>
      <c r="F37" s="1369"/>
      <c r="G37" s="1369"/>
      <c r="H37" s="1369"/>
      <c r="I37" s="1369"/>
      <c r="J37" s="1369"/>
      <c r="K37" s="1369"/>
      <c r="L37" s="1370"/>
      <c r="M37" s="1369"/>
      <c r="N37" s="1369"/>
      <c r="O37" s="1369"/>
      <c r="P37" s="1369"/>
      <c r="Q37" s="1369"/>
      <c r="S37" s="2251" t="s">
        <v>434</v>
      </c>
      <c r="T37" s="2251"/>
      <c r="U37" s="1373"/>
      <c r="V37" s="2252" t="str">
        <f>IF(TITLE_NUMBER_PR_CHANGE="",IF(TITLE_NUMBER_PR="","",TITLE_NUMBER_PR),TITLE_NUMBER_PR_CHANGE)</f>
        <v>58</v>
      </c>
      <c r="W37" s="2252"/>
      <c r="X37" s="2252"/>
      <c r="Y37" s="2252"/>
      <c r="Z37" s="2252"/>
      <c r="AA37" s="2252"/>
      <c r="AB37" s="2252"/>
      <c r="AC37" s="327"/>
      <c r="AD37" s="2252" t="str">
        <f>IF(TITLE_NUMBER_PR_CHANGE="",IF(TITLE_NUMBER_PR="","",TITLE_NUMBER_PR),TITLE_NUMBER_PR_CHANGE)</f>
        <v>58</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89"/>
      <c r="V38" s="327"/>
      <c r="W38" s="327"/>
      <c r="X38" s="327"/>
      <c r="Y38" s="327"/>
      <c r="Z38" s="327"/>
      <c r="AA38" s="327"/>
      <c r="AB38" s="327"/>
      <c r="AC38" s="279" t="s">
        <v>437</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437</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312</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313</v>
      </c>
      <c r="BI40" s="1156">
        <v>14</v>
      </c>
    </row>
    <row customHeight="1" ht="14.699999999999998">
      <c r="Q41" s="292"/>
      <c r="R41" s="377"/>
      <c r="S41" s="2274" t="s">
        <v>90</v>
      </c>
      <c r="T41" s="2210" t="s">
        <v>518</v>
      </c>
      <c r="U41" s="302"/>
      <c r="V41" s="2275" t="s">
        <v>439</v>
      </c>
      <c r="W41" s="2276"/>
      <c r="X41" s="2276"/>
      <c r="Y41" s="2276"/>
      <c r="Z41" s="2276"/>
      <c r="AA41" s="2276"/>
      <c r="AB41" s="2277"/>
      <c r="AC41" s="2278" t="s">
        <v>440</v>
      </c>
      <c r="AD41" s="2329" t="s">
        <v>535</v>
      </c>
      <c r="AE41" s="2292"/>
      <c r="AF41" s="2292"/>
      <c r="AG41" s="2330"/>
      <c r="AH41" s="2329" t="s">
        <v>536</v>
      </c>
      <c r="AI41" s="2292"/>
      <c r="AJ41" s="2292"/>
      <c r="AK41" s="2330"/>
      <c r="AL41" s="2329" t="s">
        <v>537</v>
      </c>
      <c r="AM41" s="2292"/>
      <c r="AN41" s="2292"/>
      <c r="AO41" s="2330"/>
      <c r="AP41" s="2329" t="s">
        <v>522</v>
      </c>
      <c r="AQ41" s="2292"/>
      <c r="AR41" s="2292"/>
      <c r="AS41" s="2330"/>
      <c r="AT41" s="2275" t="s">
        <v>439</v>
      </c>
      <c r="AU41" s="2276"/>
      <c r="AV41" s="2276"/>
      <c r="AW41" s="2276"/>
      <c r="AX41" s="2276"/>
      <c r="AY41" s="2276"/>
      <c r="AZ41" s="2277"/>
      <c r="BA41" s="2278" t="s">
        <v>440</v>
      </c>
      <c r="BB41" s="2281" t="s">
        <v>442</v>
      </c>
      <c r="BC41" s="2128"/>
      <c r="BI41" s="1156">
        <v>14</v>
      </c>
    </row>
    <row customHeight="1" ht="35.699999999999996">
      <c r="Q42" s="292"/>
      <c r="R42" s="377"/>
      <c r="S42" s="2274"/>
      <c r="T42" s="2210"/>
      <c r="U42" s="1032"/>
      <c r="V42" s="2193" t="s">
        <v>523</v>
      </c>
      <c r="W42" s="2194"/>
      <c r="X42" s="2193" t="s">
        <v>524</v>
      </c>
      <c r="Y42" s="2194"/>
      <c r="Z42" s="2295" t="s">
        <v>525</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538</v>
      </c>
      <c r="AU42" s="2194"/>
      <c r="AV42" s="2193" t="s">
        <v>539</v>
      </c>
      <c r="AW42" s="2194"/>
      <c r="AX42" s="2295" t="s">
        <v>525</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138</v>
      </c>
      <c r="C44" s="1371" t="s">
        <v>139</v>
      </c>
      <c r="D44" s="1371" t="s">
        <v>140</v>
      </c>
      <c r="E44" s="1365" t="s">
        <v>447</v>
      </c>
      <c r="F44" s="1365" t="s">
        <v>448</v>
      </c>
      <c r="G44" s="1365" t="s">
        <v>449</v>
      </c>
      <c r="H44" s="1365" t="s">
        <v>450</v>
      </c>
      <c r="I44" s="1365" t="s">
        <v>451</v>
      </c>
      <c r="J44" s="1365" t="s">
        <v>452</v>
      </c>
      <c r="K44" s="1365" t="s">
        <v>453</v>
      </c>
      <c r="L44" s="1365" t="s">
        <v>428</v>
      </c>
      <c r="Q44" s="292"/>
      <c r="R44" s="377"/>
      <c r="S44" s="2274"/>
      <c r="T44" s="2210"/>
      <c r="U44" s="303"/>
      <c r="V44" s="1480" t="s">
        <v>487</v>
      </c>
      <c r="W44" s="1480" t="s">
        <v>488</v>
      </c>
      <c r="X44" s="1480" t="s">
        <v>487</v>
      </c>
      <c r="Y44" s="1480" t="s">
        <v>488</v>
      </c>
      <c r="Z44" s="1490" t="s">
        <v>456</v>
      </c>
      <c r="AA44" s="2271" t="s">
        <v>457</v>
      </c>
      <c r="AB44" s="2272"/>
      <c r="AC44" s="2280"/>
      <c r="AD44" s="2334"/>
      <c r="AE44" s="2335"/>
      <c r="AF44" s="2335"/>
      <c r="AG44" s="2336"/>
      <c r="AH44" s="2334"/>
      <c r="AI44" s="2335"/>
      <c r="AJ44" s="2335"/>
      <c r="AK44" s="2336"/>
      <c r="AL44" s="2334"/>
      <c r="AM44" s="2335"/>
      <c r="AN44" s="2335"/>
      <c r="AO44" s="2336"/>
      <c r="AP44" s="2334"/>
      <c r="AQ44" s="2335"/>
      <c r="AR44" s="2335"/>
      <c r="AS44" s="2336"/>
      <c r="AT44" s="1480" t="s">
        <v>487</v>
      </c>
      <c r="AU44" s="1480" t="s">
        <v>488</v>
      </c>
      <c r="AV44" s="1480" t="s">
        <v>487</v>
      </c>
      <c r="AW44" s="1480" t="s">
        <v>488</v>
      </c>
      <c r="AX44" s="1490" t="s">
        <v>456</v>
      </c>
      <c r="AY44" s="2271" t="s">
        <v>457</v>
      </c>
      <c r="AZ44" s="2272"/>
      <c r="BA44" s="2280"/>
      <c r="BB44" s="2283"/>
      <c r="BC44" s="2128"/>
      <c r="BI44" s="1156">
        <v>14</v>
      </c>
    </row>
    <row s="1642" customFormat="1" customHeight="1" ht="11.25" hidden="1">
      <c r="A45" s="1371"/>
      <c r="B45" s="1371"/>
      <c r="C45" s="1371"/>
      <c r="D45" s="1371"/>
      <c r="E45" s="1371"/>
      <c r="F45" s="1371"/>
      <c r="G45" s="1371"/>
      <c r="H45" s="1371"/>
      <c r="I45" s="1371"/>
      <c r="J45" s="1371"/>
      <c r="K45" s="1371"/>
      <c r="L45" s="1365"/>
      <c r="M45" s="1363"/>
      <c r="N45" s="1363"/>
      <c r="O45" s="1363"/>
      <c r="P45" s="511"/>
      <c r="Q45" s="1255"/>
      <c r="R45" s="1255">
        <v>1</v>
      </c>
      <c r="S45" s="1278" t="s">
        <v>112</v>
      </c>
      <c r="T45" s="1256" t="s">
        <v>113</v>
      </c>
      <c r="U45" s="1246" t="str">
        <f>OFFSET(U45,0,-1)</f>
        <v>2</v>
      </c>
      <c r="V45" s="1483">
        <f>OFFSET(V45,0,-1)+1</f>
        <v>3</v>
      </c>
      <c r="W45" s="1483">
        <f>OFFSET(W45,0,-1)+1</f>
        <v>4</v>
      </c>
      <c r="X45" s="1483">
        <f>OFFSET(X45,0,-1)+1</f>
        <v>5</v>
      </c>
      <c r="Y45" s="1483">
        <f>OFFSET(Y45,0,-1)+1</f>
        <v>6</v>
      </c>
      <c r="Z45" s="1483">
        <f>OFFSET(Z45,0,-1)+1</f>
        <v>7</v>
      </c>
      <c r="AA45" s="2273">
        <f>OFFSET(AA45,0,-1)+1</f>
        <v>8</v>
      </c>
      <c r="AB45" s="2273"/>
      <c r="AC45" s="1483">
        <f>OFFSET(AC45,0,-2)+1</f>
        <v>9</v>
      </c>
      <c r="AD45" s="1483">
        <f>OFFSET(AD45,0,-1)+1</f>
        <v>10</v>
      </c>
      <c r="AE45" s="1483"/>
      <c r="AF45" s="1483"/>
      <c r="AG45" s="1483"/>
      <c r="AH45" s="1483"/>
      <c r="AI45" s="1483"/>
      <c r="AJ45" s="1483"/>
      <c r="AK45" s="1483"/>
      <c r="AL45" s="1483"/>
      <c r="AM45" s="1483"/>
      <c r="AN45" s="1483"/>
      <c r="AO45" s="1483"/>
      <c r="AP45" s="1483"/>
      <c r="AQ45" s="1483"/>
      <c r="AR45" s="1483"/>
      <c r="AS45" s="1483"/>
      <c r="AT45" s="1483"/>
      <c r="AU45" s="1483"/>
      <c r="AV45" s="1483"/>
      <c r="AW45" s="1483">
        <f>OFFSET(AW45,0,-1)+1</f>
        <v>1</v>
      </c>
      <c r="AX45" s="1483">
        <f>OFFSET(AX45,0,-1)+1</f>
        <v>2</v>
      </c>
      <c r="AY45" s="2273">
        <f>OFFSET(AY45,0,-1)+1</f>
        <v>3</v>
      </c>
      <c r="AZ45" s="2273"/>
      <c r="BA45" s="1483">
        <f>OFFSET(BA45,0,-2)+1</f>
        <v>4</v>
      </c>
      <c r="BB45" s="1246">
        <f>OFFSET(BB45,0,-1)</f>
        <v>4</v>
      </c>
      <c r="BC45" s="1483">
        <f>OFFSET(BC45,0,-1)+1</f>
        <v>5</v>
      </c>
      <c r="BD45" s="512"/>
      <c r="BE45" s="512"/>
      <c r="BF45" s="512"/>
      <c r="BG45" s="512"/>
      <c r="BH45" s="512"/>
      <c r="BI45" s="497">
        <v>0</v>
      </c>
    </row>
    <row customHeight="1" ht="22.049999999999997">
      <c r="A46" s="1364" t="s">
        <v>288</v>
      </c>
      <c r="B46" s="1364"/>
      <c r="C46" s="1364"/>
      <c r="D46" s="1364"/>
      <c r="E46" s="2259">
        <v>1</v>
      </c>
      <c r="F46" s="1364"/>
      <c r="G46" s="1364"/>
      <c r="H46" s="1364"/>
      <c r="I46" s="1364"/>
      <c r="J46" s="1364"/>
      <c r="K46" s="1364"/>
      <c r="L46" s="1365"/>
      <c r="M46" s="1366"/>
      <c r="N46" s="1366"/>
      <c r="O46" s="1366"/>
      <c r="P46" s="1410"/>
      <c r="Q46" s="874"/>
      <c r="R46" s="356"/>
      <c r="S46" s="1494">
        <f>INDEX(PT_DIFFERENTIATION_NUM_NTAR,MATCH(A46,PT_DIFFERENTIATION_NTAR_ID,0))</f>
        <v>0</v>
      </c>
      <c r="T46" s="299" t="s">
        <v>126</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288</v>
      </c>
      <c r="B47" s="1364" t="s">
        <v>289</v>
      </c>
      <c r="C47" s="1364"/>
      <c r="D47" s="1364"/>
      <c r="E47" s="2260"/>
      <c r="F47" s="2259">
        <v>1</v>
      </c>
      <c r="G47" s="1364"/>
      <c r="H47" s="1364"/>
      <c r="I47" s="1364"/>
      <c r="J47" s="1364"/>
      <c r="K47" s="1364"/>
      <c r="L47" s="1365"/>
      <c r="M47" s="1366"/>
      <c r="N47" s="1366"/>
      <c r="O47" s="1366"/>
      <c r="P47" s="1411"/>
      <c r="Q47" s="1412"/>
      <c r="R47" s="354"/>
      <c r="S47" s="1494" t="str">
        <f>INDEX(PT_DIFFERENTIATION_NUM_TER,MATCH(B47,PT_DIFFERENTIATION_TER_ID,0))</f>
        <v>.</v>
      </c>
      <c r="T47" s="309" t="s">
        <v>409</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410</v>
      </c>
      <c r="BE47" s="501"/>
      <c r="BF47" s="501" t="str">
        <f>IF(T47="","",T47)</f>
        <v>Территория действия тарифа</v>
      </c>
      <c r="BG47" s="501"/>
      <c r="BH47" s="501"/>
      <c r="BI47" s="1156">
        <v>21</v>
      </c>
    </row>
    <row customHeight="1" ht="35.699999999999996">
      <c r="A48" s="1364" t="s">
        <v>288</v>
      </c>
      <c r="B48" s="1364" t="s">
        <v>289</v>
      </c>
      <c r="C48" s="1364" t="s">
        <v>290</v>
      </c>
      <c r="D48" s="1364"/>
      <c r="E48" s="2260"/>
      <c r="F48" s="2260"/>
      <c r="G48" s="2259">
        <v>1</v>
      </c>
      <c r="H48" s="1364"/>
      <c r="I48" s="1364"/>
      <c r="J48" s="1364"/>
      <c r="K48" s="1364"/>
      <c r="L48" s="1365"/>
      <c r="M48" s="1366"/>
      <c r="N48" s="1366"/>
      <c r="O48" s="1366"/>
      <c r="P48" s="1413"/>
      <c r="Q48" s="1412"/>
      <c r="R48" s="354"/>
      <c r="S48" s="1494" t="str">
        <f>INDEX(PT_DIFFERENTIATION_NUM_CS,MATCH(C48,PT_DIFFERENTIATION_CS_ID,0))</f>
        <v>..</v>
      </c>
      <c r="T48" s="310" t="s">
        <v>527</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528</v>
      </c>
      <c r="BE48" s="501"/>
      <c r="BF48" s="501" t="str">
        <f>IF(T48="","",T48)</f>
        <v>Наименование централизованной системы водоотведения</v>
      </c>
      <c r="BG48" s="501"/>
      <c r="BH48" s="501"/>
      <c r="BI48" s="1156">
        <v>34</v>
      </c>
    </row>
    <row s="1643" customFormat="1" customHeight="1" ht="0">
      <c r="A49" s="1344" t="s">
        <v>288</v>
      </c>
      <c r="B49" s="1344" t="s">
        <v>289</v>
      </c>
      <c r="C49" s="1344" t="s">
        <v>290</v>
      </c>
      <c r="D49" s="1344" t="s">
        <v>540</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414</v>
      </c>
      <c r="BE49" s="501"/>
      <c r="BF49" s="501" t="str">
        <f>IF(T49="","",T49)</f>
        <v/>
      </c>
      <c r="BG49" s="501"/>
      <c r="BH49" s="501"/>
      <c r="BI49" s="512">
        <v>0</v>
      </c>
    </row>
    <row s="1643" customFormat="1" customHeight="1" ht="0">
      <c r="A50" s="1344" t="s">
        <v>288</v>
      </c>
      <c r="B50" s="1344" t="s">
        <v>289</v>
      </c>
      <c r="C50" s="1344" t="s">
        <v>290</v>
      </c>
      <c r="D50" s="1344" t="s">
        <v>540</v>
      </c>
      <c r="E50" s="2260"/>
      <c r="F50" s="2260"/>
      <c r="G50" s="2260"/>
      <c r="H50" s="2260"/>
      <c r="I50" s="2257" t="str">
        <f>S49&amp;".1"</f>
        <v>.1</v>
      </c>
      <c r="J50" s="1344"/>
      <c r="K50" s="1344"/>
      <c r="L50" s="1347" t="s">
        <v>415</v>
      </c>
      <c r="M50" s="511"/>
      <c r="N50" s="511"/>
      <c r="O50" s="511"/>
      <c r="P50" s="2258">
        <v>1</v>
      </c>
      <c r="Q50" s="1482"/>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288</v>
      </c>
      <c r="B51" s="1344" t="s">
        <v>289</v>
      </c>
      <c r="C51" s="1344" t="s">
        <v>290</v>
      </c>
      <c r="D51" s="1344" t="s">
        <v>540</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288</v>
      </c>
      <c r="B52" s="1364" t="s">
        <v>289</v>
      </c>
      <c r="C52" s="1364" t="s">
        <v>290</v>
      </c>
      <c r="D52" s="1364" t="s">
        <v>540</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70" t="s">
        <v>63</v>
      </c>
      <c r="AB52" s="1735"/>
      <c r="AC52" s="1470" t="s">
        <v>63</v>
      </c>
      <c r="AD52" s="2186" t="s">
        <v>63</v>
      </c>
      <c r="AE52" s="2327"/>
      <c r="AF52" s="2206">
        <v>1</v>
      </c>
      <c r="AG52" s="2364"/>
      <c r="AH52" s="2108" t="s">
        <v>63</v>
      </c>
      <c r="AI52" s="2327"/>
      <c r="AJ52" s="2206">
        <v>1</v>
      </c>
      <c r="AK52" s="2328" t="s">
        <v>28</v>
      </c>
      <c r="AL52" s="2108" t="s">
        <v>63</v>
      </c>
      <c r="AM52" s="2193"/>
      <c r="AN52" s="2206">
        <v>1</v>
      </c>
      <c r="AO52" s="2358"/>
      <c r="AP52" s="2359" t="s">
        <v>63</v>
      </c>
      <c r="AQ52" s="312"/>
      <c r="AR52" s="1487">
        <v>1</v>
      </c>
      <c r="AS52" s="1493" t="s">
        <v>28</v>
      </c>
      <c r="AT52" s="752"/>
      <c r="AU52" s="1258"/>
      <c r="AV52" s="752"/>
      <c r="AW52" s="1258"/>
      <c r="AX52" s="1735"/>
      <c r="AY52" s="1470" t="s">
        <v>63</v>
      </c>
      <c r="AZ52" s="1735"/>
      <c r="BA52" s="1470" t="s">
        <v>63</v>
      </c>
      <c r="BB52" s="1349"/>
      <c r="BC52" s="2254" t="s">
        <v>512</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513</v>
      </c>
      <c r="AT53" s="1394"/>
      <c r="AU53" s="1497"/>
      <c r="AV53" s="1394"/>
      <c r="AW53" s="1497"/>
      <c r="AX53" s="1394"/>
      <c r="AY53" s="1394"/>
      <c r="AZ53" s="1394"/>
      <c r="BA53" s="1394"/>
      <c r="BB53" s="1398"/>
      <c r="BC53" s="2255"/>
      <c r="BE53" s="501"/>
      <c r="BF53" s="501"/>
      <c r="BG53" s="501"/>
      <c r="BH53" s="501"/>
      <c r="BI53" s="1156">
        <v>11</v>
      </c>
    </row>
    <row customHeight="1" ht="11.549999999999999">
      <c r="A54" s="1364" t="s">
        <v>288</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533</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288</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534</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288</v>
      </c>
      <c r="B56" s="1364" t="s">
        <v>289</v>
      </c>
      <c r="C56" s="1364" t="s">
        <v>290</v>
      </c>
      <c r="D56" s="1364" t="s">
        <v>540</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516</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288</v>
      </c>
      <c r="B57" s="1364" t="s">
        <v>289</v>
      </c>
      <c r="C57" s="1364" t="s">
        <v>290</v>
      </c>
      <c r="D57" s="1364" t="s">
        <v>540</v>
      </c>
      <c r="E57" s="2260"/>
      <c r="F57" s="2260"/>
      <c r="G57" s="2260"/>
      <c r="H57" s="2260"/>
      <c r="I57" s="2287"/>
      <c r="J57" s="2257"/>
      <c r="K57" s="1364"/>
      <c r="L57" s="1365"/>
      <c r="P57" s="2258"/>
      <c r="Q57" s="2258"/>
      <c r="R57" s="357"/>
      <c r="S57" s="1279"/>
      <c r="T57" s="288" t="s">
        <v>477</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288</v>
      </c>
      <c r="B58" s="1344" t="s">
        <v>289</v>
      </c>
      <c r="C58" s="1344" t="s">
        <v>290</v>
      </c>
      <c r="D58" s="1344" t="s">
        <v>540</v>
      </c>
      <c r="E58" s="2260"/>
      <c r="F58" s="2260"/>
      <c r="G58" s="2260"/>
      <c r="H58" s="2260"/>
      <c r="I58" s="2257"/>
      <c r="J58" s="1344"/>
      <c r="K58" s="1344"/>
      <c r="L58" s="1347"/>
      <c r="M58" s="511"/>
      <c r="N58" s="511"/>
      <c r="O58" s="511"/>
      <c r="P58" s="2258"/>
      <c r="Q58" s="1482"/>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288</v>
      </c>
      <c r="B59" s="1344" t="s">
        <v>289</v>
      </c>
      <c r="C59" s="1344" t="s">
        <v>290</v>
      </c>
      <c r="D59" s="1344" t="s">
        <v>540</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288</v>
      </c>
      <c r="B60" s="1344" t="s">
        <v>289</v>
      </c>
      <c r="C60" s="1344" t="s">
        <v>290</v>
      </c>
      <c r="D60" s="1315"/>
      <c r="E60" s="2260"/>
      <c r="F60" s="2260"/>
      <c r="G60" s="2259"/>
      <c r="H60" s="1315"/>
      <c r="I60" s="1315"/>
      <c r="J60" s="1315"/>
      <c r="K60" s="1315"/>
      <c r="L60" s="149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288</v>
      </c>
      <c r="B61" s="1344" t="s">
        <v>289</v>
      </c>
      <c r="C61" s="1315"/>
      <c r="D61" s="1315"/>
      <c r="E61" s="2260"/>
      <c r="F61" s="2259"/>
      <c r="G61" s="1315"/>
      <c r="H61" s="1315"/>
      <c r="I61" s="1315"/>
      <c r="J61" s="1315"/>
      <c r="K61" s="1315"/>
      <c r="L61" s="1495"/>
      <c r="M61" s="1322"/>
      <c r="N61" s="1322"/>
      <c r="P61" s="1317"/>
      <c r="Q61" s="1318"/>
      <c r="R61" s="1317"/>
      <c r="S61" s="1323"/>
      <c r="T61" s="1326" t="s">
        <v>232</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288</v>
      </c>
      <c r="B62" s="1344"/>
      <c r="C62" s="1344"/>
      <c r="D62" s="1344"/>
      <c r="E62" s="2259"/>
      <c r="F62" s="1344"/>
      <c r="G62" s="1344"/>
      <c r="H62" s="1344"/>
      <c r="I62" s="1344"/>
      <c r="J62" s="1344"/>
      <c r="K62" s="1344"/>
      <c r="L62" s="1347"/>
      <c r="M62" s="1322"/>
      <c r="N62" s="1322"/>
      <c r="O62" s="519"/>
      <c r="P62" s="381"/>
      <c r="Q62" s="1345"/>
      <c r="R62" s="381"/>
      <c r="S62" s="1323"/>
      <c r="T62" s="1326" t="s">
        <v>233</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95"/>
      <c r="M63" s="1322"/>
      <c r="N63" s="1322"/>
      <c r="P63" s="1317"/>
      <c r="Q63" s="1318"/>
      <c r="R63" s="1317"/>
      <c r="S63" s="1323"/>
      <c r="T63" s="1326" t="s">
        <v>240</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4.699999999999998">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14</v>
      </c>
    </row>
    <row customHeight="1" ht="14.699999999999998">
      <c r="O66" s="538"/>
      <c r="T66" s="1481"/>
      <c r="U66" s="1481"/>
      <c r="V66" s="1481"/>
      <c r="W66" s="1481"/>
      <c r="X66" s="1481"/>
      <c r="Y66" s="1481"/>
      <c r="Z66" s="1481"/>
      <c r="AA66" s="1481"/>
      <c r="AB66" s="1481"/>
      <c r="AC66" s="1481"/>
      <c r="AD66" s="1481"/>
      <c r="AE66" s="1481"/>
      <c r="AF66" s="1481"/>
      <c r="AG66" s="1481"/>
      <c r="AH66" s="1481"/>
      <c r="AI66" s="1481"/>
      <c r="AJ66" s="1481"/>
      <c r="AK66" s="1481"/>
      <c r="AL66" s="1481"/>
      <c r="AM66" s="1481"/>
      <c r="AN66" s="1481"/>
      <c r="AO66" s="1481"/>
      <c r="AP66" s="1481"/>
      <c r="AQ66" s="1481"/>
      <c r="AR66" s="1481"/>
      <c r="AS66" s="1481"/>
      <c r="AT66" s="1481"/>
      <c r="AU66" s="1481"/>
      <c r="AV66" s="1481"/>
      <c r="AW66" s="1481"/>
      <c r="AX66" s="1481"/>
      <c r="AY66" s="1481"/>
      <c r="AZ66" s="1481"/>
      <c r="BA66" s="1481"/>
      <c r="BB66" s="1481"/>
      <c r="BC66" s="1481"/>
      <c r="BI66" s="1156">
        <v>14</v>
      </c>
    </row>
    <row customHeight="1" ht="14.699999999999998">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14</v>
      </c>
    </row>
    <row customHeight="1" ht="14.699999999999998">
      <c r="O68" s="538"/>
      <c r="BI68" s="1156">
        <v>14</v>
      </c>
    </row>
    <row customHeight="1" ht="14.25" hidden="1">
      <c r="A69" s="1161" t="s">
        <v>84</v>
      </c>
      <c r="B69" s="1161">
        <v>0</v>
      </c>
      <c r="C69" s="1161">
        <v>0</v>
      </c>
      <c r="D69" s="1161">
        <v>0</v>
      </c>
      <c r="E69" s="1161">
        <v>0</v>
      </c>
      <c r="F69" s="1161">
        <v>0</v>
      </c>
      <c r="G69" s="1161">
        <v>0</v>
      </c>
      <c r="H69" s="1161">
        <v>0</v>
      </c>
      <c r="I69" s="1161">
        <v>0</v>
      </c>
      <c r="J69" s="1161">
        <v>0</v>
      </c>
      <c r="K69" s="1161">
        <v>0</v>
      </c>
      <c r="L69" s="1479">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BF4BF1D-159D-B45A-C238-0.046EA074}" mc:Ignorable="x14ac xr xr2 xr3">
  <sheetPr>
    <tabColor theme="6" tint="0.4"/>
  </sheetPr>
  <dimension ref="A1:AY59"/>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8" style="1636" width="19.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19.7109375" customWidth="1"/>
    <col min="34" max="39" style="1636" width="19.00390625" customWidth="1"/>
    <col min="40" max="40" style="1636" width="11.00390625" customWidth="1"/>
    <col min="41" max="41" style="1636" width="3.7109375" customWidth="1"/>
    <col min="42" max="42" style="1636" width="11.00390625" customWidth="1"/>
    <col min="43" max="43" style="1636" width="8.57421875" hidden="1" customWidth="1"/>
    <col min="44" max="44" style="1636" width="4.00390625" customWidth="1"/>
    <col min="45" max="45" style="1636" width="115.00390625" customWidth="1"/>
    <col min="46" max="50" style="1643" width="10.00390625" customWidth="1"/>
    <col min="51" max="51" style="1636" width="10.57421875" hidden="1"/>
  </cols>
  <sheetData>
    <row customHeight="1" ht="22.5" hidden="1">
      <c r="AC1" s="328"/>
      <c r="AN1" s="328"/>
      <c r="AY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126</v>
      </c>
      <c r="U2" s="301"/>
      <c r="V2" s="2243"/>
      <c r="W2" s="2244"/>
      <c r="X2" s="2244"/>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4"/>
      <c r="AQ2" s="2244"/>
      <c r="AR2" s="2245"/>
      <c r="AS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U2" s="501"/>
      <c r="AV2" s="501" t="str">
        <f>IF(T2="","",T2)</f>
        <v>Наименование тарифа</v>
      </c>
      <c r="AW2" s="501"/>
      <c r="AX2" s="501"/>
      <c r="AY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409</v>
      </c>
      <c r="U3" s="301"/>
      <c r="V3" s="2243"/>
      <c r="W3" s="2244"/>
      <c r="X3" s="2244"/>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4"/>
      <c r="AQ3" s="2244"/>
      <c r="AR3" s="2245"/>
      <c r="AS3" s="1259" t="s">
        <v>410</v>
      </c>
      <c r="AU3" s="501"/>
      <c r="AV3" s="501" t="str">
        <f>IF(T3="","",T3)</f>
        <v>Территория действия тарифа</v>
      </c>
      <c r="AW3" s="501"/>
      <c r="AX3" s="501"/>
      <c r="AY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541</v>
      </c>
      <c r="U4" s="301"/>
      <c r="V4" s="2243"/>
      <c r="W4" s="2244"/>
      <c r="X4" s="2244"/>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4"/>
      <c r="AQ4" s="2244"/>
      <c r="AR4" s="2245"/>
      <c r="AS4" s="1259" t="s">
        <v>542</v>
      </c>
      <c r="AU4" s="501"/>
      <c r="AV4" s="501" t="str">
        <f>IF(T4="","",T4)</f>
        <v>Наименование централизованной системы горячего водоснабжения</v>
      </c>
      <c r="AW4" s="501"/>
      <c r="AX4" s="501"/>
      <c r="AY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492</v>
      </c>
      <c r="U5" s="301"/>
      <c r="V5" s="2351"/>
      <c r="W5" s="2352"/>
      <c r="X5" s="2352"/>
      <c r="Y5" s="2352"/>
      <c r="Z5" s="2352"/>
      <c r="AA5" s="2352"/>
      <c r="AB5" s="2352"/>
      <c r="AC5" s="2352"/>
      <c r="AD5" s="2352"/>
      <c r="AE5" s="2352"/>
      <c r="AF5" s="2353"/>
      <c r="AG5" s="2354"/>
      <c r="AH5" s="2355"/>
      <c r="AI5" s="2355"/>
      <c r="AJ5" s="2355"/>
      <c r="AK5" s="2355"/>
      <c r="AL5" s="2355"/>
      <c r="AM5" s="2355"/>
      <c r="AN5" s="2355"/>
      <c r="AO5" s="2355"/>
      <c r="AP5" s="2355"/>
      <c r="AQ5" s="2355"/>
      <c r="AR5" s="2356"/>
      <c r="AS5" s="1259" t="s">
        <v>493</v>
      </c>
      <c r="AU5" s="501"/>
      <c r="AV5" s="501" t="str">
        <f>IF(T5="","",T5)</f>
        <v>Наименование признака дифференциации</v>
      </c>
      <c r="AW5" s="501"/>
      <c r="AX5" s="501"/>
      <c r="AY5" s="1156">
        <v>0</v>
      </c>
    </row>
    <row customHeight="1" ht="23.25" hidden="1">
      <c r="A6" s="1364"/>
      <c r="B6" s="1364"/>
      <c r="C6" s="1364"/>
      <c r="D6" s="1364"/>
      <c r="E6" s="2260"/>
      <c r="F6" s="2260"/>
      <c r="G6" s="2260"/>
      <c r="H6" s="2260"/>
      <c r="I6" s="2287"/>
      <c r="J6" s="2257">
        <f>I5&amp;".1"</f>
      </c>
      <c r="K6" s="1364"/>
      <c r="L6" s="1365" t="s">
        <v>418</v>
      </c>
      <c r="P6" s="2258"/>
      <c r="Q6" s="2258">
        <v>1</v>
      </c>
      <c r="R6" s="358"/>
      <c r="S6" s="1494">
        <f>$J6</f>
      </c>
      <c r="T6" s="287" t="s">
        <v>419</v>
      </c>
      <c r="U6" s="301"/>
      <c r="V6" s="2246"/>
      <c r="W6" s="2247"/>
      <c r="X6" s="2247"/>
      <c r="Y6" s="2247"/>
      <c r="Z6" s="2247"/>
      <c r="AA6" s="2247"/>
      <c r="AB6" s="2247"/>
      <c r="AC6" s="2247"/>
      <c r="AD6" s="2247"/>
      <c r="AE6" s="2247"/>
      <c r="AF6" s="2248"/>
      <c r="AG6" s="2246"/>
      <c r="AH6" s="2247"/>
      <c r="AI6" s="2247"/>
      <c r="AJ6" s="2247"/>
      <c r="AK6" s="2247"/>
      <c r="AL6" s="2247"/>
      <c r="AM6" s="2247"/>
      <c r="AN6" s="2247"/>
      <c r="AO6" s="2247"/>
      <c r="AP6" s="2247"/>
      <c r="AQ6" s="2247"/>
      <c r="AR6" s="2248"/>
      <c r="AS6" s="1308" t="s">
        <v>494</v>
      </c>
      <c r="AU6" s="501"/>
      <c r="AV6" s="501" t="str">
        <f>IF(T6="","",T6)</f>
        <v>Группа потребителей</v>
      </c>
      <c r="AW6" s="501"/>
      <c r="AX6" s="501"/>
      <c r="AY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752"/>
      <c r="Y7" s="752"/>
      <c r="Z7" s="752"/>
      <c r="AA7" s="752"/>
      <c r="AB7" s="752"/>
      <c r="AC7" s="2266"/>
      <c r="AD7" s="2108" t="s">
        <v>63</v>
      </c>
      <c r="AE7" s="2266"/>
      <c r="AF7" s="2108" t="s">
        <v>63</v>
      </c>
      <c r="AG7" s="752"/>
      <c r="AH7" s="752"/>
      <c r="AI7" s="752"/>
      <c r="AJ7" s="752"/>
      <c r="AK7" s="752"/>
      <c r="AL7" s="752"/>
      <c r="AM7" s="752"/>
      <c r="AN7" s="2266"/>
      <c r="AO7" s="2108" t="s">
        <v>63</v>
      </c>
      <c r="AP7" s="2288"/>
      <c r="AQ7" s="2108" t="s">
        <v>63</v>
      </c>
      <c r="AR7" s="1439"/>
      <c r="AS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2">
        <f>STRCHECKDATE(V8:AR8)</f>
      </c>
      <c r="AU7" s="501"/>
      <c r="AV7" s="501" t="str">
        <f>IF(T7="","",T7)</f>
        <v/>
      </c>
      <c r="AW7" s="501"/>
      <c r="AX7" s="501"/>
      <c r="AY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6"/>
      <c r="Y8" s="326"/>
      <c r="Z8" s="326"/>
      <c r="AA8" s="326"/>
      <c r="AB8" s="326"/>
      <c r="AC8" s="2267"/>
      <c r="AD8" s="2108"/>
      <c r="AE8" s="2267"/>
      <c r="AF8" s="2108"/>
      <c r="AG8" s="326"/>
      <c r="AH8" s="326"/>
      <c r="AI8" s="326"/>
      <c r="AJ8" s="326"/>
      <c r="AK8" s="326"/>
      <c r="AL8" s="326"/>
      <c r="AM8" s="326"/>
      <c r="AN8" s="2267"/>
      <c r="AO8" s="2108"/>
      <c r="AP8" s="2289"/>
      <c r="AQ8" s="2108"/>
      <c r="AR8" s="1440"/>
      <c r="AS8" s="2350"/>
      <c r="AU8" s="501"/>
      <c r="AV8" s="501" t="str">
        <f>IF(T8="","",T8)</f>
        <v/>
      </c>
      <c r="AW8" s="501"/>
      <c r="AX8" s="501"/>
      <c r="AY8" s="1156">
        <v>0</v>
      </c>
    </row>
    <row customHeight="1" ht="21" hidden="1">
      <c r="A9" s="1364"/>
      <c r="B9" s="1364"/>
      <c r="C9" s="1364"/>
      <c r="D9" s="1364"/>
      <c r="E9" s="2260"/>
      <c r="F9" s="2260"/>
      <c r="G9" s="2260"/>
      <c r="H9" s="2260"/>
      <c r="I9" s="2287"/>
      <c r="J9" s="2257"/>
      <c r="K9" s="1364"/>
      <c r="L9" s="1365"/>
      <c r="P9" s="2258"/>
      <c r="Q9" s="2258"/>
      <c r="R9" s="357"/>
      <c r="S9" s="1279"/>
      <c r="T9" s="288" t="s">
        <v>495</v>
      </c>
      <c r="U9" s="368"/>
      <c r="V9" s="368"/>
      <c r="W9" s="601"/>
      <c r="X9" s="601"/>
      <c r="Y9" s="601"/>
      <c r="Z9" s="601"/>
      <c r="AA9" s="601"/>
      <c r="AB9" s="601"/>
      <c r="AC9" s="368"/>
      <c r="AD9" s="368"/>
      <c r="AE9" s="368"/>
      <c r="AF9" s="368"/>
      <c r="AG9" s="368"/>
      <c r="AH9" s="601"/>
      <c r="AI9" s="601"/>
      <c r="AJ9" s="601"/>
      <c r="AK9" s="601"/>
      <c r="AL9" s="601"/>
      <c r="AM9" s="368"/>
      <c r="AN9" s="368"/>
      <c r="AO9" s="368"/>
      <c r="AP9" s="368"/>
      <c r="AQ9" s="368"/>
      <c r="AR9" s="368"/>
      <c r="AS9" s="1259" t="s">
        <v>496</v>
      </c>
      <c r="AU9" s="501"/>
      <c r="AV9" s="501" t="str">
        <f>IF(T9="","",T9)</f>
        <v>Добавить значение признака дифференциации</v>
      </c>
      <c r="AW9" s="501"/>
      <c r="AX9" s="501"/>
      <c r="AY9" s="1156">
        <v>0</v>
      </c>
    </row>
    <row customHeight="1" ht="21" hidden="1">
      <c r="A10" s="1364"/>
      <c r="B10" s="1364"/>
      <c r="C10" s="1364"/>
      <c r="D10" s="1364"/>
      <c r="E10" s="2260"/>
      <c r="F10" s="2260"/>
      <c r="G10" s="2260"/>
      <c r="H10" s="2260"/>
      <c r="I10" s="2257"/>
      <c r="J10" s="1364"/>
      <c r="K10" s="1364"/>
      <c r="L10" s="1365"/>
      <c r="P10" s="2258"/>
      <c r="Q10" s="1482"/>
      <c r="R10" s="357"/>
      <c r="S10" s="1279"/>
      <c r="T10" s="366" t="s">
        <v>424</v>
      </c>
      <c r="U10" s="368"/>
      <c r="V10" s="368"/>
      <c r="W10" s="601"/>
      <c r="X10" s="601"/>
      <c r="Y10" s="601"/>
      <c r="Z10" s="601"/>
      <c r="AA10" s="601"/>
      <c r="AB10" s="601"/>
      <c r="AC10" s="368"/>
      <c r="AD10" s="368"/>
      <c r="AE10" s="368"/>
      <c r="AF10" s="367"/>
      <c r="AG10" s="368"/>
      <c r="AH10" s="601"/>
      <c r="AI10" s="601"/>
      <c r="AJ10" s="601"/>
      <c r="AK10" s="601"/>
      <c r="AL10" s="601"/>
      <c r="AM10" s="368"/>
      <c r="AN10" s="368"/>
      <c r="AO10" s="368"/>
      <c r="AP10" s="368"/>
      <c r="AQ10" s="367"/>
      <c r="AR10" s="368"/>
      <c r="AS10" s="1441"/>
      <c r="AU10" s="501"/>
      <c r="AV10" s="501" t="str">
        <f>IF(T10="","",T10)</f>
        <v>Добавить группу потребителей</v>
      </c>
      <c r="AW10" s="501"/>
      <c r="AX10" s="501"/>
      <c r="AY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497</v>
      </c>
      <c r="U11" s="368"/>
      <c r="V11" s="368"/>
      <c r="W11" s="601"/>
      <c r="X11" s="601"/>
      <c r="Y11" s="601"/>
      <c r="Z11" s="601"/>
      <c r="AA11" s="601"/>
      <c r="AB11" s="601"/>
      <c r="AC11" s="368"/>
      <c r="AD11" s="368"/>
      <c r="AE11" s="368"/>
      <c r="AF11" s="367"/>
      <c r="AG11" s="368"/>
      <c r="AH11" s="601"/>
      <c r="AI11" s="601"/>
      <c r="AJ11" s="601"/>
      <c r="AK11" s="601"/>
      <c r="AL11" s="601"/>
      <c r="AM11" s="368"/>
      <c r="AN11" s="368"/>
      <c r="AO11" s="368"/>
      <c r="AP11" s="368"/>
      <c r="AQ11" s="367"/>
      <c r="AR11" s="368"/>
      <c r="AS11" s="304"/>
      <c r="AU11" s="501"/>
      <c r="AV11" s="501" t="str">
        <f>IF(T11="","",T11)</f>
        <v>Добавить наименование признака дифференциации</v>
      </c>
      <c r="AW11" s="501"/>
      <c r="AX11" s="501"/>
      <c r="AY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232</v>
      </c>
      <c r="U12" s="1325"/>
      <c r="V12" s="1325"/>
      <c r="W12" s="1325"/>
      <c r="X12" s="1325"/>
      <c r="Y12" s="1325"/>
      <c r="Z12" s="1325"/>
      <c r="AA12" s="1325"/>
      <c r="AB12" s="1325"/>
      <c r="AC12" s="1325"/>
      <c r="AD12" s="1325"/>
      <c r="AE12" s="1325"/>
      <c r="AF12" s="1325"/>
      <c r="AG12" s="1325"/>
      <c r="AH12" s="1325"/>
      <c r="AI12" s="1325"/>
      <c r="AJ12" s="1325"/>
      <c r="AK12" s="1325"/>
      <c r="AL12" s="1325"/>
      <c r="AM12" s="1325"/>
      <c r="AN12" s="1325"/>
      <c r="AO12" s="1325"/>
      <c r="AP12" s="1325"/>
      <c r="AQ12" s="1325"/>
      <c r="AR12" s="1325"/>
      <c r="AS12" s="1325"/>
      <c r="AU12" s="790"/>
      <c r="AV12" s="790" t="str">
        <f>IF(T12="","",T12)</f>
        <v>Добавить централизованную систему для дифференциации</v>
      </c>
      <c r="AW12" s="790"/>
      <c r="AX12" s="790"/>
      <c r="AY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233</v>
      </c>
      <c r="U13" s="1325"/>
      <c r="V13" s="1325"/>
      <c r="W13" s="1325"/>
      <c r="X13" s="1325"/>
      <c r="Y13" s="1325"/>
      <c r="Z13" s="1325"/>
      <c r="AA13" s="1325"/>
      <c r="AB13" s="1325"/>
      <c r="AC13" s="1325"/>
      <c r="AD13" s="1325"/>
      <c r="AE13" s="1325"/>
      <c r="AF13" s="1325"/>
      <c r="AG13" s="1325"/>
      <c r="AH13" s="1325"/>
      <c r="AI13" s="1325"/>
      <c r="AJ13" s="1325"/>
      <c r="AK13" s="1325"/>
      <c r="AL13" s="1325"/>
      <c r="AM13" s="1325"/>
      <c r="AN13" s="1325"/>
      <c r="AO13" s="1325"/>
      <c r="AP13" s="1325"/>
      <c r="AQ13" s="1325"/>
      <c r="AR13" s="1325"/>
      <c r="AS13" s="1325"/>
      <c r="AU13" s="501"/>
      <c r="AV13" s="501" t="str">
        <f>IF(T13="","",T13)</f>
        <v>Добавить территорию для дифференциации</v>
      </c>
      <c r="AW13" s="501"/>
      <c r="AX13" s="501"/>
      <c r="AY13" s="512">
        <v>0</v>
      </c>
    </row>
    <row customHeight="1" ht="14.25" hidden="1">
      <c r="AF14" s="328"/>
      <c r="AQ14" s="328"/>
      <c r="AY14" s="1156">
        <v>0</v>
      </c>
    </row>
    <row customHeight="1" ht="14.25" hidden="1">
      <c r="AG15" s="1361"/>
      <c r="AH15" s="1361"/>
      <c r="AI15" s="1361"/>
      <c r="AJ15" s="1361"/>
      <c r="AK15" s="1361"/>
      <c r="AL15" s="1361"/>
      <c r="AM15" s="1361"/>
      <c r="AN15" s="2268"/>
      <c r="AO15" s="2269" t="s">
        <v>63</v>
      </c>
      <c r="AP15" s="2268"/>
      <c r="AQ15" s="2269" t="s">
        <v>63</v>
      </c>
      <c r="AY15" s="1156">
        <v>0</v>
      </c>
    </row>
    <row customHeight="1" ht="14.25" hidden="1">
      <c r="AG16" s="1361"/>
      <c r="AH16" s="1361"/>
      <c r="AI16" s="1361"/>
      <c r="AJ16" s="1361"/>
      <c r="AK16" s="1361"/>
      <c r="AL16" s="1361"/>
      <c r="AM16" s="1361"/>
      <c r="AN16" s="2269"/>
      <c r="AO16" s="2269"/>
      <c r="AP16" s="2269"/>
      <c r="AQ16" s="2269"/>
      <c r="AY16" s="1156">
        <v>0</v>
      </c>
    </row>
    <row customHeight="1" ht="14.25" hidden="1">
      <c r="AQ17" s="328"/>
      <c r="AY17" s="1156">
        <v>0</v>
      </c>
    </row>
    <row s="1367" customFormat="1" customHeight="1" ht="22.5" hidden="1">
      <c r="L18" s="1479"/>
      <c r="M18" s="1363"/>
      <c r="N18" s="1363"/>
      <c r="O18" s="1368" t="s">
        <v>427</v>
      </c>
      <c r="P18" s="1363"/>
      <c r="Q18" s="1372"/>
      <c r="R18" s="1372"/>
      <c r="S18" s="730"/>
      <c r="W18" s="1367"/>
      <c r="X18" s="1367"/>
      <c r="Y18" s="1367"/>
      <c r="Z18" s="1367"/>
      <c r="AA18" s="1367"/>
      <c r="AB18" s="1367"/>
      <c r="AC18" s="1368"/>
      <c r="AE18" s="1368"/>
      <c r="AF18" s="1367"/>
      <c r="AH18" s="1367"/>
      <c r="AI18" s="1367"/>
      <c r="AJ18" s="1367"/>
      <c r="AK18" s="1367"/>
      <c r="AL18" s="1367"/>
      <c r="AN18" s="1368"/>
      <c r="AP18" s="1368"/>
      <c r="AQ18" s="1367"/>
      <c r="AT18" s="512"/>
      <c r="AU18" s="512"/>
      <c r="AV18" s="512"/>
      <c r="AW18" s="512"/>
      <c r="AX18" s="512"/>
      <c r="AY18" s="1161">
        <v>0</v>
      </c>
    </row>
    <row s="1367" customFormat="1" customHeight="1" ht="14.25" hidden="1">
      <c r="L19" s="1479"/>
      <c r="M19" s="1363"/>
      <c r="N19" s="1363"/>
      <c r="O19" s="1363"/>
      <c r="P19" s="1363"/>
      <c r="Q19" s="1372"/>
      <c r="R19" s="1372"/>
      <c r="S19" s="730"/>
      <c r="W19" s="1367"/>
      <c r="X19" s="1367"/>
      <c r="Y19" s="1367"/>
      <c r="Z19" s="1367"/>
      <c r="AA19" s="1367"/>
      <c r="AB19" s="1367"/>
      <c r="AF19" s="1367"/>
      <c r="AH19" s="1367"/>
      <c r="AI19" s="1367"/>
      <c r="AJ19" s="1367"/>
      <c r="AK19" s="1367"/>
      <c r="AL19" s="1367"/>
      <c r="AQ19" s="1367"/>
      <c r="AT19" s="512"/>
      <c r="AU19" s="512"/>
      <c r="AV19" s="512"/>
      <c r="AW19" s="512"/>
      <c r="AX19" s="512"/>
      <c r="AY19" s="1161">
        <v>0</v>
      </c>
    </row>
    <row s="1367" customFormat="1" customHeight="1" ht="12" hidden="1">
      <c r="L20" s="1479"/>
      <c r="M20" s="1363"/>
      <c r="N20" s="1363"/>
      <c r="O20" s="1365" t="s">
        <v>428</v>
      </c>
      <c r="P20" s="1363"/>
      <c r="Q20" s="1443"/>
      <c r="R20" s="1443"/>
      <c r="S20" s="730"/>
      <c r="T20" s="1161" t="s">
        <v>429</v>
      </c>
      <c r="W20" s="1367"/>
      <c r="X20" s="1367"/>
      <c r="Y20" s="1367"/>
      <c r="Z20" s="1367"/>
      <c r="AA20" s="1367"/>
      <c r="AB20" s="1367"/>
      <c r="AD20" s="187" t="s">
        <v>430</v>
      </c>
      <c r="AF20" s="187" t="s">
        <v>431</v>
      </c>
      <c r="AG20" s="1161" t="s">
        <v>429</v>
      </c>
      <c r="AH20" s="1367"/>
      <c r="AI20" s="1367"/>
      <c r="AJ20" s="1367"/>
      <c r="AK20" s="1367"/>
      <c r="AL20" s="1367"/>
      <c r="AO20" s="187" t="s">
        <v>432</v>
      </c>
      <c r="AQ20" s="187" t="s">
        <v>431</v>
      </c>
      <c r="AY20" s="1161">
        <v>0</v>
      </c>
    </row>
    <row customHeight="1" ht="14.25" hidden="1">
      <c r="O21" s="1365"/>
      <c r="AY21" s="1156">
        <v>0</v>
      </c>
    </row>
    <row customHeight="1" ht="14.25" hidden="1">
      <c r="O22" s="1365"/>
      <c r="AY22" s="1156">
        <v>0</v>
      </c>
    </row>
    <row customHeight="1" ht="14.699999999999998">
      <c r="Q23" s="377"/>
      <c r="R23" s="377"/>
      <c r="S23" s="1276"/>
      <c r="T23" s="364"/>
      <c r="U23" s="364"/>
      <c r="V23" s="510"/>
      <c r="W23" s="1636"/>
      <c r="X23" s="1636"/>
      <c r="Y23" s="1636"/>
      <c r="Z23" s="1636"/>
      <c r="AA23" s="1636"/>
      <c r="AB23" s="1636"/>
      <c r="AC23" s="510"/>
      <c r="AD23" s="510"/>
      <c r="AE23" s="510"/>
      <c r="AF23" s="510"/>
      <c r="AG23" s="510"/>
      <c r="AH23" s="1636"/>
      <c r="AI23" s="1636"/>
      <c r="AJ23" s="1636"/>
      <c r="AK23" s="1636"/>
      <c r="AL23" s="1636"/>
      <c r="AM23" s="510"/>
      <c r="AN23" s="510"/>
      <c r="AO23" s="510"/>
      <c r="AP23" s="510"/>
      <c r="AQ23" s="510"/>
      <c r="AY23" s="1156">
        <v>14</v>
      </c>
    </row>
    <row customHeight="1" ht="26.25">
      <c r="Q24" s="377"/>
      <c r="R24" s="377"/>
      <c r="S24" s="2249" t="str">
        <f>IF(TEMPLATE_GROUP="P",PT_P_FORM_HOTVSNA_4_NAME_FORM,PT_R_FORM_HOTVSNA_16_NAME_FORM)</f>
        <v>Форма 2. Информация о тарифах в сфере горячего водоснабжения на товары (услуги) организации горячего водоснабжения, подлежащих регулированию</v>
      </c>
      <c r="T24" s="2249"/>
      <c r="U24" s="2249"/>
      <c r="V24" s="2249"/>
      <c r="W24" s="2249"/>
      <c r="X24" s="2249"/>
      <c r="Y24" s="2249"/>
      <c r="Z24" s="2249"/>
      <c r="AA24" s="2249"/>
      <c r="AB24" s="2249"/>
      <c r="AC24" s="2249"/>
      <c r="AD24" s="2249"/>
      <c r="AE24" s="2249"/>
      <c r="AF24" s="2249"/>
      <c r="AG24" s="2249"/>
      <c r="AH24" s="2249"/>
      <c r="AI24" s="2249"/>
      <c r="AJ24" s="2249"/>
      <c r="AK24" s="2249"/>
      <c r="AL24" s="2249"/>
      <c r="AM24" s="2249"/>
      <c r="AN24" s="2249"/>
      <c r="AO24" s="2249"/>
      <c r="AP24" s="2249"/>
      <c r="AQ24" s="1244"/>
      <c r="AY24" s="1156">
        <v>25</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2250"/>
      <c r="AJ25" s="2250"/>
      <c r="AK25" s="2250"/>
      <c r="AL25" s="2250"/>
      <c r="AM25" s="2250"/>
      <c r="AN25" s="2250"/>
      <c r="AO25" s="2250"/>
      <c r="AP25" s="2250"/>
      <c r="AQ25" s="1244"/>
      <c r="AY25" s="1156">
        <v>14</v>
      </c>
    </row>
    <row customHeight="1" ht="14.25">
      <c r="Q26" s="377"/>
      <c r="R26" s="377"/>
      <c r="S26" s="1276"/>
      <c r="T26" s="364"/>
      <c r="U26" s="364"/>
      <c r="V26" s="323"/>
      <c r="W26" s="323"/>
      <c r="X26" s="323"/>
      <c r="Y26" s="323"/>
      <c r="Z26" s="323"/>
      <c r="AA26" s="323"/>
      <c r="AB26" s="323"/>
      <c r="AC26" s="323"/>
      <c r="AD26" s="323"/>
      <c r="AE26" s="323"/>
      <c r="AF26" s="323"/>
      <c r="AG26" s="323"/>
      <c r="AH26" s="323"/>
      <c r="AI26" s="323"/>
      <c r="AJ26" s="323"/>
      <c r="AK26" s="323"/>
      <c r="AL26" s="323"/>
      <c r="AM26" s="323"/>
      <c r="AN26" s="323"/>
      <c r="AO26" s="323"/>
      <c r="AP26" s="323"/>
      <c r="AQ26" s="323"/>
      <c r="AR26" s="510"/>
      <c r="AY26" s="1156">
        <v>0</v>
      </c>
    </row>
    <row s="1854" customFormat="1" customHeight="1" ht="25.5">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Управление по государственному регулированию цен (тарифов) Ненецкого автономного округа</v>
      </c>
      <c r="W27" s="2252"/>
      <c r="X27" s="2252"/>
      <c r="Y27" s="2252"/>
      <c r="Z27" s="2252"/>
      <c r="AA27" s="2252"/>
      <c r="AB27" s="2252"/>
      <c r="AC27" s="2252"/>
      <c r="AD27" s="2252"/>
      <c r="AE27" s="2252"/>
      <c r="AF27" s="327"/>
      <c r="AG27" s="2252" t="str">
        <f>IF(TITLE_NAME_OR_PR_CHANGE="",IF(TITLE_NAME_OR_PR="","",TITLE_NAME_OR_PR),TITLE_NAME_OR_PR_CHANGE)</f>
        <v>Управление по государственному регулированию цен (тарифов) Ненецкого автономного округа</v>
      </c>
      <c r="AH27" s="2252"/>
      <c r="AI27" s="2252"/>
      <c r="AJ27" s="2252"/>
      <c r="AK27" s="2252"/>
      <c r="AL27" s="2252"/>
      <c r="AM27" s="2252"/>
      <c r="AN27" s="2252"/>
      <c r="AO27" s="2252"/>
      <c r="AP27" s="2252"/>
      <c r="AQ27" s="327"/>
      <c r="AR27" s="327"/>
      <c r="AS27" s="281"/>
      <c r="AT27" s="369"/>
      <c r="AU27" s="369"/>
      <c r="AV27" s="369"/>
      <c r="AW27" s="369"/>
      <c r="AX27" s="369"/>
      <c r="AY27" s="419">
        <v>0</v>
      </c>
    </row>
    <row s="1854" customFormat="1" customHeight="1" ht="18.75">
      <c r="A28" s="1369"/>
      <c r="B28" s="1369"/>
      <c r="C28" s="1369"/>
      <c r="D28" s="1369"/>
      <c r="E28" s="1369"/>
      <c r="F28" s="1369"/>
      <c r="G28" s="1369"/>
      <c r="H28" s="1369"/>
      <c r="I28" s="1369"/>
      <c r="J28" s="1369"/>
      <c r="K28" s="1369"/>
      <c r="L28" s="1370"/>
      <c r="M28" s="1369"/>
      <c r="N28" s="1369"/>
      <c r="O28" s="1369"/>
      <c r="S28" s="2251" t="s">
        <v>433</v>
      </c>
      <c r="T28" s="2251"/>
      <c r="U28" s="1373"/>
      <c r="V28" s="2265" t="str">
        <f>IF(TITLE_DATE_PR_CHANGE="",IF(TITLE_DATE_PR="","",TITLE_DATE_PR),TITLE_DATE_PR_CHANGE)</f>
        <v>45642</v>
      </c>
      <c r="W28" s="2265"/>
      <c r="X28" s="2265"/>
      <c r="Y28" s="2265"/>
      <c r="Z28" s="2265"/>
      <c r="AA28" s="2265"/>
      <c r="AB28" s="2265"/>
      <c r="AC28" s="2265"/>
      <c r="AD28" s="2265"/>
      <c r="AE28" s="2265"/>
      <c r="AF28" s="327"/>
      <c r="AG28" s="2265" t="str">
        <f>IF(TITLE_DATE_PR_CHANGE="",IF(TITLE_DATE_PR="","",TITLE_DATE_PR),TITLE_DATE_PR_CHANGE)</f>
        <v>45642</v>
      </c>
      <c r="AH28" s="2265"/>
      <c r="AI28" s="2265"/>
      <c r="AJ28" s="2265"/>
      <c r="AK28" s="2265"/>
      <c r="AL28" s="2265"/>
      <c r="AM28" s="2265"/>
      <c r="AN28" s="2265"/>
      <c r="AO28" s="2265"/>
      <c r="AP28" s="2265"/>
      <c r="AQ28" s="327"/>
      <c r="AR28" s="327"/>
      <c r="AS28" s="281"/>
      <c r="AT28" s="369"/>
      <c r="AU28" s="369"/>
      <c r="AV28" s="369"/>
      <c r="AW28" s="369"/>
      <c r="AX28" s="369"/>
      <c r="AY28" s="419">
        <v>0</v>
      </c>
    </row>
    <row s="1854" customFormat="1" customHeight="1" ht="18.75">
      <c r="A29" s="1369"/>
      <c r="B29" s="1369"/>
      <c r="C29" s="1369"/>
      <c r="D29" s="1369"/>
      <c r="E29" s="1369"/>
      <c r="F29" s="1369"/>
      <c r="G29" s="1369"/>
      <c r="H29" s="1369"/>
      <c r="I29" s="1369"/>
      <c r="J29" s="1369"/>
      <c r="K29" s="1369"/>
      <c r="L29" s="1370"/>
      <c r="M29" s="1369"/>
      <c r="N29" s="1369"/>
      <c r="O29" s="1369"/>
      <c r="S29" s="2251" t="s">
        <v>434</v>
      </c>
      <c r="T29" s="2251"/>
      <c r="U29" s="1373"/>
      <c r="V29" s="2252" t="str">
        <f>IF(TITLE_NUMBER_PR_CHANGE="",IF(TITLE_NUMBER_PR="","",TITLE_NUMBER_PR),TITLE_NUMBER_PR_CHANGE)</f>
        <v>58</v>
      </c>
      <c r="W29" s="2252"/>
      <c r="X29" s="2252"/>
      <c r="Y29" s="2252"/>
      <c r="Z29" s="2252"/>
      <c r="AA29" s="2252"/>
      <c r="AB29" s="2252"/>
      <c r="AC29" s="2252"/>
      <c r="AD29" s="2252"/>
      <c r="AE29" s="2252"/>
      <c r="AF29" s="327"/>
      <c r="AG29" s="2252" t="str">
        <f>IF(TITLE_NUMBER_PR_CHANGE="",IF(TITLE_NUMBER_PR="","",TITLE_NUMBER_PR),TITLE_NUMBER_PR_CHANGE)</f>
        <v>58</v>
      </c>
      <c r="AH29" s="2252"/>
      <c r="AI29" s="2252"/>
      <c r="AJ29" s="2252"/>
      <c r="AK29" s="2252"/>
      <c r="AL29" s="2252"/>
      <c r="AM29" s="2252"/>
      <c r="AN29" s="2252"/>
      <c r="AO29" s="2252"/>
      <c r="AP29" s="2252"/>
      <c r="AQ29" s="327"/>
      <c r="AR29" s="327"/>
      <c r="AS29" s="281"/>
      <c r="AT29" s="369"/>
      <c r="AU29" s="369"/>
      <c r="AV29" s="369"/>
      <c r="AW29" s="369"/>
      <c r="AX29" s="369"/>
      <c r="AY29" s="419">
        <v>0</v>
      </c>
    </row>
    <row s="1854" customFormat="1" customHeight="1" ht="18.75">
      <c r="A30" s="1369"/>
      <c r="B30" s="1369"/>
      <c r="C30" s="1369"/>
      <c r="D30" s="1369"/>
      <c r="E30" s="1369"/>
      <c r="F30" s="1369"/>
      <c r="G30" s="1369"/>
      <c r="H30" s="1369"/>
      <c r="I30" s="1369"/>
      <c r="J30" s="1369"/>
      <c r="K30" s="1369"/>
      <c r="L30" s="1370"/>
      <c r="M30" s="1369"/>
      <c r="N30" s="1369"/>
      <c r="O30" s="1369"/>
      <c r="S30" s="2251" t="s">
        <v>44</v>
      </c>
      <c r="T30" s="2251"/>
      <c r="U30" s="1373"/>
      <c r="V30" s="2252" t="str">
        <f>IF(TITLE_IST_PUB_CHANGE="",IF(TITLE_IST_PUB="","",TITLE_IST_PUB),TITLE_IST_PUB_CHANGE)</f>
        <v>Официальный интернет портал правовой информации http://pravo.gov.ru </v>
      </c>
      <c r="W30" s="2252"/>
      <c r="X30" s="2252"/>
      <c r="Y30" s="2252"/>
      <c r="Z30" s="2252"/>
      <c r="AA30" s="2252"/>
      <c r="AB30" s="2252"/>
      <c r="AC30" s="2252"/>
      <c r="AD30" s="2252"/>
      <c r="AE30" s="2252"/>
      <c r="AF30" s="327"/>
      <c r="AG30" s="2252" t="str">
        <f>IF(TITLE_IST_PUB_CHANGE="",IF(TITLE_IST_PUB="","",TITLE_IST_PUB),TITLE_IST_PUB_CHANGE)</f>
        <v>Официальный интернет портал правовой информации http://pravo.gov.ru </v>
      </c>
      <c r="AH30" s="2252"/>
      <c r="AI30" s="2252"/>
      <c r="AJ30" s="2252"/>
      <c r="AK30" s="2252"/>
      <c r="AL30" s="2252"/>
      <c r="AM30" s="2252"/>
      <c r="AN30" s="2252"/>
      <c r="AO30" s="2252"/>
      <c r="AP30" s="2252"/>
      <c r="AQ30" s="327"/>
      <c r="AR30" s="327"/>
      <c r="AS30" s="281"/>
      <c r="AT30" s="369"/>
      <c r="AU30" s="369"/>
      <c r="AV30" s="369"/>
      <c r="AW30" s="369"/>
      <c r="AX30" s="369"/>
      <c r="AY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323"/>
      <c r="AK31" s="323"/>
      <c r="AL31" s="323"/>
      <c r="AM31" s="323"/>
      <c r="AN31" s="323"/>
      <c r="AO31" s="323"/>
      <c r="AP31" s="323"/>
      <c r="AQ31" s="323"/>
      <c r="AR31" s="510"/>
      <c r="AY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435</v>
      </c>
      <c r="T32" s="2251"/>
      <c r="U32" s="1373"/>
      <c r="V32" s="2265" t="str">
        <f>IF(TITLE_DATE_PR_CHANGE="",IF(TITLE_DATE_PR="","",TITLE_DATE_PR),TITLE_DATE_PR_CHANGE)</f>
        <v>45642</v>
      </c>
      <c r="W32" s="2265"/>
      <c r="X32" s="2265"/>
      <c r="Y32" s="2265"/>
      <c r="Z32" s="2265"/>
      <c r="AA32" s="2265"/>
      <c r="AB32" s="2265"/>
      <c r="AC32" s="2265"/>
      <c r="AD32" s="2265"/>
      <c r="AE32" s="2265"/>
      <c r="AF32" s="327"/>
      <c r="AG32" s="2265" t="str">
        <f>IF(TITLE_DATE_PR_CHANGE="",IF(TITLE_DATE_PR="","",TITLE_DATE_PR),TITLE_DATE_PR_CHANGE)</f>
        <v>45642</v>
      </c>
      <c r="AH32" s="2265"/>
      <c r="AI32" s="2265"/>
      <c r="AJ32" s="2265"/>
      <c r="AK32" s="2265"/>
      <c r="AL32" s="2265"/>
      <c r="AM32" s="2265"/>
      <c r="AN32" s="2265"/>
      <c r="AO32" s="2265"/>
      <c r="AP32" s="2265"/>
      <c r="AQ32" s="327"/>
      <c r="AR32" s="327"/>
      <c r="AS32" s="281"/>
      <c r="AT32" s="369"/>
      <c r="AU32" s="369"/>
      <c r="AV32" s="369"/>
      <c r="AW32" s="369"/>
      <c r="AX32" s="369"/>
      <c r="AY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436</v>
      </c>
      <c r="T33" s="2251"/>
      <c r="U33" s="1373"/>
      <c r="V33" s="2252" t="str">
        <f>IF(TITLE_NUMBER_PR_CHANGE="",IF(TITLE_NUMBER_PR="","",TITLE_NUMBER_PR),TITLE_NUMBER_PR_CHANGE)</f>
        <v>58</v>
      </c>
      <c r="W33" s="2252"/>
      <c r="X33" s="2252"/>
      <c r="Y33" s="2252"/>
      <c r="Z33" s="2252"/>
      <c r="AA33" s="2252"/>
      <c r="AB33" s="2252"/>
      <c r="AC33" s="2252"/>
      <c r="AD33" s="2252"/>
      <c r="AE33" s="2252"/>
      <c r="AF33" s="327"/>
      <c r="AG33" s="2252" t="str">
        <f>IF(TITLE_NUMBER_PR_CHANGE="",IF(TITLE_NUMBER_PR="","",TITLE_NUMBER_PR),TITLE_NUMBER_PR_CHANGE)</f>
        <v>58</v>
      </c>
      <c r="AH33" s="2252"/>
      <c r="AI33" s="2252"/>
      <c r="AJ33" s="2252"/>
      <c r="AK33" s="2252"/>
      <c r="AL33" s="2252"/>
      <c r="AM33" s="2252"/>
      <c r="AN33" s="2252"/>
      <c r="AO33" s="2252"/>
      <c r="AP33" s="2252"/>
      <c r="AQ33" s="327"/>
      <c r="AR33" s="327"/>
      <c r="AS33" s="281"/>
      <c r="AT33" s="369"/>
      <c r="AU33" s="369"/>
      <c r="AV33" s="369"/>
      <c r="AW33" s="369"/>
      <c r="AX33" s="369"/>
      <c r="AY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1636"/>
      <c r="X34" s="1636"/>
      <c r="Y34" s="1636"/>
      <c r="Z34" s="1636"/>
      <c r="AA34" s="1636"/>
      <c r="AB34" s="1636"/>
      <c r="AC34" s="327"/>
      <c r="AD34" s="327"/>
      <c r="AE34" s="327"/>
      <c r="AF34" s="279" t="s">
        <v>437</v>
      </c>
      <c r="AG34" s="327"/>
      <c r="AH34" s="1636"/>
      <c r="AI34" s="1636"/>
      <c r="AJ34" s="1636"/>
      <c r="AK34" s="1636"/>
      <c r="AL34" s="1636"/>
      <c r="AM34" s="327"/>
      <c r="AN34" s="327"/>
      <c r="AO34" s="327"/>
      <c r="AP34" s="327"/>
      <c r="AQ34" s="279" t="s">
        <v>437</v>
      </c>
      <c r="AT34" s="369"/>
      <c r="AU34" s="369"/>
      <c r="AV34" s="369"/>
      <c r="AW34" s="369"/>
      <c r="AX34" s="369"/>
      <c r="AY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J35" s="2253"/>
      <c r="AK35" s="2253"/>
      <c r="AL35" s="2253"/>
      <c r="AM35" s="2253"/>
      <c r="AN35" s="2253"/>
      <c r="AO35" s="2253"/>
      <c r="AP35" s="2253"/>
      <c r="AQ35" s="2253"/>
      <c r="AY35" s="1156">
        <v>14</v>
      </c>
    </row>
    <row customHeight="1" ht="14.699999999999998">
      <c r="Q36" s="377"/>
      <c r="R36" s="377"/>
      <c r="S36" s="2128" t="s">
        <v>312</v>
      </c>
      <c r="T36" s="2128"/>
      <c r="U36" s="2128"/>
      <c r="V36" s="2128"/>
      <c r="W36" s="2128"/>
      <c r="X36" s="2128"/>
      <c r="Y36" s="2128"/>
      <c r="Z36" s="2128"/>
      <c r="AA36" s="2128"/>
      <c r="AB36" s="2128"/>
      <c r="AC36" s="2128"/>
      <c r="AD36" s="2128"/>
      <c r="AE36" s="2128"/>
      <c r="AF36" s="2128"/>
      <c r="AG36" s="2128"/>
      <c r="AH36" s="2128"/>
      <c r="AI36" s="2128"/>
      <c r="AJ36" s="2128"/>
      <c r="AK36" s="2128"/>
      <c r="AL36" s="2128"/>
      <c r="AM36" s="2128"/>
      <c r="AN36" s="2128"/>
      <c r="AO36" s="2128"/>
      <c r="AP36" s="2128"/>
      <c r="AQ36" s="2128"/>
      <c r="AR36" s="2128"/>
      <c r="AS36" s="2128" t="s">
        <v>313</v>
      </c>
      <c r="AY36" s="1156">
        <v>14</v>
      </c>
    </row>
    <row customHeight="1" ht="14.699999999999998">
      <c r="Q37" s="377"/>
      <c r="R37" s="377"/>
      <c r="S37" s="2274" t="s">
        <v>90</v>
      </c>
      <c r="T37" s="2210" t="s">
        <v>438</v>
      </c>
      <c r="U37" s="302"/>
      <c r="V37" s="2275" t="s">
        <v>439</v>
      </c>
      <c r="W37" s="2292"/>
      <c r="X37" s="2292"/>
      <c r="Y37" s="2292"/>
      <c r="Z37" s="2292"/>
      <c r="AA37" s="2292"/>
      <c r="AB37" s="2292"/>
      <c r="AC37" s="2276"/>
      <c r="AD37" s="2276"/>
      <c r="AE37" s="2277"/>
      <c r="AF37" s="2278" t="s">
        <v>440</v>
      </c>
      <c r="AG37" s="2275" t="s">
        <v>439</v>
      </c>
      <c r="AH37" s="2276"/>
      <c r="AI37" s="2276"/>
      <c r="AJ37" s="2276"/>
      <c r="AK37" s="2276"/>
      <c r="AL37" s="2276"/>
      <c r="AM37" s="2276"/>
      <c r="AN37" s="2276"/>
      <c r="AO37" s="2276"/>
      <c r="AP37" s="2277"/>
      <c r="AQ37" s="2278" t="s">
        <v>441</v>
      </c>
      <c r="AR37" s="2281" t="s">
        <v>442</v>
      </c>
      <c r="AS37" s="2128"/>
      <c r="AY37" s="1156">
        <v>14</v>
      </c>
    </row>
    <row customHeight="1" ht="19.95">
      <c r="Q38" s="377"/>
      <c r="R38" s="377"/>
      <c r="S38" s="2274"/>
      <c r="T38" s="2210"/>
      <c r="U38" s="1032"/>
      <c r="V38" s="2367" t="s">
        <v>543</v>
      </c>
      <c r="W38" s="2366" t="s">
        <v>544</v>
      </c>
      <c r="X38" s="2366"/>
      <c r="Y38" s="2366"/>
      <c r="Z38" s="2366" t="s">
        <v>545</v>
      </c>
      <c r="AA38" s="2366"/>
      <c r="AB38" s="2366"/>
      <c r="AC38" s="2295" t="s">
        <v>446</v>
      </c>
      <c r="AD38" s="2314"/>
      <c r="AE38" s="2315"/>
      <c r="AF38" s="2279"/>
      <c r="AG38" s="2367" t="s">
        <v>543</v>
      </c>
      <c r="AH38" s="2366" t="s">
        <v>544</v>
      </c>
      <c r="AI38" s="2366"/>
      <c r="AJ38" s="2366"/>
      <c r="AK38" s="2366" t="s">
        <v>545</v>
      </c>
      <c r="AL38" s="2366"/>
      <c r="AM38" s="2366"/>
      <c r="AN38" s="2295" t="s">
        <v>446</v>
      </c>
      <c r="AO38" s="2314"/>
      <c r="AP38" s="2315"/>
      <c r="AQ38" s="2279"/>
      <c r="AR38" s="2282"/>
      <c r="AS38" s="2128"/>
      <c r="AY38" s="1156">
        <v>19</v>
      </c>
    </row>
    <row s="1636" customFormat="1" customHeight="1" ht="19.95">
      <c r="A39" s="1367"/>
      <c r="B39" s="1367"/>
      <c r="C39" s="1367"/>
      <c r="D39" s="1367"/>
      <c r="E39" s="1367"/>
      <c r="F39" s="1367"/>
      <c r="G39" s="1367"/>
      <c r="H39" s="1367"/>
      <c r="I39" s="1367"/>
      <c r="J39" s="1367"/>
      <c r="K39" s="1367"/>
      <c r="L39" s="1952"/>
      <c r="M39" s="1363"/>
      <c r="N39" s="1363"/>
      <c r="O39" s="1363"/>
      <c r="P39" s="1966"/>
      <c r="Q39" s="377"/>
      <c r="R39" s="377"/>
      <c r="S39" s="2274"/>
      <c r="T39" s="2210"/>
      <c r="U39" s="1032"/>
      <c r="V39" s="2367"/>
      <c r="W39" s="2366" t="s">
        <v>546</v>
      </c>
      <c r="X39" s="2366" t="s">
        <v>547</v>
      </c>
      <c r="Y39" s="2366"/>
      <c r="Z39" s="2366" t="s">
        <v>548</v>
      </c>
      <c r="AA39" s="2366" t="s">
        <v>547</v>
      </c>
      <c r="AB39" s="2366"/>
      <c r="AC39" s="2296"/>
      <c r="AD39" s="2316"/>
      <c r="AE39" s="2317"/>
      <c r="AF39" s="2279"/>
      <c r="AG39" s="2367"/>
      <c r="AH39" s="2366" t="s">
        <v>546</v>
      </c>
      <c r="AI39" s="2366" t="s">
        <v>547</v>
      </c>
      <c r="AJ39" s="2366"/>
      <c r="AK39" s="2366" t="s">
        <v>548</v>
      </c>
      <c r="AL39" s="2366" t="s">
        <v>547</v>
      </c>
      <c r="AM39" s="2366"/>
      <c r="AN39" s="2296"/>
      <c r="AO39" s="2316"/>
      <c r="AP39" s="2317"/>
      <c r="AQ39" s="2279"/>
      <c r="AR39" s="2282"/>
      <c r="AS39" s="2128"/>
      <c r="AT39" s="1637"/>
      <c r="AU39" s="1637"/>
      <c r="AV39" s="1637"/>
      <c r="AW39" s="1637"/>
      <c r="AX39" s="1637"/>
      <c r="AY39" s="1632">
        <v>19</v>
      </c>
    </row>
    <row customHeight="1" ht="61.949999999999996">
      <c r="A40" s="1371"/>
      <c r="B40" s="1371" t="s">
        <v>138</v>
      </c>
      <c r="C40" s="1371" t="s">
        <v>139</v>
      </c>
      <c r="D40" s="1371" t="s">
        <v>140</v>
      </c>
      <c r="E40" s="1365" t="s">
        <v>447</v>
      </c>
      <c r="F40" s="1365" t="s">
        <v>448</v>
      </c>
      <c r="G40" s="1365" t="s">
        <v>449</v>
      </c>
      <c r="H40" s="1365"/>
      <c r="I40" s="1365" t="s">
        <v>499</v>
      </c>
      <c r="J40" s="1365" t="s">
        <v>452</v>
      </c>
      <c r="K40" s="1365" t="s">
        <v>500</v>
      </c>
      <c r="L40" s="1365" t="s">
        <v>428</v>
      </c>
      <c r="Q40" s="377"/>
      <c r="R40" s="377"/>
      <c r="S40" s="2274"/>
      <c r="T40" s="2210"/>
      <c r="U40" s="303"/>
      <c r="V40" s="2367"/>
      <c r="W40" s="2366"/>
      <c r="X40" s="1984" t="s">
        <v>549</v>
      </c>
      <c r="Y40" s="1984" t="s">
        <v>550</v>
      </c>
      <c r="Z40" s="2366"/>
      <c r="AA40" s="1984" t="s">
        <v>551</v>
      </c>
      <c r="AB40" s="1984" t="s">
        <v>552</v>
      </c>
      <c r="AC40" s="1490" t="s">
        <v>456</v>
      </c>
      <c r="AD40" s="2271" t="s">
        <v>457</v>
      </c>
      <c r="AE40" s="2272"/>
      <c r="AF40" s="2280"/>
      <c r="AG40" s="2367"/>
      <c r="AH40" s="2366"/>
      <c r="AI40" s="1984" t="s">
        <v>549</v>
      </c>
      <c r="AJ40" s="1984" t="s">
        <v>550</v>
      </c>
      <c r="AK40" s="2366"/>
      <c r="AL40" s="1984" t="s">
        <v>551</v>
      </c>
      <c r="AM40" s="1984" t="s">
        <v>552</v>
      </c>
      <c r="AN40" s="1490" t="s">
        <v>456</v>
      </c>
      <c r="AO40" s="2271" t="s">
        <v>457</v>
      </c>
      <c r="AP40" s="2272"/>
      <c r="AQ40" s="2280"/>
      <c r="AR40" s="2283"/>
      <c r="AS40" s="2128"/>
      <c r="AY40" s="1156">
        <v>59</v>
      </c>
    </row>
    <row s="1642" customFormat="1" customHeight="1" ht="11.25" hidden="1">
      <c r="A41" s="1371"/>
      <c r="B41" s="1371"/>
      <c r="C41" s="1371"/>
      <c r="D41" s="1371"/>
      <c r="E41" s="1371"/>
      <c r="F41" s="1371"/>
      <c r="G41" s="1371"/>
      <c r="H41" s="1371"/>
      <c r="I41" s="1371"/>
      <c r="J41" s="1371"/>
      <c r="K41" s="1371"/>
      <c r="L41" s="1365"/>
      <c r="M41" s="1363"/>
      <c r="N41" s="1363"/>
      <c r="O41" s="1363"/>
      <c r="P41" s="1247"/>
      <c r="Q41" s="1248"/>
      <c r="R41" s="1255">
        <v>1</v>
      </c>
      <c r="S41" s="1278" t="s">
        <v>112</v>
      </c>
      <c r="T41" s="1256" t="s">
        <v>113</v>
      </c>
      <c r="U41" s="1246" t="str">
        <f>OFFSET(U41,0,-1)</f>
        <v>2</v>
      </c>
      <c r="V41" s="1483">
        <f>OFFSET(V41,0,-1)+1</f>
        <v>3</v>
      </c>
      <c r="W41" s="1342"/>
      <c r="X41" s="1342"/>
      <c r="Y41" s="1342"/>
      <c r="Z41" s="1342"/>
      <c r="AA41" s="1342"/>
      <c r="AB41" s="1342"/>
      <c r="AC41" s="1483">
        <f>OFFSET(AC41,0,-1)+1</f>
        <v>1</v>
      </c>
      <c r="AD41" s="2273">
        <f>OFFSET(AD41,0,-1)+1</f>
        <v>2</v>
      </c>
      <c r="AE41" s="2273"/>
      <c r="AF41" s="1483">
        <f>OFFSET(AF41,0,-2)+1</f>
        <v>3</v>
      </c>
      <c r="AG41" s="1483">
        <f>OFFSET(AG41,0,-1)+1</f>
        <v>4</v>
      </c>
      <c r="AH41" s="1957"/>
      <c r="AI41" s="1957"/>
      <c r="AJ41" s="1957"/>
      <c r="AK41" s="1957"/>
      <c r="AL41" s="1957"/>
      <c r="AM41" s="1483">
        <f>OFFSET(AM41,0,-1)+1</f>
        <v>1</v>
      </c>
      <c r="AN41" s="1483">
        <f>OFFSET(AN41,0,-1)+1</f>
        <v>2</v>
      </c>
      <c r="AO41" s="2273">
        <f>OFFSET(AO41,0,-1)+1</f>
        <v>3</v>
      </c>
      <c r="AP41" s="2273"/>
      <c r="AQ41" s="1483">
        <f>OFFSET(AQ41,0,-2)+1</f>
        <v>4</v>
      </c>
      <c r="AR41" s="1246">
        <f>OFFSET(AR41,0,-1)</f>
        <v>4</v>
      </c>
      <c r="AS41" s="1483">
        <f>OFFSET(AS41,0,-1)+1</f>
        <v>5</v>
      </c>
      <c r="AT41" s="512"/>
      <c r="AU41" s="512"/>
      <c r="AV41" s="512"/>
      <c r="AW41" s="512"/>
      <c r="AX41" s="512"/>
      <c r="AY41" s="497">
        <v>0</v>
      </c>
    </row>
    <row customHeight="1" ht="24">
      <c r="A42" s="1364" t="s">
        <v>263</v>
      </c>
      <c r="B42" s="1364"/>
      <c r="C42" s="1364"/>
      <c r="D42" s="1364"/>
      <c r="E42" s="2259">
        <v>1</v>
      </c>
      <c r="F42" s="1364"/>
      <c r="G42" s="1364"/>
      <c r="H42" s="1364"/>
      <c r="I42" s="1364"/>
      <c r="J42" s="1364"/>
      <c r="K42" s="1364"/>
      <c r="L42" s="1365"/>
      <c r="M42" s="1366"/>
      <c r="N42" s="1366"/>
      <c r="O42" s="1366"/>
      <c r="P42" s="362"/>
      <c r="Q42" s="361"/>
      <c r="R42" s="356"/>
      <c r="S42" s="1494">
        <f>INDEX(PT_DIFFERENTIATION_NUM_NTAR,MATCH(A42,PT_DIFFERENTIATION_NTAR_ID,0))</f>
        <v>0</v>
      </c>
      <c r="T42" s="299" t="s">
        <v>126</v>
      </c>
      <c r="U42" s="301"/>
      <c r="V42" s="2243"/>
      <c r="W42" s="2244"/>
      <c r="X42" s="2244"/>
      <c r="Y42" s="2244"/>
      <c r="Z42" s="2244"/>
      <c r="AA42" s="2244"/>
      <c r="AB42" s="2244"/>
      <c r="AC42" s="2244"/>
      <c r="AD42" s="2244"/>
      <c r="AE42" s="2244"/>
      <c r="AF42" s="2245"/>
      <c r="AG42" s="2243" t="str">
        <f>INDEX(PT_DIFFERENTIATION_NTAR,MATCH(A42,PT_DIFFERENTIATION_NTAR_ID,0))</f>
        <v/>
      </c>
      <c r="AH42" s="2244"/>
      <c r="AI42" s="2244"/>
      <c r="AJ42" s="2244"/>
      <c r="AK42" s="2244"/>
      <c r="AL42" s="2244"/>
      <c r="AM42" s="2244"/>
      <c r="AN42" s="2244"/>
      <c r="AO42" s="2244"/>
      <c r="AP42" s="2244"/>
      <c r="AQ42" s="2244"/>
      <c r="AR42" s="2245"/>
      <c r="AS4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U42" s="501"/>
      <c r="AV42" s="501" t="str">
        <f>IF(T42="","",T42)</f>
        <v>Наименование тарифа</v>
      </c>
      <c r="AW42" s="501"/>
      <c r="AX42" s="501"/>
      <c r="AY42" s="1156">
        <v>23</v>
      </c>
    </row>
    <row customHeight="1" ht="24">
      <c r="A43" s="1364" t="s">
        <v>263</v>
      </c>
      <c r="B43" s="1364" t="s">
        <v>264</v>
      </c>
      <c r="C43" s="1364"/>
      <c r="D43" s="1364"/>
      <c r="E43" s="2260"/>
      <c r="F43" s="2259">
        <v>1</v>
      </c>
      <c r="G43" s="1364"/>
      <c r="H43" s="1364"/>
      <c r="I43" s="1364"/>
      <c r="J43" s="1364"/>
      <c r="K43" s="1364"/>
      <c r="L43" s="1365"/>
      <c r="M43" s="1366"/>
      <c r="N43" s="1366"/>
      <c r="O43" s="1366"/>
      <c r="P43" s="1488"/>
      <c r="Q43" s="353"/>
      <c r="R43" s="354"/>
      <c r="S43" s="1494" t="str">
        <f>INDEX(PT_DIFFERENTIATION_NUM_TER,MATCH(B43,PT_DIFFERENTIATION_TER_ID,0))</f>
        <v>.</v>
      </c>
      <c r="T43" s="309" t="s">
        <v>409</v>
      </c>
      <c r="U43" s="301"/>
      <c r="V43" s="2243"/>
      <c r="W43" s="2244"/>
      <c r="X43" s="2244"/>
      <c r="Y43" s="2244"/>
      <c r="Z43" s="2244"/>
      <c r="AA43" s="2244"/>
      <c r="AB43" s="2244"/>
      <c r="AC43" s="2244"/>
      <c r="AD43" s="2244"/>
      <c r="AE43" s="2244"/>
      <c r="AF43" s="2245"/>
      <c r="AG43" s="2243" t="str">
        <f>INDEX(PT_DIFFERENTIATION_TER,MATCH(B43,PT_DIFFERENTIATION_TER_ID,0))</f>
        <v/>
      </c>
      <c r="AH43" s="2244"/>
      <c r="AI43" s="2244"/>
      <c r="AJ43" s="2244"/>
      <c r="AK43" s="2244"/>
      <c r="AL43" s="2244"/>
      <c r="AM43" s="2244"/>
      <c r="AN43" s="2244"/>
      <c r="AO43" s="2244"/>
      <c r="AP43" s="2244"/>
      <c r="AQ43" s="2244"/>
      <c r="AR43" s="2245"/>
      <c r="AS43" s="1259" t="s">
        <v>410</v>
      </c>
      <c r="AU43" s="501"/>
      <c r="AV43" s="501" t="str">
        <f>IF(T43="","",T43)</f>
        <v>Территория действия тарифа</v>
      </c>
      <c r="AW43" s="501"/>
      <c r="AX43" s="501"/>
      <c r="AY43" s="1156">
        <v>23</v>
      </c>
    </row>
    <row customHeight="1" ht="24">
      <c r="A44" s="1364" t="s">
        <v>263</v>
      </c>
      <c r="B44" s="1364" t="s">
        <v>264</v>
      </c>
      <c r="C44" s="1364" t="s">
        <v>265</v>
      </c>
      <c r="D44" s="1364"/>
      <c r="E44" s="2260"/>
      <c r="F44" s="2260"/>
      <c r="G44" s="2259">
        <v>1</v>
      </c>
      <c r="H44" s="1364"/>
      <c r="I44" s="1364"/>
      <c r="J44" s="1364"/>
      <c r="K44" s="1364"/>
      <c r="L44" s="1365"/>
      <c r="M44" s="1366"/>
      <c r="N44" s="1366"/>
      <c r="O44" s="1366"/>
      <c r="P44" s="355"/>
      <c r="Q44" s="353"/>
      <c r="R44" s="354"/>
      <c r="S44" s="1494" t="str">
        <f>INDEX(PT_DIFFERENTIATION_NUM_CS,MATCH(C44,PT_DIFFERENTIATION_CS_ID,0))</f>
        <v>..</v>
      </c>
      <c r="T44" s="310" t="s">
        <v>541</v>
      </c>
      <c r="U44" s="301"/>
      <c r="V44" s="2243"/>
      <c r="W44" s="2244"/>
      <c r="X44" s="2244"/>
      <c r="Y44" s="2244"/>
      <c r="Z44" s="2244"/>
      <c r="AA44" s="2244"/>
      <c r="AB44" s="2244"/>
      <c r="AC44" s="2244"/>
      <c r="AD44" s="2244"/>
      <c r="AE44" s="2244"/>
      <c r="AF44" s="2245"/>
      <c r="AG44" s="2243" t="str">
        <f>INDEX(PT_DIFFERENTIATION_CS,MATCH(C44,PT_DIFFERENTIATION_CS_ID,0))</f>
        <v/>
      </c>
      <c r="AH44" s="2244"/>
      <c r="AI44" s="2244"/>
      <c r="AJ44" s="2244"/>
      <c r="AK44" s="2244"/>
      <c r="AL44" s="2244"/>
      <c r="AM44" s="2244"/>
      <c r="AN44" s="2244"/>
      <c r="AO44" s="2244"/>
      <c r="AP44" s="2244"/>
      <c r="AQ44" s="2244"/>
      <c r="AR44" s="2245"/>
      <c r="AS44" s="1259" t="s">
        <v>542</v>
      </c>
      <c r="AU44" s="501"/>
      <c r="AV44" s="501" t="str">
        <f>IF(T44="","",T44)</f>
        <v>Наименование централизованной системы горячего водоснабжения</v>
      </c>
      <c r="AW44" s="501"/>
      <c r="AX44" s="501"/>
      <c r="AY44" s="1156">
        <v>23</v>
      </c>
    </row>
    <row customHeight="1" ht="24">
      <c r="A45" s="1364" t="s">
        <v>263</v>
      </c>
      <c r="B45" s="1364" t="s">
        <v>264</v>
      </c>
      <c r="C45" s="1364" t="s">
        <v>265</v>
      </c>
      <c r="D45" s="1364" t="s">
        <v>553</v>
      </c>
      <c r="E45" s="2260"/>
      <c r="F45" s="2260"/>
      <c r="G45" s="2260"/>
      <c r="H45" s="2260"/>
      <c r="I45" s="2257" t="str">
        <f>S44&amp;".1"</f>
        <v>...1</v>
      </c>
      <c r="J45" s="1364"/>
      <c r="K45" s="1364"/>
      <c r="L45" s="1365"/>
      <c r="P45" s="2258">
        <v>1</v>
      </c>
      <c r="Q45" s="1482"/>
      <c r="R45" s="357"/>
      <c r="S45" s="1494" t="str">
        <f>$I45</f>
        <v>...1</v>
      </c>
      <c r="T45" s="286" t="s">
        <v>492</v>
      </c>
      <c r="U45" s="301"/>
      <c r="V45" s="2351"/>
      <c r="W45" s="2352"/>
      <c r="X45" s="2352"/>
      <c r="Y45" s="2352"/>
      <c r="Z45" s="2352"/>
      <c r="AA45" s="2352"/>
      <c r="AB45" s="2352"/>
      <c r="AC45" s="2352"/>
      <c r="AD45" s="2352"/>
      <c r="AE45" s="2352"/>
      <c r="AF45" s="2353"/>
      <c r="AG45" s="2354"/>
      <c r="AH45" s="2355"/>
      <c r="AI45" s="2355"/>
      <c r="AJ45" s="2355"/>
      <c r="AK45" s="2355"/>
      <c r="AL45" s="2355"/>
      <c r="AM45" s="2355"/>
      <c r="AN45" s="2355"/>
      <c r="AO45" s="2355"/>
      <c r="AP45" s="2355"/>
      <c r="AQ45" s="2355"/>
      <c r="AR45" s="2356"/>
      <c r="AS45" s="1259" t="s">
        <v>493</v>
      </c>
      <c r="AU45" s="501"/>
      <c r="AV45" s="501" t="str">
        <f>IF(T45="","",T45)</f>
        <v>Наименование признака дифференциации</v>
      </c>
      <c r="AW45" s="501"/>
      <c r="AX45" s="501"/>
      <c r="AY45" s="1156">
        <v>23</v>
      </c>
    </row>
    <row customHeight="1" ht="24">
      <c r="A46" s="1364" t="s">
        <v>263</v>
      </c>
      <c r="B46" s="1364" t="s">
        <v>264</v>
      </c>
      <c r="C46" s="1364" t="s">
        <v>265</v>
      </c>
      <c r="D46" s="1364" t="s">
        <v>553</v>
      </c>
      <c r="E46" s="2260"/>
      <c r="F46" s="2260"/>
      <c r="G46" s="2260"/>
      <c r="H46" s="2260"/>
      <c r="I46" s="2287"/>
      <c r="J46" s="2257" t="str">
        <f>I45&amp;".1"</f>
        <v>...1.1</v>
      </c>
      <c r="K46" s="1364"/>
      <c r="L46" s="1365" t="s">
        <v>418</v>
      </c>
      <c r="P46" s="2258"/>
      <c r="Q46" s="2258">
        <v>1</v>
      </c>
      <c r="R46" s="358"/>
      <c r="S46" s="1494" t="str">
        <f>$J46</f>
        <v>...1.1</v>
      </c>
      <c r="T46" s="287" t="s">
        <v>419</v>
      </c>
      <c r="U46" s="301"/>
      <c r="V46" s="2246"/>
      <c r="W46" s="2247"/>
      <c r="X46" s="2247"/>
      <c r="Y46" s="2247"/>
      <c r="Z46" s="2247"/>
      <c r="AA46" s="2247"/>
      <c r="AB46" s="2247"/>
      <c r="AC46" s="2247"/>
      <c r="AD46" s="2247"/>
      <c r="AE46" s="2247"/>
      <c r="AF46" s="2248"/>
      <c r="AG46" s="2246"/>
      <c r="AH46" s="2247"/>
      <c r="AI46" s="2247"/>
      <c r="AJ46" s="2247"/>
      <c r="AK46" s="2247"/>
      <c r="AL46" s="2247"/>
      <c r="AM46" s="2247"/>
      <c r="AN46" s="2247"/>
      <c r="AO46" s="2247"/>
      <c r="AP46" s="2247"/>
      <c r="AQ46" s="2247"/>
      <c r="AR46" s="2248"/>
      <c r="AS46" s="1308" t="s">
        <v>494</v>
      </c>
      <c r="AU46" s="501"/>
      <c r="AV46" s="501" t="str">
        <f>IF(T46="","",T46)</f>
        <v>Группа потребителей</v>
      </c>
      <c r="AW46" s="501"/>
      <c r="AX46" s="501"/>
      <c r="AY46" s="1156">
        <v>23</v>
      </c>
    </row>
    <row customHeight="1" ht="24">
      <c r="A47" s="1364" t="s">
        <v>263</v>
      </c>
      <c r="B47" s="1364" t="s">
        <v>264</v>
      </c>
      <c r="C47" s="1364" t="s">
        <v>265</v>
      </c>
      <c r="D47" s="1364" t="s">
        <v>553</v>
      </c>
      <c r="E47" s="2260"/>
      <c r="F47" s="2260"/>
      <c r="G47" s="2260"/>
      <c r="H47" s="2260"/>
      <c r="I47" s="2287"/>
      <c r="J47" s="2287"/>
      <c r="K47" s="2257" t="str">
        <f>J46&amp;".1"</f>
        <v>...1.1.1</v>
      </c>
      <c r="L47" s="1365"/>
      <c r="P47" s="2258"/>
      <c r="Q47" s="2258"/>
      <c r="R47" s="358">
        <v>1</v>
      </c>
      <c r="S47" s="1494" t="str">
        <f>$K47</f>
        <v>...1.1.1</v>
      </c>
      <c r="T47" s="1438"/>
      <c r="U47" s="301"/>
      <c r="V47" s="752"/>
      <c r="W47" s="752"/>
      <c r="X47" s="752"/>
      <c r="Y47" s="752"/>
      <c r="Z47" s="752"/>
      <c r="AA47" s="752"/>
      <c r="AB47" s="752"/>
      <c r="AC47" s="2268"/>
      <c r="AD47" s="2269" t="s">
        <v>63</v>
      </c>
      <c r="AE47" s="2268"/>
      <c r="AF47" s="2269" t="s">
        <v>63</v>
      </c>
      <c r="AG47" s="752"/>
      <c r="AH47" s="752"/>
      <c r="AI47" s="752"/>
      <c r="AJ47" s="752"/>
      <c r="AK47" s="752"/>
      <c r="AL47" s="752"/>
      <c r="AM47" s="752"/>
      <c r="AN47" s="2266"/>
      <c r="AO47" s="2108" t="s">
        <v>63</v>
      </c>
      <c r="AP47" s="2288"/>
      <c r="AQ47" s="2108" t="s">
        <v>19</v>
      </c>
      <c r="AR47" s="1439"/>
      <c r="AS4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2">
        <f>STRCHECKDATE(V48:AR48)</f>
      </c>
      <c r="AU47" s="501"/>
      <c r="AV47" s="501" t="str">
        <f>IF(T47="","",T47)</f>
        <v/>
      </c>
      <c r="AW47" s="501"/>
      <c r="AX47" s="501"/>
      <c r="AY47" s="1156">
        <v>23</v>
      </c>
    </row>
    <row customHeight="1" ht="0">
      <c r="A48" s="1364" t="s">
        <v>263</v>
      </c>
      <c r="B48" s="1364" t="s">
        <v>264</v>
      </c>
      <c r="C48" s="1364" t="s">
        <v>265</v>
      </c>
      <c r="D48" s="1364" t="s">
        <v>553</v>
      </c>
      <c r="E48" s="2260"/>
      <c r="F48" s="2260"/>
      <c r="G48" s="2260"/>
      <c r="H48" s="2260"/>
      <c r="I48" s="2287"/>
      <c r="J48" s="2287"/>
      <c r="K48" s="2257"/>
      <c r="L48" s="1365"/>
      <c r="P48" s="2258"/>
      <c r="Q48" s="2258"/>
      <c r="R48" s="358"/>
      <c r="S48" s="1491"/>
      <c r="T48" s="301"/>
      <c r="U48" s="301"/>
      <c r="V48" s="1361"/>
      <c r="W48" s="1361"/>
      <c r="X48" s="1361"/>
      <c r="Y48" s="1361"/>
      <c r="Z48" s="1361"/>
      <c r="AA48" s="1361"/>
      <c r="AB48" s="1361"/>
      <c r="AC48" s="2269"/>
      <c r="AD48" s="2269"/>
      <c r="AE48" s="2269"/>
      <c r="AF48" s="2269"/>
      <c r="AG48" s="326"/>
      <c r="AH48" s="326"/>
      <c r="AI48" s="326"/>
      <c r="AJ48" s="326"/>
      <c r="AK48" s="326"/>
      <c r="AL48" s="326"/>
      <c r="AM48" s="326"/>
      <c r="AN48" s="2267"/>
      <c r="AO48" s="2108"/>
      <c r="AP48" s="2289"/>
      <c r="AQ48" s="2108"/>
      <c r="AR48" s="1440"/>
      <c r="AS48" s="2350"/>
      <c r="AU48" s="501"/>
      <c r="AV48" s="501" t="str">
        <f>IF(T48="","",T48)</f>
        <v/>
      </c>
      <c r="AW48" s="501"/>
      <c r="AX48" s="501"/>
      <c r="AY48" s="1156">
        <v>0</v>
      </c>
    </row>
    <row customHeight="1" ht="21">
      <c r="A49" s="1364" t="s">
        <v>263</v>
      </c>
      <c r="B49" s="1364" t="s">
        <v>264</v>
      </c>
      <c r="C49" s="1364" t="s">
        <v>265</v>
      </c>
      <c r="D49" s="1364" t="s">
        <v>553</v>
      </c>
      <c r="E49" s="2260"/>
      <c r="F49" s="2260"/>
      <c r="G49" s="2260"/>
      <c r="H49" s="2260"/>
      <c r="I49" s="2287"/>
      <c r="J49" s="2257"/>
      <c r="K49" s="1364"/>
      <c r="L49" s="1365"/>
      <c r="P49" s="2258"/>
      <c r="Q49" s="2258"/>
      <c r="R49" s="357"/>
      <c r="S49" s="1279"/>
      <c r="T49" s="288" t="s">
        <v>495</v>
      </c>
      <c r="U49" s="368"/>
      <c r="V49" s="368"/>
      <c r="W49" s="601"/>
      <c r="X49" s="601"/>
      <c r="Y49" s="601"/>
      <c r="Z49" s="601"/>
      <c r="AA49" s="601"/>
      <c r="AB49" s="601"/>
      <c r="AC49" s="368"/>
      <c r="AD49" s="368"/>
      <c r="AE49" s="368"/>
      <c r="AF49" s="368"/>
      <c r="AG49" s="368"/>
      <c r="AH49" s="601"/>
      <c r="AI49" s="601"/>
      <c r="AJ49" s="601"/>
      <c r="AK49" s="601"/>
      <c r="AL49" s="601"/>
      <c r="AM49" s="368"/>
      <c r="AN49" s="368"/>
      <c r="AO49" s="368"/>
      <c r="AP49" s="368"/>
      <c r="AQ49" s="368"/>
      <c r="AR49" s="368"/>
      <c r="AS49" s="1259" t="s">
        <v>496</v>
      </c>
      <c r="AU49" s="501"/>
      <c r="AV49" s="501" t="str">
        <f>IF(T49="","",T49)</f>
        <v>Добавить значение признака дифференциации</v>
      </c>
      <c r="AW49" s="501"/>
      <c r="AX49" s="501"/>
      <c r="AY49" s="1156">
        <v>20</v>
      </c>
    </row>
    <row customHeight="1" ht="22.049999999999997">
      <c r="A50" s="1364" t="s">
        <v>263</v>
      </c>
      <c r="B50" s="1364" t="s">
        <v>264</v>
      </c>
      <c r="C50" s="1364" t="s">
        <v>265</v>
      </c>
      <c r="D50" s="1364" t="s">
        <v>553</v>
      </c>
      <c r="E50" s="2260"/>
      <c r="F50" s="2260"/>
      <c r="G50" s="2260"/>
      <c r="H50" s="2260"/>
      <c r="I50" s="2257"/>
      <c r="J50" s="1364"/>
      <c r="K50" s="1364"/>
      <c r="L50" s="1365"/>
      <c r="P50" s="2258"/>
      <c r="Q50" s="1482"/>
      <c r="R50" s="357"/>
      <c r="S50" s="1279"/>
      <c r="T50" s="366" t="s">
        <v>424</v>
      </c>
      <c r="U50" s="368"/>
      <c r="V50" s="368"/>
      <c r="W50" s="601"/>
      <c r="X50" s="601"/>
      <c r="Y50" s="601"/>
      <c r="Z50" s="601"/>
      <c r="AA50" s="601"/>
      <c r="AB50" s="601"/>
      <c r="AC50" s="368"/>
      <c r="AD50" s="368"/>
      <c r="AE50" s="368"/>
      <c r="AF50" s="367"/>
      <c r="AG50" s="368"/>
      <c r="AH50" s="601"/>
      <c r="AI50" s="601"/>
      <c r="AJ50" s="601"/>
      <c r="AK50" s="601"/>
      <c r="AL50" s="601"/>
      <c r="AM50" s="368"/>
      <c r="AN50" s="368"/>
      <c r="AO50" s="368"/>
      <c r="AP50" s="368"/>
      <c r="AQ50" s="367"/>
      <c r="AR50" s="368"/>
      <c r="AS50" s="1441"/>
      <c r="AU50" s="501"/>
      <c r="AV50" s="501" t="str">
        <f>IF(T50="","",T50)</f>
        <v>Добавить группу потребителей</v>
      </c>
      <c r="AW50" s="501"/>
      <c r="AX50" s="501"/>
      <c r="AY50" s="1156">
        <v>21</v>
      </c>
    </row>
    <row customHeight="1" ht="22.049999999999997">
      <c r="A51" s="1364" t="s">
        <v>263</v>
      </c>
      <c r="B51" s="1364" t="s">
        <v>264</v>
      </c>
      <c r="C51" s="1364" t="s">
        <v>265</v>
      </c>
      <c r="D51" s="1364" t="s">
        <v>553</v>
      </c>
      <c r="E51" s="2260"/>
      <c r="F51" s="2260"/>
      <c r="G51" s="2260"/>
      <c r="H51" s="2259"/>
      <c r="I51" s="1364"/>
      <c r="J51" s="1364"/>
      <c r="K51" s="1364"/>
      <c r="L51" s="1365"/>
      <c r="M51" s="1366"/>
      <c r="N51" s="1366"/>
      <c r="O51" s="538"/>
      <c r="P51" s="361"/>
      <c r="Q51" s="376"/>
      <c r="R51" s="356"/>
      <c r="S51" s="1279"/>
      <c r="T51" s="373" t="s">
        <v>497</v>
      </c>
      <c r="U51" s="368"/>
      <c r="V51" s="368"/>
      <c r="W51" s="601"/>
      <c r="X51" s="601"/>
      <c r="Y51" s="601"/>
      <c r="Z51" s="601"/>
      <c r="AA51" s="601"/>
      <c r="AB51" s="601"/>
      <c r="AC51" s="368"/>
      <c r="AD51" s="368"/>
      <c r="AE51" s="368"/>
      <c r="AF51" s="367"/>
      <c r="AG51" s="368"/>
      <c r="AH51" s="601"/>
      <c r="AI51" s="601"/>
      <c r="AJ51" s="601"/>
      <c r="AK51" s="601"/>
      <c r="AL51" s="601"/>
      <c r="AM51" s="368"/>
      <c r="AN51" s="368"/>
      <c r="AO51" s="368"/>
      <c r="AP51" s="368"/>
      <c r="AQ51" s="367"/>
      <c r="AR51" s="368"/>
      <c r="AS51" s="304"/>
      <c r="AU51" s="501"/>
      <c r="AV51" s="501" t="str">
        <f>IF(T51="","",T51)</f>
        <v>Добавить наименование признака дифференциации</v>
      </c>
      <c r="AW51" s="501"/>
      <c r="AX51" s="501"/>
      <c r="AY51" s="1156">
        <v>21</v>
      </c>
    </row>
    <row s="1643" customFormat="1" customHeight="1" ht="0">
      <c r="A52" s="1344" t="s">
        <v>263</v>
      </c>
      <c r="B52" s="1344" t="s">
        <v>264</v>
      </c>
      <c r="C52" s="1315"/>
      <c r="D52" s="1315"/>
      <c r="E52" s="2260"/>
      <c r="F52" s="2259"/>
      <c r="G52" s="1315"/>
      <c r="H52" s="1315"/>
      <c r="I52" s="1315"/>
      <c r="J52" s="1315"/>
      <c r="K52" s="1315"/>
      <c r="L52" s="1495"/>
      <c r="M52" s="1322"/>
      <c r="N52" s="1322"/>
      <c r="P52" s="1317"/>
      <c r="Q52" s="1318"/>
      <c r="R52" s="1317"/>
      <c r="S52" s="1323"/>
      <c r="T52" s="1326" t="s">
        <v>232</v>
      </c>
      <c r="U52" s="1325"/>
      <c r="V52" s="1325"/>
      <c r="W52" s="1325"/>
      <c r="X52" s="1325"/>
      <c r="Y52" s="1325"/>
      <c r="Z52" s="1325"/>
      <c r="AA52" s="1325"/>
      <c r="AB52" s="1325"/>
      <c r="AC52" s="1325"/>
      <c r="AD52" s="1325"/>
      <c r="AE52" s="1325"/>
      <c r="AF52" s="1325"/>
      <c r="AG52" s="1325"/>
      <c r="AH52" s="1325"/>
      <c r="AI52" s="1325"/>
      <c r="AJ52" s="1325"/>
      <c r="AK52" s="1325"/>
      <c r="AL52" s="1325"/>
      <c r="AM52" s="1325"/>
      <c r="AN52" s="1325"/>
      <c r="AO52" s="1325"/>
      <c r="AP52" s="1325"/>
      <c r="AQ52" s="1325"/>
      <c r="AR52" s="1325"/>
      <c r="AS52" s="1325"/>
      <c r="AU52" s="790"/>
      <c r="AV52" s="790" t="str">
        <f>IF(T52="","",T52)</f>
        <v>Добавить централизованную систему для дифференциации</v>
      </c>
      <c r="AW52" s="790"/>
      <c r="AX52" s="790"/>
      <c r="AY52" s="519">
        <v>0</v>
      </c>
    </row>
    <row s="1643" customFormat="1" customHeight="1" ht="0">
      <c r="A53" s="1344" t="s">
        <v>263</v>
      </c>
      <c r="B53" s="1344"/>
      <c r="C53" s="1344"/>
      <c r="D53" s="1344"/>
      <c r="E53" s="2259"/>
      <c r="F53" s="1344"/>
      <c r="G53" s="1344"/>
      <c r="H53" s="1344"/>
      <c r="I53" s="1344"/>
      <c r="J53" s="1344"/>
      <c r="K53" s="1344"/>
      <c r="L53" s="1347"/>
      <c r="M53" s="1322"/>
      <c r="N53" s="1322"/>
      <c r="O53" s="519"/>
      <c r="P53" s="381"/>
      <c r="Q53" s="1345"/>
      <c r="R53" s="381"/>
      <c r="S53" s="1323"/>
      <c r="T53" s="1326" t="s">
        <v>233</v>
      </c>
      <c r="U53" s="1325"/>
      <c r="V53" s="1325"/>
      <c r="W53" s="1325"/>
      <c r="X53" s="1325"/>
      <c r="Y53" s="1325"/>
      <c r="Z53" s="1325"/>
      <c r="AA53" s="1325"/>
      <c r="AB53" s="1325"/>
      <c r="AC53" s="1325"/>
      <c r="AD53" s="1325"/>
      <c r="AE53" s="1325"/>
      <c r="AF53" s="1325"/>
      <c r="AG53" s="1325"/>
      <c r="AH53" s="1325"/>
      <c r="AI53" s="1325"/>
      <c r="AJ53" s="1325"/>
      <c r="AK53" s="1325"/>
      <c r="AL53" s="1325"/>
      <c r="AM53" s="1325"/>
      <c r="AN53" s="1325"/>
      <c r="AO53" s="1325"/>
      <c r="AP53" s="1325"/>
      <c r="AQ53" s="1325"/>
      <c r="AR53" s="1325"/>
      <c r="AS53" s="1325"/>
      <c r="AU53" s="501"/>
      <c r="AV53" s="501" t="str">
        <f>IF(T53="","",T53)</f>
        <v>Добавить территорию для дифференциации</v>
      </c>
      <c r="AW53" s="501"/>
      <c r="AX53" s="501"/>
      <c r="AY53" s="512">
        <v>0</v>
      </c>
    </row>
    <row s="1643" customFormat="1" customHeight="1" ht="0">
      <c r="A54" s="1315"/>
      <c r="B54" s="1315"/>
      <c r="C54" s="1315"/>
      <c r="D54" s="1315"/>
      <c r="E54" s="1344"/>
      <c r="F54" s="1315"/>
      <c r="G54" s="1315"/>
      <c r="H54" s="1315"/>
      <c r="I54" s="1315"/>
      <c r="J54" s="1315"/>
      <c r="K54" s="1315"/>
      <c r="L54" s="1495"/>
      <c r="M54" s="1322"/>
      <c r="N54" s="1322"/>
      <c r="P54" s="1317"/>
      <c r="Q54" s="1318"/>
      <c r="R54" s="1317"/>
      <c r="S54" s="1323"/>
      <c r="T54" s="1326" t="s">
        <v>240</v>
      </c>
      <c r="U54" s="1325"/>
      <c r="V54" s="1325"/>
      <c r="W54" s="1325"/>
      <c r="X54" s="1325"/>
      <c r="Y54" s="1325"/>
      <c r="Z54" s="1325"/>
      <c r="AA54" s="1325"/>
      <c r="AB54" s="1325"/>
      <c r="AC54" s="1325"/>
      <c r="AD54" s="1325"/>
      <c r="AE54" s="1325"/>
      <c r="AF54" s="1325"/>
      <c r="AG54" s="1325"/>
      <c r="AH54" s="1325"/>
      <c r="AI54" s="1325"/>
      <c r="AJ54" s="1325"/>
      <c r="AK54" s="1325"/>
      <c r="AL54" s="1325"/>
      <c r="AM54" s="1325"/>
      <c r="AN54" s="1325"/>
      <c r="AO54" s="1325"/>
      <c r="AP54" s="1325"/>
      <c r="AQ54" s="1325"/>
      <c r="AR54" s="1325"/>
      <c r="AS54" s="1325"/>
      <c r="AU54" s="790"/>
      <c r="AV54" s="790" t="str">
        <f>IF(T54="","",T54)</f>
        <v>Добавить наименование тарифа</v>
      </c>
      <c r="AW54" s="790"/>
      <c r="AX54" s="790"/>
      <c r="AY54" s="519">
        <v>0</v>
      </c>
    </row>
    <row customHeight="1" ht="11.549999999999999">
      <c r="M55" s="1161"/>
      <c r="N55" s="1161"/>
      <c r="O55" s="538"/>
      <c r="P55" s="1156"/>
      <c r="Q55" s="1156"/>
      <c r="R55" s="1156"/>
      <c r="S55" s="1156"/>
      <c r="AT55" s="1156"/>
      <c r="AU55" s="1156"/>
      <c r="AV55" s="1156"/>
      <c r="AW55" s="1156"/>
      <c r="AX55" s="1156"/>
      <c r="AY55" s="1156">
        <v>11</v>
      </c>
    </row>
    <row customHeight="1" ht="14.699999999999998">
      <c r="O56" s="538"/>
      <c r="S56" s="1254"/>
      <c r="T56" s="2286"/>
      <c r="U56" s="2286"/>
      <c r="V56" s="2286"/>
      <c r="W56" s="2286"/>
      <c r="X56" s="2286"/>
      <c r="Y56" s="2286"/>
      <c r="Z56" s="2286"/>
      <c r="AA56" s="2286"/>
      <c r="AB56" s="2286"/>
      <c r="AC56" s="2286"/>
      <c r="AD56" s="2286"/>
      <c r="AE56" s="2286"/>
      <c r="AF56" s="2286"/>
      <c r="AG56" s="2286"/>
      <c r="AH56" s="2286"/>
      <c r="AI56" s="2286"/>
      <c r="AJ56" s="2286"/>
      <c r="AK56" s="2286"/>
      <c r="AL56" s="2286"/>
      <c r="AM56" s="2286"/>
      <c r="AN56" s="2286"/>
      <c r="AO56" s="2286"/>
      <c r="AP56" s="2286"/>
      <c r="AQ56" s="2286"/>
      <c r="AR56" s="2286"/>
      <c r="AS56" s="2286"/>
      <c r="AY56" s="1156">
        <v>14</v>
      </c>
    </row>
    <row customHeight="1" ht="14.699999999999998">
      <c r="O57" s="538"/>
      <c r="AY57" s="1156">
        <v>14</v>
      </c>
    </row>
    <row customHeight="1" ht="14.699999999999998">
      <c r="O58" s="538"/>
      <c r="S58" s="1254"/>
      <c r="T58" s="2286"/>
      <c r="U58" s="2286"/>
      <c r="V58" s="2286"/>
      <c r="W58" s="2286"/>
      <c r="X58" s="2286"/>
      <c r="Y58" s="2286"/>
      <c r="Z58" s="2286"/>
      <c r="AA58" s="2286"/>
      <c r="AB58" s="2286"/>
      <c r="AC58" s="2286"/>
      <c r="AD58" s="2286"/>
      <c r="AE58" s="2286"/>
      <c r="AF58" s="2286"/>
      <c r="AG58" s="2286"/>
      <c r="AH58" s="2286"/>
      <c r="AI58" s="2286"/>
      <c r="AJ58" s="2286"/>
      <c r="AK58" s="2286"/>
      <c r="AL58" s="2286"/>
      <c r="AM58" s="2286"/>
      <c r="AN58" s="2286"/>
      <c r="AO58" s="2286"/>
      <c r="AP58" s="2286"/>
      <c r="AQ58" s="2286"/>
      <c r="AR58" s="2286"/>
      <c r="AS58" s="2286"/>
      <c r="AY58" s="1156">
        <v>14</v>
      </c>
    </row>
    <row customHeight="1" ht="22.5" hidden="1">
      <c r="A59" s="1161" t="s">
        <v>84</v>
      </c>
      <c r="B59" s="1161">
        <v>0</v>
      </c>
      <c r="C59" s="1161">
        <v>0</v>
      </c>
      <c r="D59" s="1161">
        <v>0</v>
      </c>
      <c r="E59" s="1161">
        <v>0</v>
      </c>
      <c r="F59" s="1161">
        <v>0</v>
      </c>
      <c r="G59" s="1161">
        <v>0</v>
      </c>
      <c r="H59" s="1161">
        <v>0</v>
      </c>
      <c r="I59" s="1161">
        <v>0</v>
      </c>
      <c r="J59" s="1161">
        <v>0</v>
      </c>
      <c r="K59" s="1161">
        <v>0</v>
      </c>
      <c r="L59" s="1479">
        <v>0</v>
      </c>
      <c r="M59" s="1363">
        <v>0</v>
      </c>
      <c r="N59" s="1363">
        <v>0</v>
      </c>
      <c r="O59" s="1363">
        <v>0</v>
      </c>
      <c r="P59" s="1474">
        <v>3</v>
      </c>
      <c r="Q59" s="345">
        <v>3</v>
      </c>
      <c r="R59" s="345">
        <v>3</v>
      </c>
      <c r="S59" s="582">
        <v>12</v>
      </c>
      <c r="T59" s="1156">
        <v>35</v>
      </c>
      <c r="U59" s="1156">
        <v>0</v>
      </c>
      <c r="V59" s="1156">
        <v>0</v>
      </c>
      <c r="W59" s="1632">
        <v>0</v>
      </c>
      <c r="X59" s="1632">
        <v>0</v>
      </c>
      <c r="Y59" s="1632">
        <v>0</v>
      </c>
      <c r="Z59" s="1632">
        <v>0</v>
      </c>
      <c r="AA59" s="1632">
        <v>0</v>
      </c>
      <c r="AB59" s="1632">
        <v>0</v>
      </c>
      <c r="AC59" s="1156">
        <v>0</v>
      </c>
      <c r="AD59" s="1156">
        <v>0</v>
      </c>
      <c r="AE59" s="1156">
        <v>0</v>
      </c>
      <c r="AF59" s="1156">
        <v>0</v>
      </c>
      <c r="AG59" s="1156">
        <v>19</v>
      </c>
      <c r="AH59" s="1632">
        <v>19</v>
      </c>
      <c r="AI59" s="1632">
        <v>19</v>
      </c>
      <c r="AJ59" s="1632">
        <v>19</v>
      </c>
      <c r="AK59" s="1632">
        <v>19</v>
      </c>
      <c r="AL59" s="1632">
        <v>19</v>
      </c>
      <c r="AM59" s="1156">
        <v>19</v>
      </c>
      <c r="AN59" s="1156">
        <v>11</v>
      </c>
      <c r="AO59" s="1156">
        <v>3</v>
      </c>
      <c r="AP59" s="1156">
        <v>11</v>
      </c>
      <c r="AQ59" s="1156">
        <v>0</v>
      </c>
      <c r="AR59" s="1156">
        <v>4</v>
      </c>
      <c r="AS59" s="1156">
        <v>115</v>
      </c>
      <c r="AT59" s="512">
        <v>10</v>
      </c>
      <c r="AU59" s="512">
        <v>10</v>
      </c>
      <c r="AV59" s="512">
        <v>10</v>
      </c>
      <c r="AW59" s="512">
        <v>10</v>
      </c>
      <c r="AX59" s="512">
        <v>10</v>
      </c>
      <c r="AY59" s="1156">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3E47AB8-C4DC-5D67-2B5B-0.4D94DB9E}" mc:Ignorable="x14ac xr xr2 xr3">
  <sheetPr>
    <tabColor theme="6" tint="0.4"/>
  </sheetPr>
  <dimension ref="A1:AY59"/>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8" style="1636" width="19.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19.7109375" customWidth="1"/>
    <col min="34" max="39" style="1636" width="19.00390625" customWidth="1"/>
    <col min="40" max="40" style="1636" width="11.00390625" customWidth="1"/>
    <col min="41" max="41" style="1636" width="3.7109375" customWidth="1"/>
    <col min="42" max="42" style="1636" width="11.00390625" customWidth="1"/>
    <col min="43" max="43" style="1636" width="8.57421875" hidden="1" customWidth="1"/>
    <col min="44" max="44" style="1636" width="4.00390625" customWidth="1"/>
    <col min="45" max="45" style="1636" width="115.00390625" customWidth="1"/>
    <col min="46" max="50" style="1643" width="10.00390625" customWidth="1"/>
    <col min="51" max="51" style="1636" width="10.57421875" hidden="1"/>
  </cols>
  <sheetData>
    <row customHeight="1" ht="22.5" hidden="1">
      <c r="AB1" s="328"/>
      <c r="AC1" s="328"/>
      <c r="AM1" s="328"/>
      <c r="AN1" s="328"/>
      <c r="AY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126</v>
      </c>
      <c r="U2" s="301"/>
      <c r="V2" s="2243"/>
      <c r="W2" s="2244"/>
      <c r="X2" s="2244"/>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4"/>
      <c r="AQ2" s="2244"/>
      <c r="AR2" s="2245"/>
      <c r="AS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U2" s="501"/>
      <c r="AV2" s="501" t="str">
        <f>IF(T2="","",T2)</f>
        <v>Наименование тарифа</v>
      </c>
      <c r="AW2" s="501"/>
      <c r="AX2" s="501"/>
      <c r="AY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409</v>
      </c>
      <c r="U3" s="301"/>
      <c r="V3" s="2243"/>
      <c r="W3" s="2244"/>
      <c r="X3" s="2244"/>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4"/>
      <c r="AQ3" s="2244"/>
      <c r="AR3" s="2245"/>
      <c r="AS3" s="1259" t="s">
        <v>410</v>
      </c>
      <c r="AU3" s="501"/>
      <c r="AV3" s="501" t="str">
        <f>IF(T3="","",T3)</f>
        <v>Территория действия тарифа</v>
      </c>
      <c r="AW3" s="501"/>
      <c r="AX3" s="501"/>
      <c r="AY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541</v>
      </c>
      <c r="U4" s="301"/>
      <c r="V4" s="2243"/>
      <c r="W4" s="2244"/>
      <c r="X4" s="2244"/>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4"/>
      <c r="AQ4" s="2244"/>
      <c r="AR4" s="2245"/>
      <c r="AS4" s="1259" t="s">
        <v>542</v>
      </c>
      <c r="AU4" s="501"/>
      <c r="AV4" s="501" t="str">
        <f>IF(T4="","",T4)</f>
        <v>Наименование централизованной системы горячего водоснабжения</v>
      </c>
      <c r="AW4" s="501"/>
      <c r="AX4" s="501"/>
      <c r="AY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492</v>
      </c>
      <c r="U5" s="301"/>
      <c r="V5" s="2351"/>
      <c r="W5" s="2352"/>
      <c r="X5" s="2352"/>
      <c r="Y5" s="2352"/>
      <c r="Z5" s="2352"/>
      <c r="AA5" s="2352"/>
      <c r="AB5" s="2352"/>
      <c r="AC5" s="2352"/>
      <c r="AD5" s="2352"/>
      <c r="AE5" s="2352"/>
      <c r="AF5" s="2353"/>
      <c r="AG5" s="2354"/>
      <c r="AH5" s="2355"/>
      <c r="AI5" s="2355"/>
      <c r="AJ5" s="2355"/>
      <c r="AK5" s="2355"/>
      <c r="AL5" s="2355"/>
      <c r="AM5" s="2355"/>
      <c r="AN5" s="2355"/>
      <c r="AO5" s="2355"/>
      <c r="AP5" s="2355"/>
      <c r="AQ5" s="2355"/>
      <c r="AR5" s="2356"/>
      <c r="AS5" s="1259" t="s">
        <v>493</v>
      </c>
      <c r="AU5" s="501"/>
      <c r="AV5" s="501" t="str">
        <f>IF(T5="","",T5)</f>
        <v>Наименование признака дифференциации</v>
      </c>
      <c r="AW5" s="501"/>
      <c r="AX5" s="501"/>
      <c r="AY5" s="1156">
        <v>0</v>
      </c>
    </row>
    <row customHeight="1" ht="23.25" hidden="1">
      <c r="A6" s="1364"/>
      <c r="B6" s="1364"/>
      <c r="C6" s="1364"/>
      <c r="D6" s="1364"/>
      <c r="E6" s="2260"/>
      <c r="F6" s="2260"/>
      <c r="G6" s="2260"/>
      <c r="H6" s="2260"/>
      <c r="I6" s="2287"/>
      <c r="J6" s="2257">
        <f>I5&amp;".1"</f>
      </c>
      <c r="K6" s="1364"/>
      <c r="L6" s="1365" t="s">
        <v>418</v>
      </c>
      <c r="P6" s="2258"/>
      <c r="Q6" s="2258">
        <v>1</v>
      </c>
      <c r="R6" s="358"/>
      <c r="S6" s="1494">
        <f>$J6</f>
      </c>
      <c r="T6" s="287" t="s">
        <v>419</v>
      </c>
      <c r="U6" s="301"/>
      <c r="V6" s="2246"/>
      <c r="W6" s="2247"/>
      <c r="X6" s="2247"/>
      <c r="Y6" s="2247"/>
      <c r="Z6" s="2247"/>
      <c r="AA6" s="2247"/>
      <c r="AB6" s="2247"/>
      <c r="AC6" s="2247"/>
      <c r="AD6" s="2247"/>
      <c r="AE6" s="2247"/>
      <c r="AF6" s="2248"/>
      <c r="AG6" s="2246"/>
      <c r="AH6" s="2247"/>
      <c r="AI6" s="2247"/>
      <c r="AJ6" s="2247"/>
      <c r="AK6" s="2247"/>
      <c r="AL6" s="2247"/>
      <c r="AM6" s="2247"/>
      <c r="AN6" s="2247"/>
      <c r="AO6" s="2247"/>
      <c r="AP6" s="2247"/>
      <c r="AQ6" s="2247"/>
      <c r="AR6" s="2248"/>
      <c r="AS6" s="1308" t="s">
        <v>494</v>
      </c>
      <c r="AU6" s="501"/>
      <c r="AV6" s="501" t="str">
        <f>IF(T6="","",T6)</f>
        <v>Группа потребителей</v>
      </c>
      <c r="AW6" s="501"/>
      <c r="AX6" s="501"/>
      <c r="AY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752"/>
      <c r="Y7" s="752"/>
      <c r="Z7" s="752"/>
      <c r="AA7" s="752"/>
      <c r="AB7" s="1258"/>
      <c r="AC7" s="2266"/>
      <c r="AD7" s="2108" t="s">
        <v>63</v>
      </c>
      <c r="AE7" s="2266"/>
      <c r="AF7" s="2108" t="s">
        <v>63</v>
      </c>
      <c r="AG7" s="752"/>
      <c r="AH7" s="752"/>
      <c r="AI7" s="752"/>
      <c r="AJ7" s="752"/>
      <c r="AK7" s="752"/>
      <c r="AL7" s="752"/>
      <c r="AM7" s="1258"/>
      <c r="AN7" s="2266"/>
      <c r="AO7" s="2108" t="s">
        <v>63</v>
      </c>
      <c r="AP7" s="2288"/>
      <c r="AQ7" s="2108" t="s">
        <v>63</v>
      </c>
      <c r="AR7" s="1439"/>
      <c r="AS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2">
        <f>STRCHECKDATE(V8:AR8)</f>
      </c>
      <c r="AU7" s="501"/>
      <c r="AV7" s="501" t="str">
        <f>IF(T7="","",T7)</f>
        <v/>
      </c>
      <c r="AW7" s="501"/>
      <c r="AX7" s="501"/>
      <c r="AY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6"/>
      <c r="Y8" s="326"/>
      <c r="Z8" s="326"/>
      <c r="AA8" s="326"/>
      <c r="AB8" s="329" t="str">
        <f>AC7&amp;"-"&amp;AE7</f>
        <v>-</v>
      </c>
      <c r="AC8" s="2267"/>
      <c r="AD8" s="2108"/>
      <c r="AE8" s="2267"/>
      <c r="AF8" s="2108"/>
      <c r="AG8" s="326"/>
      <c r="AH8" s="326"/>
      <c r="AI8" s="326"/>
      <c r="AJ8" s="326"/>
      <c r="AK8" s="326"/>
      <c r="AL8" s="326"/>
      <c r="AM8" s="329" t="str">
        <f>AN7&amp;"-"&amp;AP7</f>
        <v>-</v>
      </c>
      <c r="AN8" s="2267"/>
      <c r="AO8" s="2108"/>
      <c r="AP8" s="2289"/>
      <c r="AQ8" s="2108"/>
      <c r="AR8" s="1440"/>
      <c r="AS8" s="2350"/>
      <c r="AU8" s="501"/>
      <c r="AV8" s="501" t="str">
        <f>IF(T8="","",T8)</f>
        <v/>
      </c>
      <c r="AW8" s="501"/>
      <c r="AX8" s="501"/>
      <c r="AY8" s="1156">
        <v>0</v>
      </c>
    </row>
    <row customHeight="1" ht="21" hidden="1">
      <c r="A9" s="1364"/>
      <c r="B9" s="1364"/>
      <c r="C9" s="1364"/>
      <c r="D9" s="1364"/>
      <c r="E9" s="2260"/>
      <c r="F9" s="2260"/>
      <c r="G9" s="2260"/>
      <c r="H9" s="2260"/>
      <c r="I9" s="2287"/>
      <c r="J9" s="2257"/>
      <c r="K9" s="1364"/>
      <c r="L9" s="1365"/>
      <c r="P9" s="2258"/>
      <c r="Q9" s="2258"/>
      <c r="R9" s="357"/>
      <c r="S9" s="1279"/>
      <c r="T9" s="288" t="s">
        <v>495</v>
      </c>
      <c r="U9" s="368"/>
      <c r="V9" s="368"/>
      <c r="W9" s="601"/>
      <c r="X9" s="601"/>
      <c r="Y9" s="601"/>
      <c r="Z9" s="601"/>
      <c r="AA9" s="601"/>
      <c r="AB9" s="368"/>
      <c r="AC9" s="368"/>
      <c r="AD9" s="368"/>
      <c r="AE9" s="368"/>
      <c r="AF9" s="368"/>
      <c r="AG9" s="368"/>
      <c r="AH9" s="601"/>
      <c r="AI9" s="601"/>
      <c r="AJ9" s="601"/>
      <c r="AK9" s="601"/>
      <c r="AL9" s="601"/>
      <c r="AM9" s="368"/>
      <c r="AN9" s="368"/>
      <c r="AO9" s="368"/>
      <c r="AP9" s="368"/>
      <c r="AQ9" s="368"/>
      <c r="AR9" s="368"/>
      <c r="AS9" s="1259" t="s">
        <v>496</v>
      </c>
      <c r="AU9" s="501"/>
      <c r="AV9" s="501" t="str">
        <f>IF(T9="","",T9)</f>
        <v>Добавить значение признака дифференциации</v>
      </c>
      <c r="AW9" s="501"/>
      <c r="AX9" s="501"/>
      <c r="AY9" s="1156">
        <v>0</v>
      </c>
    </row>
    <row customHeight="1" ht="21" hidden="1">
      <c r="A10" s="1364"/>
      <c r="B10" s="1364"/>
      <c r="C10" s="1364"/>
      <c r="D10" s="1364"/>
      <c r="E10" s="2260"/>
      <c r="F10" s="2260"/>
      <c r="G10" s="2260"/>
      <c r="H10" s="2260"/>
      <c r="I10" s="2257"/>
      <c r="J10" s="1364"/>
      <c r="K10" s="1364"/>
      <c r="L10" s="1365"/>
      <c r="P10" s="2258"/>
      <c r="Q10" s="1482"/>
      <c r="R10" s="357"/>
      <c r="S10" s="1279"/>
      <c r="T10" s="366" t="s">
        <v>424</v>
      </c>
      <c r="U10" s="368"/>
      <c r="V10" s="368"/>
      <c r="W10" s="601"/>
      <c r="X10" s="601"/>
      <c r="Y10" s="601"/>
      <c r="Z10" s="601"/>
      <c r="AA10" s="601"/>
      <c r="AB10" s="368"/>
      <c r="AC10" s="368"/>
      <c r="AD10" s="368"/>
      <c r="AE10" s="368"/>
      <c r="AF10" s="367"/>
      <c r="AG10" s="368"/>
      <c r="AH10" s="601"/>
      <c r="AI10" s="601"/>
      <c r="AJ10" s="601"/>
      <c r="AK10" s="601"/>
      <c r="AL10" s="601"/>
      <c r="AM10" s="368"/>
      <c r="AN10" s="368"/>
      <c r="AO10" s="368"/>
      <c r="AP10" s="368"/>
      <c r="AQ10" s="367"/>
      <c r="AR10" s="368"/>
      <c r="AS10" s="1441"/>
      <c r="AU10" s="501"/>
      <c r="AV10" s="501" t="str">
        <f>IF(T10="","",T10)</f>
        <v>Добавить группу потребителей</v>
      </c>
      <c r="AW10" s="501"/>
      <c r="AX10" s="501"/>
      <c r="AY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497</v>
      </c>
      <c r="U11" s="368"/>
      <c r="V11" s="368"/>
      <c r="W11" s="601"/>
      <c r="X11" s="601"/>
      <c r="Y11" s="601"/>
      <c r="Z11" s="601"/>
      <c r="AA11" s="601"/>
      <c r="AB11" s="368"/>
      <c r="AC11" s="368"/>
      <c r="AD11" s="368"/>
      <c r="AE11" s="368"/>
      <c r="AF11" s="367"/>
      <c r="AG11" s="368"/>
      <c r="AH11" s="601"/>
      <c r="AI11" s="601"/>
      <c r="AJ11" s="601"/>
      <c r="AK11" s="601"/>
      <c r="AL11" s="601"/>
      <c r="AM11" s="368"/>
      <c r="AN11" s="368"/>
      <c r="AO11" s="368"/>
      <c r="AP11" s="368"/>
      <c r="AQ11" s="367"/>
      <c r="AR11" s="368"/>
      <c r="AS11" s="304"/>
      <c r="AU11" s="501"/>
      <c r="AV11" s="501" t="str">
        <f>IF(T11="","",T11)</f>
        <v>Добавить наименование признака дифференциации</v>
      </c>
      <c r="AW11" s="501"/>
      <c r="AX11" s="501"/>
      <c r="AY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232</v>
      </c>
      <c r="U12" s="1325"/>
      <c r="V12" s="1325"/>
      <c r="W12" s="1325"/>
      <c r="X12" s="1325"/>
      <c r="Y12" s="1325"/>
      <c r="Z12" s="1325"/>
      <c r="AA12" s="1325"/>
      <c r="AB12" s="1325"/>
      <c r="AC12" s="1325"/>
      <c r="AD12" s="1325"/>
      <c r="AE12" s="1325"/>
      <c r="AF12" s="1325"/>
      <c r="AG12" s="1325"/>
      <c r="AH12" s="1325"/>
      <c r="AI12" s="1325"/>
      <c r="AJ12" s="1325"/>
      <c r="AK12" s="1325"/>
      <c r="AL12" s="1325"/>
      <c r="AM12" s="1325"/>
      <c r="AN12" s="1325"/>
      <c r="AO12" s="1325"/>
      <c r="AP12" s="1325"/>
      <c r="AQ12" s="1325"/>
      <c r="AR12" s="1325"/>
      <c r="AS12" s="1325"/>
      <c r="AU12" s="790"/>
      <c r="AV12" s="790" t="str">
        <f>IF(T12="","",T12)</f>
        <v>Добавить централизованную систему для дифференциации</v>
      </c>
      <c r="AW12" s="790"/>
      <c r="AX12" s="790"/>
      <c r="AY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233</v>
      </c>
      <c r="U13" s="1325"/>
      <c r="V13" s="1325"/>
      <c r="W13" s="1325"/>
      <c r="X13" s="1325"/>
      <c r="Y13" s="1325"/>
      <c r="Z13" s="1325"/>
      <c r="AA13" s="1325"/>
      <c r="AB13" s="1325"/>
      <c r="AC13" s="1325"/>
      <c r="AD13" s="1325"/>
      <c r="AE13" s="1325"/>
      <c r="AF13" s="1325"/>
      <c r="AG13" s="1325"/>
      <c r="AH13" s="1325"/>
      <c r="AI13" s="1325"/>
      <c r="AJ13" s="1325"/>
      <c r="AK13" s="1325"/>
      <c r="AL13" s="1325"/>
      <c r="AM13" s="1325"/>
      <c r="AN13" s="1325"/>
      <c r="AO13" s="1325"/>
      <c r="AP13" s="1325"/>
      <c r="AQ13" s="1325"/>
      <c r="AR13" s="1325"/>
      <c r="AS13" s="1325"/>
      <c r="AU13" s="501"/>
      <c r="AV13" s="501" t="str">
        <f>IF(T13="","",T13)</f>
        <v>Добавить территорию для дифференциации</v>
      </c>
      <c r="AW13" s="501"/>
      <c r="AX13" s="501"/>
      <c r="AY13" s="512">
        <v>0</v>
      </c>
    </row>
    <row customHeight="1" ht="14.25" hidden="1">
      <c r="AF14" s="328"/>
      <c r="AQ14" s="328"/>
      <c r="AY14" s="1156">
        <v>0</v>
      </c>
    </row>
    <row customHeight="1" ht="14.25" hidden="1">
      <c r="AG15" s="1361"/>
      <c r="AH15" s="1361"/>
      <c r="AI15" s="1361"/>
      <c r="AJ15" s="1361"/>
      <c r="AK15" s="1361"/>
      <c r="AL15" s="1361"/>
      <c r="AM15" s="1362"/>
      <c r="AN15" s="2268"/>
      <c r="AO15" s="2269" t="s">
        <v>63</v>
      </c>
      <c r="AP15" s="2268"/>
      <c r="AQ15" s="2269" t="s">
        <v>63</v>
      </c>
      <c r="AY15" s="1156">
        <v>0</v>
      </c>
    </row>
    <row customHeight="1" ht="14.25" hidden="1">
      <c r="AG16" s="1361"/>
      <c r="AH16" s="1361"/>
      <c r="AI16" s="1361"/>
      <c r="AJ16" s="1361"/>
      <c r="AK16" s="1361"/>
      <c r="AL16" s="1361"/>
      <c r="AM16" s="329" t="str">
        <f>AN15&amp;"-"&amp;AP15</f>
        <v>-</v>
      </c>
      <c r="AN16" s="2269"/>
      <c r="AO16" s="2269"/>
      <c r="AP16" s="2269"/>
      <c r="AQ16" s="2269"/>
      <c r="AY16" s="1156">
        <v>0</v>
      </c>
    </row>
    <row customHeight="1" ht="14.25" hidden="1">
      <c r="AQ17" s="328"/>
      <c r="AY17" s="1156">
        <v>0</v>
      </c>
    </row>
    <row s="1367" customFormat="1" customHeight="1" ht="22.5" hidden="1">
      <c r="L18" s="1479"/>
      <c r="M18" s="1363"/>
      <c r="N18" s="1363"/>
      <c r="O18" s="1368" t="s">
        <v>427</v>
      </c>
      <c r="P18" s="1363"/>
      <c r="Q18" s="1372"/>
      <c r="R18" s="1372"/>
      <c r="S18" s="730"/>
      <c r="W18" s="1367"/>
      <c r="X18" s="1367"/>
      <c r="Y18" s="1367"/>
      <c r="Z18" s="1367"/>
      <c r="AA18" s="1367"/>
      <c r="AC18" s="1368"/>
      <c r="AE18" s="1368"/>
      <c r="AF18" s="1367"/>
      <c r="AH18" s="1367"/>
      <c r="AI18" s="1367"/>
      <c r="AJ18" s="1367"/>
      <c r="AK18" s="1367"/>
      <c r="AL18" s="1367"/>
      <c r="AN18" s="1368"/>
      <c r="AP18" s="1368"/>
      <c r="AQ18" s="1367"/>
      <c r="AT18" s="512"/>
      <c r="AU18" s="512"/>
      <c r="AV18" s="512"/>
      <c r="AW18" s="512"/>
      <c r="AX18" s="512"/>
      <c r="AY18" s="1161">
        <v>0</v>
      </c>
    </row>
    <row s="1367" customFormat="1" customHeight="1" ht="14.25" hidden="1">
      <c r="L19" s="1479"/>
      <c r="M19" s="1363"/>
      <c r="N19" s="1363"/>
      <c r="O19" s="1363"/>
      <c r="P19" s="1363"/>
      <c r="Q19" s="1372"/>
      <c r="R19" s="1372"/>
      <c r="S19" s="730"/>
      <c r="W19" s="1367"/>
      <c r="X19" s="1367"/>
      <c r="Y19" s="1367"/>
      <c r="Z19" s="1367"/>
      <c r="AA19" s="1367"/>
      <c r="AF19" s="1367"/>
      <c r="AH19" s="1367"/>
      <c r="AI19" s="1367"/>
      <c r="AJ19" s="1367"/>
      <c r="AK19" s="1367"/>
      <c r="AL19" s="1367"/>
      <c r="AQ19" s="1367"/>
      <c r="AT19" s="512"/>
      <c r="AU19" s="512"/>
      <c r="AV19" s="512"/>
      <c r="AW19" s="512"/>
      <c r="AX19" s="512"/>
      <c r="AY19" s="1161">
        <v>0</v>
      </c>
    </row>
    <row s="1367" customFormat="1" customHeight="1" ht="12" hidden="1">
      <c r="L20" s="1479"/>
      <c r="M20" s="1363"/>
      <c r="N20" s="1363"/>
      <c r="O20" s="1365" t="s">
        <v>428</v>
      </c>
      <c r="P20" s="1363"/>
      <c r="Q20" s="1443"/>
      <c r="R20" s="1443"/>
      <c r="S20" s="730"/>
      <c r="T20" s="1161" t="s">
        <v>429</v>
      </c>
      <c r="W20" s="1367"/>
      <c r="X20" s="1367"/>
      <c r="Y20" s="1367"/>
      <c r="Z20" s="1367"/>
      <c r="AA20" s="1367"/>
      <c r="AD20" s="187" t="s">
        <v>430</v>
      </c>
      <c r="AF20" s="187" t="s">
        <v>431</v>
      </c>
      <c r="AG20" s="1161" t="s">
        <v>429</v>
      </c>
      <c r="AH20" s="1367"/>
      <c r="AI20" s="1367"/>
      <c r="AJ20" s="1367"/>
      <c r="AK20" s="1367"/>
      <c r="AL20" s="1367"/>
      <c r="AO20" s="187" t="s">
        <v>432</v>
      </c>
      <c r="AQ20" s="187" t="s">
        <v>431</v>
      </c>
      <c r="AY20" s="1161">
        <v>0</v>
      </c>
    </row>
    <row customHeight="1" ht="14.25" hidden="1">
      <c r="O21" s="1365"/>
      <c r="AY21" s="1156">
        <v>0</v>
      </c>
    </row>
    <row customHeight="1" ht="14.25" hidden="1">
      <c r="O22" s="1365"/>
      <c r="AY22" s="1156">
        <v>0</v>
      </c>
    </row>
    <row customHeight="1" ht="14.699999999999998">
      <c r="Q23" s="377"/>
      <c r="R23" s="377"/>
      <c r="S23" s="1276"/>
      <c r="T23" s="364"/>
      <c r="U23" s="364"/>
      <c r="V23" s="510"/>
      <c r="W23" s="1636"/>
      <c r="X23" s="1636"/>
      <c r="Y23" s="1636"/>
      <c r="Z23" s="1636"/>
      <c r="AA23" s="1636"/>
      <c r="AB23" s="510"/>
      <c r="AC23" s="510"/>
      <c r="AD23" s="510"/>
      <c r="AE23" s="510"/>
      <c r="AF23" s="510"/>
      <c r="AG23" s="510"/>
      <c r="AH23" s="1636"/>
      <c r="AI23" s="1636"/>
      <c r="AJ23" s="1636"/>
      <c r="AK23" s="1636"/>
      <c r="AL23" s="1636"/>
      <c r="AM23" s="510"/>
      <c r="AN23" s="510"/>
      <c r="AO23" s="510"/>
      <c r="AP23" s="510"/>
      <c r="AQ23" s="510"/>
      <c r="AY23" s="1156">
        <v>14</v>
      </c>
    </row>
    <row customHeight="1" ht="26.25">
      <c r="Q24" s="377"/>
      <c r="R24" s="377"/>
      <c r="S24" s="2249" t="str">
        <f>IF(TEMPLATE_GROUP="P",PT_P_FORM_HOTVSNA_4_NAME_FORM,PT_R_FORM_HOTVSNA_16_NAME_FORM)</f>
        <v>Форма 2. Информация о тарифах в сфере горячего водоснабжения на товары (услуги) организации горячего водоснабжения, подлежащих регулированию</v>
      </c>
      <c r="T24" s="2249"/>
      <c r="U24" s="2249"/>
      <c r="V24" s="2249"/>
      <c r="W24" s="2249"/>
      <c r="X24" s="2249"/>
      <c r="Y24" s="2249"/>
      <c r="Z24" s="2249"/>
      <c r="AA24" s="2249"/>
      <c r="AB24" s="2249"/>
      <c r="AC24" s="2249"/>
      <c r="AD24" s="2249"/>
      <c r="AE24" s="2249"/>
      <c r="AF24" s="2249"/>
      <c r="AG24" s="2249"/>
      <c r="AH24" s="2249"/>
      <c r="AI24" s="2249"/>
      <c r="AJ24" s="2249"/>
      <c r="AK24" s="2249"/>
      <c r="AL24" s="2249"/>
      <c r="AM24" s="2249"/>
      <c r="AN24" s="2249"/>
      <c r="AO24" s="2249"/>
      <c r="AP24" s="2249"/>
      <c r="AQ24" s="1244"/>
      <c r="AY24" s="1156">
        <v>25</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2250"/>
      <c r="AJ25" s="2250"/>
      <c r="AK25" s="2250"/>
      <c r="AL25" s="2250"/>
      <c r="AM25" s="2250"/>
      <c r="AN25" s="2250"/>
      <c r="AO25" s="2250"/>
      <c r="AP25" s="2250"/>
      <c r="AQ25" s="1244"/>
      <c r="AY25" s="1156">
        <v>14</v>
      </c>
    </row>
    <row customHeight="1" ht="14.25">
      <c r="Q26" s="377"/>
      <c r="R26" s="377"/>
      <c r="S26" s="1276"/>
      <c r="T26" s="364"/>
      <c r="U26" s="364"/>
      <c r="V26" s="323"/>
      <c r="W26" s="323"/>
      <c r="X26" s="323"/>
      <c r="Y26" s="323"/>
      <c r="Z26" s="323"/>
      <c r="AA26" s="323"/>
      <c r="AB26" s="323"/>
      <c r="AC26" s="323"/>
      <c r="AD26" s="323"/>
      <c r="AE26" s="323"/>
      <c r="AF26" s="323"/>
      <c r="AG26" s="323"/>
      <c r="AH26" s="323"/>
      <c r="AI26" s="323"/>
      <c r="AJ26" s="323"/>
      <c r="AK26" s="323"/>
      <c r="AL26" s="323"/>
      <c r="AM26" s="323"/>
      <c r="AN26" s="323"/>
      <c r="AO26" s="323"/>
      <c r="AP26" s="323"/>
      <c r="AQ26" s="323"/>
      <c r="AR26" s="510"/>
      <c r="AY26" s="1156">
        <v>0</v>
      </c>
    </row>
    <row s="1854" customFormat="1" customHeight="1" ht="25.5">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Управление по государственному регулированию цен (тарифов) Ненецкого автономного округа</v>
      </c>
      <c r="W27" s="2252"/>
      <c r="X27" s="2252"/>
      <c r="Y27" s="2252"/>
      <c r="Z27" s="2252"/>
      <c r="AA27" s="2252"/>
      <c r="AB27" s="2252"/>
      <c r="AC27" s="2252"/>
      <c r="AD27" s="2252"/>
      <c r="AE27" s="2252"/>
      <c r="AF27" s="327"/>
      <c r="AG27" s="2252" t="str">
        <f>IF(TITLE_NAME_OR_PR_CHANGE="",IF(TITLE_NAME_OR_PR="","",TITLE_NAME_OR_PR),TITLE_NAME_OR_PR_CHANGE)</f>
        <v>Управление по государственному регулированию цен (тарифов) Ненецкого автономного округа</v>
      </c>
      <c r="AH27" s="2252"/>
      <c r="AI27" s="2252"/>
      <c r="AJ27" s="2252"/>
      <c r="AK27" s="2252"/>
      <c r="AL27" s="2252"/>
      <c r="AM27" s="2252"/>
      <c r="AN27" s="2252"/>
      <c r="AO27" s="2252"/>
      <c r="AP27" s="2252"/>
      <c r="AQ27" s="327"/>
      <c r="AR27" s="327"/>
      <c r="AS27" s="281"/>
      <c r="AT27" s="369"/>
      <c r="AU27" s="369"/>
      <c r="AV27" s="369"/>
      <c r="AW27" s="369"/>
      <c r="AX27" s="369"/>
      <c r="AY27" s="419">
        <v>0</v>
      </c>
    </row>
    <row s="1854" customFormat="1" customHeight="1" ht="18.75">
      <c r="A28" s="1369"/>
      <c r="B28" s="1369"/>
      <c r="C28" s="1369"/>
      <c r="D28" s="1369"/>
      <c r="E28" s="1369"/>
      <c r="F28" s="1369"/>
      <c r="G28" s="1369"/>
      <c r="H28" s="1369"/>
      <c r="I28" s="1369"/>
      <c r="J28" s="1369"/>
      <c r="K28" s="1369"/>
      <c r="L28" s="1370"/>
      <c r="M28" s="1369"/>
      <c r="N28" s="1369"/>
      <c r="O28" s="1369"/>
      <c r="S28" s="2251" t="s">
        <v>433</v>
      </c>
      <c r="T28" s="2251"/>
      <c r="U28" s="1373"/>
      <c r="V28" s="2265" t="str">
        <f>IF(TITLE_DATE_PR_CHANGE="",IF(TITLE_DATE_PR="","",TITLE_DATE_PR),TITLE_DATE_PR_CHANGE)</f>
        <v>45642</v>
      </c>
      <c r="W28" s="2265"/>
      <c r="X28" s="2265"/>
      <c r="Y28" s="2265"/>
      <c r="Z28" s="2265"/>
      <c r="AA28" s="2265"/>
      <c r="AB28" s="2265"/>
      <c r="AC28" s="2265"/>
      <c r="AD28" s="2265"/>
      <c r="AE28" s="2265"/>
      <c r="AF28" s="327"/>
      <c r="AG28" s="2265" t="str">
        <f>IF(TITLE_DATE_PR_CHANGE="",IF(TITLE_DATE_PR="","",TITLE_DATE_PR),TITLE_DATE_PR_CHANGE)</f>
        <v>45642</v>
      </c>
      <c r="AH28" s="2265"/>
      <c r="AI28" s="2265"/>
      <c r="AJ28" s="2265"/>
      <c r="AK28" s="2265"/>
      <c r="AL28" s="2265"/>
      <c r="AM28" s="2265"/>
      <c r="AN28" s="2265"/>
      <c r="AO28" s="2265"/>
      <c r="AP28" s="2265"/>
      <c r="AQ28" s="327"/>
      <c r="AR28" s="327"/>
      <c r="AS28" s="281"/>
      <c r="AT28" s="369"/>
      <c r="AU28" s="369"/>
      <c r="AV28" s="369"/>
      <c r="AW28" s="369"/>
      <c r="AX28" s="369"/>
      <c r="AY28" s="419">
        <v>0</v>
      </c>
    </row>
    <row s="1854" customFormat="1" customHeight="1" ht="18.75">
      <c r="A29" s="1369"/>
      <c r="B29" s="1369"/>
      <c r="C29" s="1369"/>
      <c r="D29" s="1369"/>
      <c r="E29" s="1369"/>
      <c r="F29" s="1369"/>
      <c r="G29" s="1369"/>
      <c r="H29" s="1369"/>
      <c r="I29" s="1369"/>
      <c r="J29" s="1369"/>
      <c r="K29" s="1369"/>
      <c r="L29" s="1370"/>
      <c r="M29" s="1369"/>
      <c r="N29" s="1369"/>
      <c r="O29" s="1369"/>
      <c r="S29" s="2251" t="s">
        <v>434</v>
      </c>
      <c r="T29" s="2251"/>
      <c r="U29" s="1373"/>
      <c r="V29" s="2252" t="str">
        <f>IF(TITLE_NUMBER_PR_CHANGE="",IF(TITLE_NUMBER_PR="","",TITLE_NUMBER_PR),TITLE_NUMBER_PR_CHANGE)</f>
        <v>58</v>
      </c>
      <c r="W29" s="2252"/>
      <c r="X29" s="2252"/>
      <c r="Y29" s="2252"/>
      <c r="Z29" s="2252"/>
      <c r="AA29" s="2252"/>
      <c r="AB29" s="2252"/>
      <c r="AC29" s="2252"/>
      <c r="AD29" s="2252"/>
      <c r="AE29" s="2252"/>
      <c r="AF29" s="327"/>
      <c r="AG29" s="2252" t="str">
        <f>IF(TITLE_NUMBER_PR_CHANGE="",IF(TITLE_NUMBER_PR="","",TITLE_NUMBER_PR),TITLE_NUMBER_PR_CHANGE)</f>
        <v>58</v>
      </c>
      <c r="AH29" s="2252"/>
      <c r="AI29" s="2252"/>
      <c r="AJ29" s="2252"/>
      <c r="AK29" s="2252"/>
      <c r="AL29" s="2252"/>
      <c r="AM29" s="2252"/>
      <c r="AN29" s="2252"/>
      <c r="AO29" s="2252"/>
      <c r="AP29" s="2252"/>
      <c r="AQ29" s="327"/>
      <c r="AR29" s="327"/>
      <c r="AS29" s="281"/>
      <c r="AT29" s="369"/>
      <c r="AU29" s="369"/>
      <c r="AV29" s="369"/>
      <c r="AW29" s="369"/>
      <c r="AX29" s="369"/>
      <c r="AY29" s="419">
        <v>0</v>
      </c>
    </row>
    <row s="1854" customFormat="1" customHeight="1" ht="18.75">
      <c r="A30" s="1369"/>
      <c r="B30" s="1369"/>
      <c r="C30" s="1369"/>
      <c r="D30" s="1369"/>
      <c r="E30" s="1369"/>
      <c r="F30" s="1369"/>
      <c r="G30" s="1369"/>
      <c r="H30" s="1369"/>
      <c r="I30" s="1369"/>
      <c r="J30" s="1369"/>
      <c r="K30" s="1369"/>
      <c r="L30" s="1370"/>
      <c r="M30" s="1369"/>
      <c r="N30" s="1369"/>
      <c r="O30" s="1369"/>
      <c r="S30" s="2251" t="s">
        <v>44</v>
      </c>
      <c r="T30" s="2251"/>
      <c r="U30" s="1373"/>
      <c r="V30" s="2252" t="str">
        <f>IF(TITLE_IST_PUB_CHANGE="",IF(TITLE_IST_PUB="","",TITLE_IST_PUB),TITLE_IST_PUB_CHANGE)</f>
        <v>Официальный интернет портал правовой информации http://pravo.gov.ru </v>
      </c>
      <c r="W30" s="2252"/>
      <c r="X30" s="2252"/>
      <c r="Y30" s="2252"/>
      <c r="Z30" s="2252"/>
      <c r="AA30" s="2252"/>
      <c r="AB30" s="2252"/>
      <c r="AC30" s="2252"/>
      <c r="AD30" s="2252"/>
      <c r="AE30" s="2252"/>
      <c r="AF30" s="327"/>
      <c r="AG30" s="2252" t="str">
        <f>IF(TITLE_IST_PUB_CHANGE="",IF(TITLE_IST_PUB="","",TITLE_IST_PUB),TITLE_IST_PUB_CHANGE)</f>
        <v>Официальный интернет портал правовой информации http://pravo.gov.ru </v>
      </c>
      <c r="AH30" s="2252"/>
      <c r="AI30" s="2252"/>
      <c r="AJ30" s="2252"/>
      <c r="AK30" s="2252"/>
      <c r="AL30" s="2252"/>
      <c r="AM30" s="2252"/>
      <c r="AN30" s="2252"/>
      <c r="AO30" s="2252"/>
      <c r="AP30" s="2252"/>
      <c r="AQ30" s="327"/>
      <c r="AR30" s="327"/>
      <c r="AS30" s="281"/>
      <c r="AT30" s="369"/>
      <c r="AU30" s="369"/>
      <c r="AV30" s="369"/>
      <c r="AW30" s="369"/>
      <c r="AX30" s="369"/>
      <c r="AY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323"/>
      <c r="AK31" s="323"/>
      <c r="AL31" s="323"/>
      <c r="AM31" s="323"/>
      <c r="AN31" s="323"/>
      <c r="AO31" s="323"/>
      <c r="AP31" s="323"/>
      <c r="AQ31" s="323"/>
      <c r="AR31" s="510"/>
      <c r="AY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435</v>
      </c>
      <c r="T32" s="2251"/>
      <c r="U32" s="1373"/>
      <c r="V32" s="2265" t="str">
        <f>IF(TITLE_DATE_PR_CHANGE="",IF(TITLE_DATE_PR="","",TITLE_DATE_PR),TITLE_DATE_PR_CHANGE)</f>
        <v>45642</v>
      </c>
      <c r="W32" s="2265"/>
      <c r="X32" s="2265"/>
      <c r="Y32" s="2265"/>
      <c r="Z32" s="2265"/>
      <c r="AA32" s="2265"/>
      <c r="AB32" s="2265"/>
      <c r="AC32" s="2265"/>
      <c r="AD32" s="2265"/>
      <c r="AE32" s="2265"/>
      <c r="AF32" s="327"/>
      <c r="AG32" s="2265" t="str">
        <f>IF(TITLE_DATE_PR_CHANGE="",IF(TITLE_DATE_PR="","",TITLE_DATE_PR),TITLE_DATE_PR_CHANGE)</f>
        <v>45642</v>
      </c>
      <c r="AH32" s="2265"/>
      <c r="AI32" s="2265"/>
      <c r="AJ32" s="2265"/>
      <c r="AK32" s="2265"/>
      <c r="AL32" s="2265"/>
      <c r="AM32" s="2265"/>
      <c r="AN32" s="2265"/>
      <c r="AO32" s="2265"/>
      <c r="AP32" s="2265"/>
      <c r="AQ32" s="327"/>
      <c r="AR32" s="327"/>
      <c r="AS32" s="281"/>
      <c r="AT32" s="369"/>
      <c r="AU32" s="369"/>
      <c r="AV32" s="369"/>
      <c r="AW32" s="369"/>
      <c r="AX32" s="369"/>
      <c r="AY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436</v>
      </c>
      <c r="T33" s="2251"/>
      <c r="U33" s="1373"/>
      <c r="V33" s="2252" t="str">
        <f>IF(TITLE_NUMBER_PR_CHANGE="",IF(TITLE_NUMBER_PR="","",TITLE_NUMBER_PR),TITLE_NUMBER_PR_CHANGE)</f>
        <v>58</v>
      </c>
      <c r="W33" s="2252"/>
      <c r="X33" s="2252"/>
      <c r="Y33" s="2252"/>
      <c r="Z33" s="2252"/>
      <c r="AA33" s="2252"/>
      <c r="AB33" s="2252"/>
      <c r="AC33" s="2252"/>
      <c r="AD33" s="2252"/>
      <c r="AE33" s="2252"/>
      <c r="AF33" s="327"/>
      <c r="AG33" s="2252" t="str">
        <f>IF(TITLE_NUMBER_PR_CHANGE="",IF(TITLE_NUMBER_PR="","",TITLE_NUMBER_PR),TITLE_NUMBER_PR_CHANGE)</f>
        <v>58</v>
      </c>
      <c r="AH33" s="2252"/>
      <c r="AI33" s="2252"/>
      <c r="AJ33" s="2252"/>
      <c r="AK33" s="2252"/>
      <c r="AL33" s="2252"/>
      <c r="AM33" s="2252"/>
      <c r="AN33" s="2252"/>
      <c r="AO33" s="2252"/>
      <c r="AP33" s="2252"/>
      <c r="AQ33" s="327"/>
      <c r="AR33" s="327"/>
      <c r="AS33" s="281"/>
      <c r="AT33" s="369"/>
      <c r="AU33" s="369"/>
      <c r="AV33" s="369"/>
      <c r="AW33" s="369"/>
      <c r="AX33" s="369"/>
      <c r="AY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1636"/>
      <c r="X34" s="1636"/>
      <c r="Y34" s="1636"/>
      <c r="Z34" s="1636"/>
      <c r="AA34" s="1636"/>
      <c r="AB34" s="327"/>
      <c r="AC34" s="327"/>
      <c r="AD34" s="327"/>
      <c r="AE34" s="327"/>
      <c r="AF34" s="279" t="s">
        <v>437</v>
      </c>
      <c r="AG34" s="327"/>
      <c r="AH34" s="1636"/>
      <c r="AI34" s="1636"/>
      <c r="AJ34" s="1636"/>
      <c r="AK34" s="1636"/>
      <c r="AL34" s="1636"/>
      <c r="AM34" s="327"/>
      <c r="AN34" s="327"/>
      <c r="AO34" s="327"/>
      <c r="AP34" s="327"/>
      <c r="AQ34" s="279" t="s">
        <v>437</v>
      </c>
      <c r="AT34" s="369"/>
      <c r="AU34" s="369"/>
      <c r="AV34" s="369"/>
      <c r="AW34" s="369"/>
      <c r="AX34" s="369"/>
      <c r="AY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J35" s="2253"/>
      <c r="AK35" s="2253"/>
      <c r="AL35" s="2253"/>
      <c r="AM35" s="2253"/>
      <c r="AN35" s="2253"/>
      <c r="AO35" s="2253"/>
      <c r="AP35" s="2253"/>
      <c r="AQ35" s="2253"/>
      <c r="AY35" s="1156">
        <v>14</v>
      </c>
    </row>
    <row customHeight="1" ht="14.699999999999998">
      <c r="Q36" s="377"/>
      <c r="R36" s="377"/>
      <c r="S36" s="2128" t="s">
        <v>312</v>
      </c>
      <c r="T36" s="2128"/>
      <c r="U36" s="2128"/>
      <c r="V36" s="2128"/>
      <c r="W36" s="2128"/>
      <c r="X36" s="2128"/>
      <c r="Y36" s="2128"/>
      <c r="Z36" s="2128"/>
      <c r="AA36" s="2128"/>
      <c r="AB36" s="2128"/>
      <c r="AC36" s="2128"/>
      <c r="AD36" s="2128"/>
      <c r="AE36" s="2128"/>
      <c r="AF36" s="2128"/>
      <c r="AG36" s="2128"/>
      <c r="AH36" s="2128"/>
      <c r="AI36" s="2128"/>
      <c r="AJ36" s="2128"/>
      <c r="AK36" s="2128"/>
      <c r="AL36" s="2128"/>
      <c r="AM36" s="2128"/>
      <c r="AN36" s="2128"/>
      <c r="AO36" s="2128"/>
      <c r="AP36" s="2128"/>
      <c r="AQ36" s="2128"/>
      <c r="AR36" s="2128"/>
      <c r="AS36" s="2128" t="s">
        <v>313</v>
      </c>
      <c r="AY36" s="1156">
        <v>14</v>
      </c>
    </row>
    <row customHeight="1" ht="14.699999999999998">
      <c r="Q37" s="377"/>
      <c r="R37" s="377"/>
      <c r="S37" s="2274" t="s">
        <v>90</v>
      </c>
      <c r="T37" s="2210" t="s">
        <v>438</v>
      </c>
      <c r="U37" s="302"/>
      <c r="V37" s="2275" t="s">
        <v>439</v>
      </c>
      <c r="W37" s="2276"/>
      <c r="X37" s="2276"/>
      <c r="Y37" s="2276"/>
      <c r="Z37" s="2276"/>
      <c r="AA37" s="2276"/>
      <c r="AB37" s="2276"/>
      <c r="AC37" s="2276"/>
      <c r="AD37" s="2276"/>
      <c r="AE37" s="2277"/>
      <c r="AF37" s="2278" t="s">
        <v>440</v>
      </c>
      <c r="AG37" s="2275" t="s">
        <v>439</v>
      </c>
      <c r="AH37" s="2276"/>
      <c r="AI37" s="2276"/>
      <c r="AJ37" s="2276"/>
      <c r="AK37" s="2276"/>
      <c r="AL37" s="2276"/>
      <c r="AM37" s="2276"/>
      <c r="AN37" s="2276"/>
      <c r="AO37" s="2276"/>
      <c r="AP37" s="2277"/>
      <c r="AQ37" s="2278" t="s">
        <v>441</v>
      </c>
      <c r="AR37" s="2281" t="s">
        <v>442</v>
      </c>
      <c r="AS37" s="2128"/>
      <c r="AY37" s="1156">
        <v>14</v>
      </c>
    </row>
    <row s="1636" customFormat="1" customHeight="1" ht="19.95">
      <c r="A38" s="1367"/>
      <c r="B38" s="1367"/>
      <c r="C38" s="1367"/>
      <c r="D38" s="1367"/>
      <c r="E38" s="1367"/>
      <c r="F38" s="1367"/>
      <c r="G38" s="1367"/>
      <c r="H38" s="1367"/>
      <c r="I38" s="1367"/>
      <c r="J38" s="1367"/>
      <c r="K38" s="1367"/>
      <c r="L38" s="1981"/>
      <c r="M38" s="1363"/>
      <c r="N38" s="1363"/>
      <c r="O38" s="1363"/>
      <c r="P38" s="1982"/>
      <c r="Q38" s="377"/>
      <c r="R38" s="377"/>
      <c r="S38" s="2274"/>
      <c r="T38" s="2210"/>
      <c r="U38" s="1032"/>
      <c r="V38" s="2367" t="s">
        <v>543</v>
      </c>
      <c r="W38" s="2366" t="s">
        <v>544</v>
      </c>
      <c r="X38" s="2366"/>
      <c r="Y38" s="2366"/>
      <c r="Z38" s="2366" t="s">
        <v>545</v>
      </c>
      <c r="AA38" s="2366"/>
      <c r="AB38" s="2366"/>
      <c r="AC38" s="2295" t="s">
        <v>446</v>
      </c>
      <c r="AD38" s="2314"/>
      <c r="AE38" s="2315"/>
      <c r="AF38" s="2279"/>
      <c r="AG38" s="2367" t="s">
        <v>543</v>
      </c>
      <c r="AH38" s="2366" t="s">
        <v>544</v>
      </c>
      <c r="AI38" s="2366"/>
      <c r="AJ38" s="2366"/>
      <c r="AK38" s="2366" t="s">
        <v>545</v>
      </c>
      <c r="AL38" s="2366"/>
      <c r="AM38" s="2366"/>
      <c r="AN38" s="2295" t="s">
        <v>446</v>
      </c>
      <c r="AO38" s="2314"/>
      <c r="AP38" s="2315"/>
      <c r="AQ38" s="2279"/>
      <c r="AR38" s="2282"/>
      <c r="AS38" s="2128"/>
      <c r="AT38" s="1637"/>
      <c r="AU38" s="1637"/>
      <c r="AV38" s="1637"/>
      <c r="AW38" s="1637"/>
      <c r="AX38" s="1637"/>
      <c r="AY38" s="1632">
        <v>19</v>
      </c>
    </row>
    <row customHeight="1" ht="19.95">
      <c r="Q39" s="377"/>
      <c r="R39" s="377"/>
      <c r="S39" s="2274"/>
      <c r="T39" s="2210"/>
      <c r="U39" s="1032"/>
      <c r="V39" s="2367"/>
      <c r="W39" s="2366" t="s">
        <v>546</v>
      </c>
      <c r="X39" s="2366" t="s">
        <v>547</v>
      </c>
      <c r="Y39" s="2366"/>
      <c r="Z39" s="2366" t="s">
        <v>548</v>
      </c>
      <c r="AA39" s="2366" t="s">
        <v>547</v>
      </c>
      <c r="AB39" s="2366"/>
      <c r="AC39" s="2296"/>
      <c r="AD39" s="2316"/>
      <c r="AE39" s="2317"/>
      <c r="AF39" s="2279"/>
      <c r="AG39" s="2367"/>
      <c r="AH39" s="2366" t="s">
        <v>546</v>
      </c>
      <c r="AI39" s="2366" t="s">
        <v>547</v>
      </c>
      <c r="AJ39" s="2366"/>
      <c r="AK39" s="2366" t="s">
        <v>548</v>
      </c>
      <c r="AL39" s="2366" t="s">
        <v>547</v>
      </c>
      <c r="AM39" s="2366"/>
      <c r="AN39" s="2296"/>
      <c r="AO39" s="2316"/>
      <c r="AP39" s="2317"/>
      <c r="AQ39" s="2279"/>
      <c r="AR39" s="2282"/>
      <c r="AS39" s="2128"/>
      <c r="AY39" s="1156">
        <v>19</v>
      </c>
    </row>
    <row customHeight="1" ht="61.949999999999996">
      <c r="A40" s="1371"/>
      <c r="B40" s="1371" t="s">
        <v>138</v>
      </c>
      <c r="C40" s="1371" t="s">
        <v>139</v>
      </c>
      <c r="D40" s="1371" t="s">
        <v>140</v>
      </c>
      <c r="E40" s="1365" t="s">
        <v>447</v>
      </c>
      <c r="F40" s="1365" t="s">
        <v>448</v>
      </c>
      <c r="G40" s="1365" t="s">
        <v>449</v>
      </c>
      <c r="H40" s="1365"/>
      <c r="I40" s="1365" t="s">
        <v>499</v>
      </c>
      <c r="J40" s="1365" t="s">
        <v>452</v>
      </c>
      <c r="K40" s="1365" t="s">
        <v>500</v>
      </c>
      <c r="L40" s="1365" t="s">
        <v>428</v>
      </c>
      <c r="Q40" s="377"/>
      <c r="R40" s="377"/>
      <c r="S40" s="2274"/>
      <c r="T40" s="2210"/>
      <c r="U40" s="303"/>
      <c r="V40" s="2367"/>
      <c r="W40" s="2366"/>
      <c r="X40" s="1984" t="s">
        <v>549</v>
      </c>
      <c r="Y40" s="1984" t="s">
        <v>550</v>
      </c>
      <c r="Z40" s="2366"/>
      <c r="AA40" s="1984" t="s">
        <v>551</v>
      </c>
      <c r="AB40" s="1984" t="s">
        <v>552</v>
      </c>
      <c r="AC40" s="1490" t="s">
        <v>456</v>
      </c>
      <c r="AD40" s="2271" t="s">
        <v>457</v>
      </c>
      <c r="AE40" s="2272"/>
      <c r="AF40" s="2280"/>
      <c r="AG40" s="2367"/>
      <c r="AH40" s="2366"/>
      <c r="AI40" s="1984" t="s">
        <v>549</v>
      </c>
      <c r="AJ40" s="1984" t="s">
        <v>550</v>
      </c>
      <c r="AK40" s="2366"/>
      <c r="AL40" s="1984" t="s">
        <v>551</v>
      </c>
      <c r="AM40" s="1984" t="s">
        <v>552</v>
      </c>
      <c r="AN40" s="1490" t="s">
        <v>456</v>
      </c>
      <c r="AO40" s="2271" t="s">
        <v>457</v>
      </c>
      <c r="AP40" s="2272"/>
      <c r="AQ40" s="2280"/>
      <c r="AR40" s="2283"/>
      <c r="AS40" s="2128"/>
      <c r="AY40" s="1156">
        <v>59</v>
      </c>
    </row>
    <row s="1642" customFormat="1" customHeight="1" ht="11.25" hidden="1">
      <c r="A41" s="1371"/>
      <c r="B41" s="1371"/>
      <c r="C41" s="1371"/>
      <c r="D41" s="1371"/>
      <c r="E41" s="1371"/>
      <c r="F41" s="1371"/>
      <c r="G41" s="1371"/>
      <c r="H41" s="1371"/>
      <c r="I41" s="1371"/>
      <c r="J41" s="1371"/>
      <c r="K41" s="1371"/>
      <c r="L41" s="1365"/>
      <c r="M41" s="1363"/>
      <c r="N41" s="1363"/>
      <c r="O41" s="1363"/>
      <c r="P41" s="1247"/>
      <c r="Q41" s="1248"/>
      <c r="R41" s="1255">
        <v>1</v>
      </c>
      <c r="S41" s="1278" t="s">
        <v>112</v>
      </c>
      <c r="T41" s="1256" t="s">
        <v>113</v>
      </c>
      <c r="U41" s="1246" t="str">
        <f>OFFSET(U41,0,-1)</f>
        <v>2</v>
      </c>
      <c r="V41" s="1483">
        <f>OFFSET(V41,0,-1)+1</f>
        <v>3</v>
      </c>
      <c r="W41" s="1980"/>
      <c r="X41" s="1980"/>
      <c r="Y41" s="1980"/>
      <c r="Z41" s="1980"/>
      <c r="AA41" s="1980"/>
      <c r="AB41" s="1483">
        <f>OFFSET(AB41,0,-1)+1</f>
        <v>1</v>
      </c>
      <c r="AC41" s="1483">
        <f>OFFSET(AC41,0,-1)+1</f>
        <v>2</v>
      </c>
      <c r="AD41" s="2273">
        <f>OFFSET(AD41,0,-1)+1</f>
        <v>3</v>
      </c>
      <c r="AE41" s="2273"/>
      <c r="AF41" s="1483">
        <f>OFFSET(AF41,0,-2)+1</f>
        <v>4</v>
      </c>
      <c r="AG41" s="1483">
        <f>OFFSET(AG41,0,-1)+1</f>
        <v>5</v>
      </c>
      <c r="AH41" s="1980"/>
      <c r="AI41" s="1980"/>
      <c r="AJ41" s="1980"/>
      <c r="AK41" s="1980"/>
      <c r="AL41" s="1980"/>
      <c r="AM41" s="1483">
        <f>OFFSET(AM41,0,-1)+1</f>
        <v>1</v>
      </c>
      <c r="AN41" s="1483">
        <f>OFFSET(AN41,0,-1)+1</f>
        <v>2</v>
      </c>
      <c r="AO41" s="2273">
        <f>OFFSET(AO41,0,-1)+1</f>
        <v>3</v>
      </c>
      <c r="AP41" s="2273"/>
      <c r="AQ41" s="1483">
        <f>OFFSET(AQ41,0,-2)+1</f>
        <v>4</v>
      </c>
      <c r="AR41" s="1246">
        <f>OFFSET(AR41,0,-1)</f>
        <v>4</v>
      </c>
      <c r="AS41" s="1483">
        <f>OFFSET(AS41,0,-1)+1</f>
        <v>5</v>
      </c>
      <c r="AT41" s="512"/>
      <c r="AU41" s="512"/>
      <c r="AV41" s="512"/>
      <c r="AW41" s="512"/>
      <c r="AX41" s="512"/>
      <c r="AY41" s="497">
        <v>0</v>
      </c>
    </row>
    <row customHeight="1" ht="24">
      <c r="A42" s="1364" t="s">
        <v>268</v>
      </c>
      <c r="B42" s="1364"/>
      <c r="C42" s="1364"/>
      <c r="D42" s="1364"/>
      <c r="E42" s="2259">
        <v>1</v>
      </c>
      <c r="F42" s="1364"/>
      <c r="G42" s="1364"/>
      <c r="H42" s="1364"/>
      <c r="I42" s="1364"/>
      <c r="J42" s="1364"/>
      <c r="K42" s="1364"/>
      <c r="L42" s="1365"/>
      <c r="M42" s="1366"/>
      <c r="N42" s="1366"/>
      <c r="O42" s="1366"/>
      <c r="P42" s="362"/>
      <c r="Q42" s="361"/>
      <c r="R42" s="356"/>
      <c r="S42" s="1494">
        <f>INDEX(PT_DIFFERENTIATION_NUM_NTAR,MATCH(A42,PT_DIFFERENTIATION_NTAR_ID,0))</f>
        <v>0</v>
      </c>
      <c r="T42" s="299" t="s">
        <v>126</v>
      </c>
      <c r="U42" s="301"/>
      <c r="V42" s="2243"/>
      <c r="W42" s="2244"/>
      <c r="X42" s="2244"/>
      <c r="Y42" s="2244"/>
      <c r="Z42" s="2244"/>
      <c r="AA42" s="2244"/>
      <c r="AB42" s="2244"/>
      <c r="AC42" s="2244"/>
      <c r="AD42" s="2244"/>
      <c r="AE42" s="2244"/>
      <c r="AF42" s="2245"/>
      <c r="AG42" s="2243" t="str">
        <f>INDEX(PT_DIFFERENTIATION_NTAR,MATCH(A42,PT_DIFFERENTIATION_NTAR_ID,0))</f>
        <v/>
      </c>
      <c r="AH42" s="2244"/>
      <c r="AI42" s="2244"/>
      <c r="AJ42" s="2244"/>
      <c r="AK42" s="2244"/>
      <c r="AL42" s="2244"/>
      <c r="AM42" s="2244"/>
      <c r="AN42" s="2244"/>
      <c r="AO42" s="2244"/>
      <c r="AP42" s="2244"/>
      <c r="AQ42" s="2244"/>
      <c r="AR42" s="2245"/>
      <c r="AS4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U42" s="501"/>
      <c r="AV42" s="501" t="str">
        <f>IF(T42="","",T42)</f>
        <v>Наименование тарифа</v>
      </c>
      <c r="AW42" s="501"/>
      <c r="AX42" s="501"/>
      <c r="AY42" s="1156">
        <v>23</v>
      </c>
    </row>
    <row customHeight="1" ht="24">
      <c r="A43" s="1364" t="s">
        <v>268</v>
      </c>
      <c r="B43" s="1364" t="s">
        <v>269</v>
      </c>
      <c r="C43" s="1364"/>
      <c r="D43" s="1364"/>
      <c r="E43" s="2260"/>
      <c r="F43" s="2259">
        <v>1</v>
      </c>
      <c r="G43" s="1364"/>
      <c r="H43" s="1364"/>
      <c r="I43" s="1364"/>
      <c r="J43" s="1364"/>
      <c r="K43" s="1364"/>
      <c r="L43" s="1365"/>
      <c r="M43" s="1366"/>
      <c r="N43" s="1366"/>
      <c r="O43" s="1366"/>
      <c r="P43" s="1488"/>
      <c r="Q43" s="353"/>
      <c r="R43" s="354"/>
      <c r="S43" s="1494" t="str">
        <f>INDEX(PT_DIFFERENTIATION_NUM_TER,MATCH(B43,PT_DIFFERENTIATION_TER_ID,0))</f>
        <v>.</v>
      </c>
      <c r="T43" s="309" t="s">
        <v>409</v>
      </c>
      <c r="U43" s="301"/>
      <c r="V43" s="2243"/>
      <c r="W43" s="2244"/>
      <c r="X43" s="2244"/>
      <c r="Y43" s="2244"/>
      <c r="Z43" s="2244"/>
      <c r="AA43" s="2244"/>
      <c r="AB43" s="2244"/>
      <c r="AC43" s="2244"/>
      <c r="AD43" s="2244"/>
      <c r="AE43" s="2244"/>
      <c r="AF43" s="2245"/>
      <c r="AG43" s="2243" t="str">
        <f>INDEX(PT_DIFFERENTIATION_TER,MATCH(B43,PT_DIFFERENTIATION_TER_ID,0))</f>
        <v/>
      </c>
      <c r="AH43" s="2244"/>
      <c r="AI43" s="2244"/>
      <c r="AJ43" s="2244"/>
      <c r="AK43" s="2244"/>
      <c r="AL43" s="2244"/>
      <c r="AM43" s="2244"/>
      <c r="AN43" s="2244"/>
      <c r="AO43" s="2244"/>
      <c r="AP43" s="2244"/>
      <c r="AQ43" s="2244"/>
      <c r="AR43" s="2245"/>
      <c r="AS43" s="1259" t="s">
        <v>410</v>
      </c>
      <c r="AU43" s="501"/>
      <c r="AV43" s="501" t="str">
        <f>IF(T43="","",T43)</f>
        <v>Территория действия тарифа</v>
      </c>
      <c r="AW43" s="501"/>
      <c r="AX43" s="501"/>
      <c r="AY43" s="1156">
        <v>23</v>
      </c>
    </row>
    <row customHeight="1" ht="24">
      <c r="A44" s="1364" t="s">
        <v>268</v>
      </c>
      <c r="B44" s="1364" t="s">
        <v>269</v>
      </c>
      <c r="C44" s="1364" t="s">
        <v>270</v>
      </c>
      <c r="D44" s="1364"/>
      <c r="E44" s="2260"/>
      <c r="F44" s="2260"/>
      <c r="G44" s="2259">
        <v>1</v>
      </c>
      <c r="H44" s="1364"/>
      <c r="I44" s="1364"/>
      <c r="J44" s="1364"/>
      <c r="K44" s="1364"/>
      <c r="L44" s="1365"/>
      <c r="M44" s="1366"/>
      <c r="N44" s="1366"/>
      <c r="O44" s="1366"/>
      <c r="P44" s="355"/>
      <c r="Q44" s="353"/>
      <c r="R44" s="354"/>
      <c r="S44" s="1494" t="str">
        <f>INDEX(PT_DIFFERENTIATION_NUM_CS,MATCH(C44,PT_DIFFERENTIATION_CS_ID,0))</f>
        <v>..</v>
      </c>
      <c r="T44" s="310" t="s">
        <v>541</v>
      </c>
      <c r="U44" s="301"/>
      <c r="V44" s="2243"/>
      <c r="W44" s="2244"/>
      <c r="X44" s="2244"/>
      <c r="Y44" s="2244"/>
      <c r="Z44" s="2244"/>
      <c r="AA44" s="2244"/>
      <c r="AB44" s="2244"/>
      <c r="AC44" s="2244"/>
      <c r="AD44" s="2244"/>
      <c r="AE44" s="2244"/>
      <c r="AF44" s="2245"/>
      <c r="AG44" s="2243" t="str">
        <f>INDEX(PT_DIFFERENTIATION_CS,MATCH(C44,PT_DIFFERENTIATION_CS_ID,0))</f>
        <v/>
      </c>
      <c r="AH44" s="2244"/>
      <c r="AI44" s="2244"/>
      <c r="AJ44" s="2244"/>
      <c r="AK44" s="2244"/>
      <c r="AL44" s="2244"/>
      <c r="AM44" s="2244"/>
      <c r="AN44" s="2244"/>
      <c r="AO44" s="2244"/>
      <c r="AP44" s="2244"/>
      <c r="AQ44" s="2244"/>
      <c r="AR44" s="2245"/>
      <c r="AS44" s="1259" t="s">
        <v>542</v>
      </c>
      <c r="AU44" s="501"/>
      <c r="AV44" s="501" t="str">
        <f>IF(T44="","",T44)</f>
        <v>Наименование централизованной системы горячего водоснабжения</v>
      </c>
      <c r="AW44" s="501"/>
      <c r="AX44" s="501"/>
      <c r="AY44" s="1156">
        <v>23</v>
      </c>
    </row>
    <row customHeight="1" ht="24">
      <c r="A45" s="1364" t="s">
        <v>268</v>
      </c>
      <c r="B45" s="1364" t="s">
        <v>269</v>
      </c>
      <c r="C45" s="1364" t="s">
        <v>270</v>
      </c>
      <c r="D45" s="1364" t="s">
        <v>554</v>
      </c>
      <c r="E45" s="2260"/>
      <c r="F45" s="2260"/>
      <c r="G45" s="2260"/>
      <c r="H45" s="2260"/>
      <c r="I45" s="2257" t="str">
        <f>S44&amp;".1"</f>
        <v>...1</v>
      </c>
      <c r="J45" s="1364"/>
      <c r="K45" s="1364"/>
      <c r="L45" s="1365"/>
      <c r="P45" s="2258">
        <v>1</v>
      </c>
      <c r="Q45" s="1482"/>
      <c r="R45" s="357"/>
      <c r="S45" s="1494" t="str">
        <f>$I45</f>
        <v>...1</v>
      </c>
      <c r="T45" s="286" t="s">
        <v>492</v>
      </c>
      <c r="U45" s="301"/>
      <c r="V45" s="2351"/>
      <c r="W45" s="2352"/>
      <c r="X45" s="2352"/>
      <c r="Y45" s="2352"/>
      <c r="Z45" s="2352"/>
      <c r="AA45" s="2352"/>
      <c r="AB45" s="2352"/>
      <c r="AC45" s="2352"/>
      <c r="AD45" s="2352"/>
      <c r="AE45" s="2352"/>
      <c r="AF45" s="2353"/>
      <c r="AG45" s="2354"/>
      <c r="AH45" s="2355"/>
      <c r="AI45" s="2355"/>
      <c r="AJ45" s="2355"/>
      <c r="AK45" s="2355"/>
      <c r="AL45" s="2355"/>
      <c r="AM45" s="2355"/>
      <c r="AN45" s="2355"/>
      <c r="AO45" s="2355"/>
      <c r="AP45" s="2355"/>
      <c r="AQ45" s="2355"/>
      <c r="AR45" s="2356"/>
      <c r="AS45" s="1259" t="s">
        <v>493</v>
      </c>
      <c r="AU45" s="501"/>
      <c r="AV45" s="501" t="str">
        <f>IF(T45="","",T45)</f>
        <v>Наименование признака дифференциации</v>
      </c>
      <c r="AW45" s="501"/>
      <c r="AX45" s="501"/>
      <c r="AY45" s="1156">
        <v>23</v>
      </c>
    </row>
    <row customHeight="1" ht="24">
      <c r="A46" s="1364" t="s">
        <v>268</v>
      </c>
      <c r="B46" s="1364" t="s">
        <v>269</v>
      </c>
      <c r="C46" s="1364" t="s">
        <v>270</v>
      </c>
      <c r="D46" s="1364" t="s">
        <v>554</v>
      </c>
      <c r="E46" s="2260"/>
      <c r="F46" s="2260"/>
      <c r="G46" s="2260"/>
      <c r="H46" s="2260"/>
      <c r="I46" s="2287"/>
      <c r="J46" s="2257" t="str">
        <f>I45&amp;".1"</f>
        <v>...1.1</v>
      </c>
      <c r="K46" s="1364"/>
      <c r="L46" s="1365" t="s">
        <v>418</v>
      </c>
      <c r="P46" s="2258"/>
      <c r="Q46" s="2258">
        <v>1</v>
      </c>
      <c r="R46" s="358"/>
      <c r="S46" s="1494" t="str">
        <f>$J46</f>
        <v>...1.1</v>
      </c>
      <c r="T46" s="287" t="s">
        <v>419</v>
      </c>
      <c r="U46" s="301"/>
      <c r="V46" s="2246"/>
      <c r="W46" s="2247"/>
      <c r="X46" s="2247"/>
      <c r="Y46" s="2247"/>
      <c r="Z46" s="2247"/>
      <c r="AA46" s="2247"/>
      <c r="AB46" s="2247"/>
      <c r="AC46" s="2247"/>
      <c r="AD46" s="2247"/>
      <c r="AE46" s="2247"/>
      <c r="AF46" s="2248"/>
      <c r="AG46" s="2246"/>
      <c r="AH46" s="2247"/>
      <c r="AI46" s="2247"/>
      <c r="AJ46" s="2247"/>
      <c r="AK46" s="2247"/>
      <c r="AL46" s="2247"/>
      <c r="AM46" s="2247"/>
      <c r="AN46" s="2247"/>
      <c r="AO46" s="2247"/>
      <c r="AP46" s="2247"/>
      <c r="AQ46" s="2247"/>
      <c r="AR46" s="2248"/>
      <c r="AS46" s="1308" t="s">
        <v>494</v>
      </c>
      <c r="AU46" s="501"/>
      <c r="AV46" s="501" t="str">
        <f>IF(T46="","",T46)</f>
        <v>Группа потребителей</v>
      </c>
      <c r="AW46" s="501"/>
      <c r="AX46" s="501"/>
      <c r="AY46" s="1156">
        <v>23</v>
      </c>
    </row>
    <row customHeight="1" ht="24">
      <c r="A47" s="1364" t="s">
        <v>268</v>
      </c>
      <c r="B47" s="1364" t="s">
        <v>269</v>
      </c>
      <c r="C47" s="1364" t="s">
        <v>270</v>
      </c>
      <c r="D47" s="1364" t="s">
        <v>554</v>
      </c>
      <c r="E47" s="2260"/>
      <c r="F47" s="2260"/>
      <c r="G47" s="2260"/>
      <c r="H47" s="2260"/>
      <c r="I47" s="2287"/>
      <c r="J47" s="2287"/>
      <c r="K47" s="2257" t="str">
        <f>J46&amp;".1"</f>
        <v>...1.1.1</v>
      </c>
      <c r="L47" s="1365"/>
      <c r="P47" s="2258"/>
      <c r="Q47" s="2258"/>
      <c r="R47" s="358">
        <v>1</v>
      </c>
      <c r="S47" s="1494" t="str">
        <f>$K47</f>
        <v>...1.1.1</v>
      </c>
      <c r="T47" s="1438"/>
      <c r="U47" s="301"/>
      <c r="V47" s="1361"/>
      <c r="W47" s="1361"/>
      <c r="X47" s="1361"/>
      <c r="Y47" s="1361"/>
      <c r="Z47" s="1361"/>
      <c r="AA47" s="1361"/>
      <c r="AB47" s="1362"/>
      <c r="AC47" s="2268"/>
      <c r="AD47" s="2269" t="s">
        <v>63</v>
      </c>
      <c r="AE47" s="2268"/>
      <c r="AF47" s="2269" t="s">
        <v>63</v>
      </c>
      <c r="AG47" s="752"/>
      <c r="AH47" s="752"/>
      <c r="AI47" s="752"/>
      <c r="AJ47" s="752"/>
      <c r="AK47" s="752"/>
      <c r="AL47" s="752"/>
      <c r="AM47" s="1258"/>
      <c r="AN47" s="2266"/>
      <c r="AO47" s="2108" t="s">
        <v>63</v>
      </c>
      <c r="AP47" s="2288"/>
      <c r="AQ47" s="2108" t="s">
        <v>19</v>
      </c>
      <c r="AR47" s="1439"/>
      <c r="AS4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2">
        <f>STRCHECKDATE(V48:AR48)</f>
      </c>
      <c r="AU47" s="501"/>
      <c r="AV47" s="501" t="str">
        <f>IF(T47="","",T47)</f>
        <v/>
      </c>
      <c r="AW47" s="501"/>
      <c r="AX47" s="501"/>
      <c r="AY47" s="1156">
        <v>23</v>
      </c>
    </row>
    <row customHeight="1" ht="0">
      <c r="A48" s="1364" t="s">
        <v>268</v>
      </c>
      <c r="B48" s="1364" t="s">
        <v>269</v>
      </c>
      <c r="C48" s="1364" t="s">
        <v>270</v>
      </c>
      <c r="D48" s="1364" t="s">
        <v>554</v>
      </c>
      <c r="E48" s="2260"/>
      <c r="F48" s="2260"/>
      <c r="G48" s="2260"/>
      <c r="H48" s="2260"/>
      <c r="I48" s="2287"/>
      <c r="J48" s="2287"/>
      <c r="K48" s="2257"/>
      <c r="L48" s="1365"/>
      <c r="P48" s="2258"/>
      <c r="Q48" s="2258"/>
      <c r="R48" s="358"/>
      <c r="S48" s="1491"/>
      <c r="T48" s="301"/>
      <c r="U48" s="301"/>
      <c r="V48" s="1361"/>
      <c r="W48" s="1361"/>
      <c r="X48" s="1361"/>
      <c r="Y48" s="1361"/>
      <c r="Z48" s="1361"/>
      <c r="AA48" s="1361"/>
      <c r="AB48" s="329" t="str">
        <f>AC47&amp;"-"&amp;AE47</f>
        <v>-</v>
      </c>
      <c r="AC48" s="2269"/>
      <c r="AD48" s="2269"/>
      <c r="AE48" s="2269"/>
      <c r="AF48" s="2269"/>
      <c r="AG48" s="326"/>
      <c r="AH48" s="326"/>
      <c r="AI48" s="326"/>
      <c r="AJ48" s="326"/>
      <c r="AK48" s="326"/>
      <c r="AL48" s="326"/>
      <c r="AM48" s="329" t="str">
        <f>AN47&amp;"-"&amp;AP47</f>
        <v>-</v>
      </c>
      <c r="AN48" s="2267"/>
      <c r="AO48" s="2108"/>
      <c r="AP48" s="2289"/>
      <c r="AQ48" s="2108"/>
      <c r="AR48" s="1440"/>
      <c r="AS48" s="2350"/>
      <c r="AU48" s="501"/>
      <c r="AV48" s="501" t="str">
        <f>IF(T48="","",T48)</f>
        <v/>
      </c>
      <c r="AW48" s="501"/>
      <c r="AX48" s="501"/>
      <c r="AY48" s="1156">
        <v>0</v>
      </c>
    </row>
    <row customHeight="1" ht="21">
      <c r="A49" s="1364" t="s">
        <v>268</v>
      </c>
      <c r="B49" s="1364" t="s">
        <v>269</v>
      </c>
      <c r="C49" s="1364" t="s">
        <v>270</v>
      </c>
      <c r="D49" s="1364" t="s">
        <v>554</v>
      </c>
      <c r="E49" s="2260"/>
      <c r="F49" s="2260"/>
      <c r="G49" s="2260"/>
      <c r="H49" s="2260"/>
      <c r="I49" s="2287"/>
      <c r="J49" s="2257"/>
      <c r="K49" s="1364"/>
      <c r="L49" s="1365"/>
      <c r="P49" s="2258"/>
      <c r="Q49" s="2258"/>
      <c r="R49" s="357"/>
      <c r="S49" s="1279"/>
      <c r="T49" s="288" t="s">
        <v>495</v>
      </c>
      <c r="U49" s="368"/>
      <c r="V49" s="368"/>
      <c r="W49" s="601"/>
      <c r="X49" s="601"/>
      <c r="Y49" s="601"/>
      <c r="Z49" s="601"/>
      <c r="AA49" s="601"/>
      <c r="AB49" s="368"/>
      <c r="AC49" s="368"/>
      <c r="AD49" s="368"/>
      <c r="AE49" s="368"/>
      <c r="AF49" s="368"/>
      <c r="AG49" s="368"/>
      <c r="AH49" s="601"/>
      <c r="AI49" s="601"/>
      <c r="AJ49" s="601"/>
      <c r="AK49" s="601"/>
      <c r="AL49" s="601"/>
      <c r="AM49" s="368"/>
      <c r="AN49" s="368"/>
      <c r="AO49" s="368"/>
      <c r="AP49" s="368"/>
      <c r="AQ49" s="368"/>
      <c r="AR49" s="368"/>
      <c r="AS49" s="1259" t="s">
        <v>496</v>
      </c>
      <c r="AU49" s="501"/>
      <c r="AV49" s="501" t="str">
        <f>IF(T49="","",T49)</f>
        <v>Добавить значение признака дифференциации</v>
      </c>
      <c r="AW49" s="501"/>
      <c r="AX49" s="501"/>
      <c r="AY49" s="1156">
        <v>20</v>
      </c>
    </row>
    <row customHeight="1" ht="22.049999999999997">
      <c r="A50" s="1364" t="s">
        <v>268</v>
      </c>
      <c r="B50" s="1364" t="s">
        <v>269</v>
      </c>
      <c r="C50" s="1364" t="s">
        <v>270</v>
      </c>
      <c r="D50" s="1364" t="s">
        <v>554</v>
      </c>
      <c r="E50" s="2260"/>
      <c r="F50" s="2260"/>
      <c r="G50" s="2260"/>
      <c r="H50" s="2260"/>
      <c r="I50" s="2257"/>
      <c r="J50" s="1364"/>
      <c r="K50" s="1364"/>
      <c r="L50" s="1365"/>
      <c r="P50" s="2258"/>
      <c r="Q50" s="1482"/>
      <c r="R50" s="357"/>
      <c r="S50" s="1279"/>
      <c r="T50" s="366" t="s">
        <v>424</v>
      </c>
      <c r="U50" s="368"/>
      <c r="V50" s="368"/>
      <c r="W50" s="601"/>
      <c r="X50" s="601"/>
      <c r="Y50" s="601"/>
      <c r="Z50" s="601"/>
      <c r="AA50" s="601"/>
      <c r="AB50" s="368"/>
      <c r="AC50" s="368"/>
      <c r="AD50" s="368"/>
      <c r="AE50" s="368"/>
      <c r="AF50" s="367"/>
      <c r="AG50" s="368"/>
      <c r="AH50" s="601"/>
      <c r="AI50" s="601"/>
      <c r="AJ50" s="601"/>
      <c r="AK50" s="601"/>
      <c r="AL50" s="601"/>
      <c r="AM50" s="368"/>
      <c r="AN50" s="368"/>
      <c r="AO50" s="368"/>
      <c r="AP50" s="368"/>
      <c r="AQ50" s="367"/>
      <c r="AR50" s="368"/>
      <c r="AS50" s="1441"/>
      <c r="AU50" s="501"/>
      <c r="AV50" s="501" t="str">
        <f>IF(T50="","",T50)</f>
        <v>Добавить группу потребителей</v>
      </c>
      <c r="AW50" s="501"/>
      <c r="AX50" s="501"/>
      <c r="AY50" s="1156">
        <v>21</v>
      </c>
    </row>
    <row customHeight="1" ht="22.049999999999997">
      <c r="A51" s="1364" t="s">
        <v>268</v>
      </c>
      <c r="B51" s="1364" t="s">
        <v>269</v>
      </c>
      <c r="C51" s="1364" t="s">
        <v>270</v>
      </c>
      <c r="D51" s="1364" t="s">
        <v>554</v>
      </c>
      <c r="E51" s="2260"/>
      <c r="F51" s="2260"/>
      <c r="G51" s="2260"/>
      <c r="H51" s="2259"/>
      <c r="I51" s="1364"/>
      <c r="J51" s="1364"/>
      <c r="K51" s="1364"/>
      <c r="L51" s="1365"/>
      <c r="M51" s="1366"/>
      <c r="N51" s="1366"/>
      <c r="O51" s="538"/>
      <c r="P51" s="361"/>
      <c r="Q51" s="376"/>
      <c r="R51" s="356"/>
      <c r="S51" s="1279"/>
      <c r="T51" s="373" t="s">
        <v>497</v>
      </c>
      <c r="U51" s="368"/>
      <c r="V51" s="368"/>
      <c r="W51" s="601"/>
      <c r="X51" s="601"/>
      <c r="Y51" s="601"/>
      <c r="Z51" s="601"/>
      <c r="AA51" s="601"/>
      <c r="AB51" s="368"/>
      <c r="AC51" s="368"/>
      <c r="AD51" s="368"/>
      <c r="AE51" s="368"/>
      <c r="AF51" s="367"/>
      <c r="AG51" s="368"/>
      <c r="AH51" s="601"/>
      <c r="AI51" s="601"/>
      <c r="AJ51" s="601"/>
      <c r="AK51" s="601"/>
      <c r="AL51" s="601"/>
      <c r="AM51" s="368"/>
      <c r="AN51" s="368"/>
      <c r="AO51" s="368"/>
      <c r="AP51" s="368"/>
      <c r="AQ51" s="367"/>
      <c r="AR51" s="368"/>
      <c r="AS51" s="304"/>
      <c r="AU51" s="501"/>
      <c r="AV51" s="501" t="str">
        <f>IF(T51="","",T51)</f>
        <v>Добавить наименование признака дифференциации</v>
      </c>
      <c r="AW51" s="501"/>
      <c r="AX51" s="501"/>
      <c r="AY51" s="1156">
        <v>21</v>
      </c>
    </row>
    <row s="1643" customFormat="1" customHeight="1" ht="0">
      <c r="A52" s="1344" t="s">
        <v>268</v>
      </c>
      <c r="B52" s="1344" t="s">
        <v>269</v>
      </c>
      <c r="C52" s="1315"/>
      <c r="D52" s="1315"/>
      <c r="E52" s="2260"/>
      <c r="F52" s="2259"/>
      <c r="G52" s="1315"/>
      <c r="H52" s="1315"/>
      <c r="I52" s="1315"/>
      <c r="J52" s="1315"/>
      <c r="K52" s="1315"/>
      <c r="L52" s="1495"/>
      <c r="M52" s="1322"/>
      <c r="N52" s="1322"/>
      <c r="P52" s="1317"/>
      <c r="Q52" s="1318"/>
      <c r="R52" s="1317"/>
      <c r="S52" s="1323"/>
      <c r="T52" s="1326" t="s">
        <v>232</v>
      </c>
      <c r="U52" s="1325"/>
      <c r="V52" s="1325"/>
      <c r="W52" s="1325"/>
      <c r="X52" s="1325"/>
      <c r="Y52" s="1325"/>
      <c r="Z52" s="1325"/>
      <c r="AA52" s="1325"/>
      <c r="AB52" s="1325"/>
      <c r="AC52" s="1325"/>
      <c r="AD52" s="1325"/>
      <c r="AE52" s="1325"/>
      <c r="AF52" s="1325"/>
      <c r="AG52" s="1325"/>
      <c r="AH52" s="1325"/>
      <c r="AI52" s="1325"/>
      <c r="AJ52" s="1325"/>
      <c r="AK52" s="1325"/>
      <c r="AL52" s="1325"/>
      <c r="AM52" s="1325"/>
      <c r="AN52" s="1325"/>
      <c r="AO52" s="1325"/>
      <c r="AP52" s="1325"/>
      <c r="AQ52" s="1325"/>
      <c r="AR52" s="1325"/>
      <c r="AS52" s="1325"/>
      <c r="AU52" s="790"/>
      <c r="AV52" s="790" t="str">
        <f>IF(T52="","",T52)</f>
        <v>Добавить централизованную систему для дифференциации</v>
      </c>
      <c r="AW52" s="790"/>
      <c r="AX52" s="790"/>
      <c r="AY52" s="519">
        <v>0</v>
      </c>
    </row>
    <row s="1643" customFormat="1" customHeight="1" ht="0">
      <c r="A53" s="1344" t="s">
        <v>268</v>
      </c>
      <c r="B53" s="1344"/>
      <c r="C53" s="1344"/>
      <c r="D53" s="1344"/>
      <c r="E53" s="2259"/>
      <c r="F53" s="1344"/>
      <c r="G53" s="1344"/>
      <c r="H53" s="1344"/>
      <c r="I53" s="1344"/>
      <c r="J53" s="1344"/>
      <c r="K53" s="1344"/>
      <c r="L53" s="1347"/>
      <c r="M53" s="1322"/>
      <c r="N53" s="1322"/>
      <c r="O53" s="519"/>
      <c r="P53" s="381"/>
      <c r="Q53" s="1345"/>
      <c r="R53" s="381"/>
      <c r="S53" s="1323"/>
      <c r="T53" s="1326" t="s">
        <v>233</v>
      </c>
      <c r="U53" s="1325"/>
      <c r="V53" s="1325"/>
      <c r="W53" s="1325"/>
      <c r="X53" s="1325"/>
      <c r="Y53" s="1325"/>
      <c r="Z53" s="1325"/>
      <c r="AA53" s="1325"/>
      <c r="AB53" s="1325"/>
      <c r="AC53" s="1325"/>
      <c r="AD53" s="1325"/>
      <c r="AE53" s="1325"/>
      <c r="AF53" s="1325"/>
      <c r="AG53" s="1325"/>
      <c r="AH53" s="1325"/>
      <c r="AI53" s="1325"/>
      <c r="AJ53" s="1325"/>
      <c r="AK53" s="1325"/>
      <c r="AL53" s="1325"/>
      <c r="AM53" s="1325"/>
      <c r="AN53" s="1325"/>
      <c r="AO53" s="1325"/>
      <c r="AP53" s="1325"/>
      <c r="AQ53" s="1325"/>
      <c r="AR53" s="1325"/>
      <c r="AS53" s="1325"/>
      <c r="AU53" s="501"/>
      <c r="AV53" s="501" t="str">
        <f>IF(T53="","",T53)</f>
        <v>Добавить территорию для дифференциации</v>
      </c>
      <c r="AW53" s="501"/>
      <c r="AX53" s="501"/>
      <c r="AY53" s="512">
        <v>0</v>
      </c>
    </row>
    <row s="1643" customFormat="1" customHeight="1" ht="0">
      <c r="A54" s="1315"/>
      <c r="B54" s="1315"/>
      <c r="C54" s="1315"/>
      <c r="D54" s="1315"/>
      <c r="E54" s="1344"/>
      <c r="F54" s="1315"/>
      <c r="G54" s="1315"/>
      <c r="H54" s="1315"/>
      <c r="I54" s="1315"/>
      <c r="J54" s="1315"/>
      <c r="K54" s="1315"/>
      <c r="L54" s="1495"/>
      <c r="M54" s="1322"/>
      <c r="N54" s="1322"/>
      <c r="P54" s="1317"/>
      <c r="Q54" s="1318"/>
      <c r="R54" s="1317"/>
      <c r="S54" s="1323"/>
      <c r="T54" s="1326" t="s">
        <v>240</v>
      </c>
      <c r="U54" s="1325"/>
      <c r="V54" s="1325"/>
      <c r="W54" s="1325"/>
      <c r="X54" s="1325"/>
      <c r="Y54" s="1325"/>
      <c r="Z54" s="1325"/>
      <c r="AA54" s="1325"/>
      <c r="AB54" s="1325"/>
      <c r="AC54" s="1325"/>
      <c r="AD54" s="1325"/>
      <c r="AE54" s="1325"/>
      <c r="AF54" s="1325"/>
      <c r="AG54" s="1325"/>
      <c r="AH54" s="1325"/>
      <c r="AI54" s="1325"/>
      <c r="AJ54" s="1325"/>
      <c r="AK54" s="1325"/>
      <c r="AL54" s="1325"/>
      <c r="AM54" s="1325"/>
      <c r="AN54" s="1325"/>
      <c r="AO54" s="1325"/>
      <c r="AP54" s="1325"/>
      <c r="AQ54" s="1325"/>
      <c r="AR54" s="1325"/>
      <c r="AS54" s="1325"/>
      <c r="AU54" s="790"/>
      <c r="AV54" s="790" t="str">
        <f>IF(T54="","",T54)</f>
        <v>Добавить наименование тарифа</v>
      </c>
      <c r="AW54" s="790"/>
      <c r="AX54" s="790"/>
      <c r="AY54" s="519">
        <v>0</v>
      </c>
    </row>
    <row customHeight="1" ht="11.549999999999999">
      <c r="M55" s="1161"/>
      <c r="N55" s="1161"/>
      <c r="O55" s="538"/>
      <c r="P55" s="1156"/>
      <c r="Q55" s="1156"/>
      <c r="R55" s="1156"/>
      <c r="S55" s="1156"/>
      <c r="AT55" s="1156"/>
      <c r="AU55" s="1156"/>
      <c r="AV55" s="1156"/>
      <c r="AW55" s="1156"/>
      <c r="AX55" s="1156"/>
      <c r="AY55" s="1156">
        <v>11</v>
      </c>
    </row>
    <row customHeight="1" ht="14.699999999999998">
      <c r="O56" s="538"/>
      <c r="S56" s="1254"/>
      <c r="T56" s="2286"/>
      <c r="U56" s="2286"/>
      <c r="V56" s="2286"/>
      <c r="W56" s="2286"/>
      <c r="X56" s="2286"/>
      <c r="Y56" s="2286"/>
      <c r="Z56" s="2286"/>
      <c r="AA56" s="2286"/>
      <c r="AB56" s="2286"/>
      <c r="AC56" s="2286"/>
      <c r="AD56" s="2286"/>
      <c r="AE56" s="2286"/>
      <c r="AF56" s="2286"/>
      <c r="AG56" s="2286"/>
      <c r="AH56" s="2286"/>
      <c r="AI56" s="2286"/>
      <c r="AJ56" s="2286"/>
      <c r="AK56" s="2286"/>
      <c r="AL56" s="2286"/>
      <c r="AM56" s="2286"/>
      <c r="AN56" s="2286"/>
      <c r="AO56" s="2286"/>
      <c r="AP56" s="2286"/>
      <c r="AQ56" s="2286"/>
      <c r="AR56" s="2286"/>
      <c r="AS56" s="2286"/>
      <c r="AY56" s="1156">
        <v>14</v>
      </c>
    </row>
    <row customHeight="1" ht="14.699999999999998">
      <c r="O57" s="538"/>
      <c r="AY57" s="1156">
        <v>14</v>
      </c>
    </row>
    <row customHeight="1" ht="14.699999999999998">
      <c r="O58" s="538"/>
      <c r="S58" s="1254"/>
      <c r="T58" s="2286"/>
      <c r="U58" s="2286"/>
      <c r="V58" s="2286"/>
      <c r="W58" s="2286"/>
      <c r="X58" s="2286"/>
      <c r="Y58" s="2286"/>
      <c r="Z58" s="2286"/>
      <c r="AA58" s="2286"/>
      <c r="AB58" s="2286"/>
      <c r="AC58" s="2286"/>
      <c r="AD58" s="2286"/>
      <c r="AE58" s="2286"/>
      <c r="AF58" s="2286"/>
      <c r="AG58" s="2286"/>
      <c r="AH58" s="2286"/>
      <c r="AI58" s="2286"/>
      <c r="AJ58" s="2286"/>
      <c r="AK58" s="2286"/>
      <c r="AL58" s="2286"/>
      <c r="AM58" s="2286"/>
      <c r="AN58" s="2286"/>
      <c r="AO58" s="2286"/>
      <c r="AP58" s="2286"/>
      <c r="AQ58" s="2286"/>
      <c r="AR58" s="2286"/>
      <c r="AS58" s="2286"/>
      <c r="AY58" s="1156">
        <v>14</v>
      </c>
    </row>
    <row customHeight="1" ht="22.5" hidden="1">
      <c r="A59" s="1161" t="s">
        <v>84</v>
      </c>
      <c r="B59" s="1161">
        <v>0</v>
      </c>
      <c r="C59" s="1161">
        <v>0</v>
      </c>
      <c r="D59" s="1161">
        <v>0</v>
      </c>
      <c r="E59" s="1161">
        <v>0</v>
      </c>
      <c r="F59" s="1161">
        <v>0</v>
      </c>
      <c r="G59" s="1161">
        <v>0</v>
      </c>
      <c r="H59" s="1161">
        <v>0</v>
      </c>
      <c r="I59" s="1161">
        <v>0</v>
      </c>
      <c r="J59" s="1161">
        <v>0</v>
      </c>
      <c r="K59" s="1161">
        <v>0</v>
      </c>
      <c r="L59" s="1479">
        <v>0</v>
      </c>
      <c r="M59" s="1363">
        <v>0</v>
      </c>
      <c r="N59" s="1363">
        <v>0</v>
      </c>
      <c r="O59" s="1363">
        <v>0</v>
      </c>
      <c r="P59" s="1474">
        <v>3</v>
      </c>
      <c r="Q59" s="345">
        <v>3</v>
      </c>
      <c r="R59" s="345">
        <v>3</v>
      </c>
      <c r="S59" s="582">
        <v>12</v>
      </c>
      <c r="T59" s="1156">
        <v>35</v>
      </c>
      <c r="U59" s="1156">
        <v>0</v>
      </c>
      <c r="V59" s="1156">
        <v>0</v>
      </c>
      <c r="W59" s="1632">
        <v>0</v>
      </c>
      <c r="X59" s="1632">
        <v>0</v>
      </c>
      <c r="Y59" s="1632">
        <v>0</v>
      </c>
      <c r="Z59" s="1632">
        <v>0</v>
      </c>
      <c r="AA59" s="1632">
        <v>0</v>
      </c>
      <c r="AB59" s="1156">
        <v>0</v>
      </c>
      <c r="AC59" s="1156">
        <v>0</v>
      </c>
      <c r="AD59" s="1156">
        <v>0</v>
      </c>
      <c r="AE59" s="1156">
        <v>0</v>
      </c>
      <c r="AF59" s="1156">
        <v>0</v>
      </c>
      <c r="AG59" s="1156">
        <v>19</v>
      </c>
      <c r="AH59" s="1632">
        <v>19</v>
      </c>
      <c r="AI59" s="1632">
        <v>19</v>
      </c>
      <c r="AJ59" s="1632">
        <v>19</v>
      </c>
      <c r="AK59" s="1632">
        <v>19</v>
      </c>
      <c r="AL59" s="1632">
        <v>19</v>
      </c>
      <c r="AM59" s="1156">
        <v>19</v>
      </c>
      <c r="AN59" s="1156">
        <v>11</v>
      </c>
      <c r="AO59" s="1156">
        <v>3</v>
      </c>
      <c r="AP59" s="1156">
        <v>11</v>
      </c>
      <c r="AQ59" s="1156">
        <v>0</v>
      </c>
      <c r="AR59" s="1156">
        <v>4</v>
      </c>
      <c r="AS59" s="1156">
        <v>115</v>
      </c>
      <c r="AT59" s="512">
        <v>10</v>
      </c>
      <c r="AU59" s="512">
        <v>10</v>
      </c>
      <c r="AV59" s="512">
        <v>10</v>
      </c>
      <c r="AW59" s="512">
        <v>10</v>
      </c>
      <c r="AX59" s="512">
        <v>10</v>
      </c>
      <c r="AY59" s="1156">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F7B7A1D-29E9-D8CB-9DF4-0.A87629D6}"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94">
        <f>INDEX(PT_DIFFERENTIATION_NUM_NTAR,MATCH(A2,PT_DIFFERENTIATION_NTAR_ID,0))</f>
      </c>
      <c r="T2" s="299" t="s">
        <v>126</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94">
        <f>INDEX(PT_DIFFERENTIATION_NUM_TER,MATCH(B3,PT_DIFFERENTIATION_TER_ID,0))</f>
      </c>
      <c r="T3" s="309" t="s">
        <v>409</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410</v>
      </c>
      <c r="BE3" s="501"/>
      <c r="BF3" s="501" t="str">
        <f>IF(T3="","",T3)</f>
        <v>Территория действия тарифа</v>
      </c>
      <c r="BG3" s="501"/>
      <c r="BH3" s="501"/>
      <c r="BI3" s="1156">
        <v>0</v>
      </c>
    </row>
    <row customHeight="1" ht="33.75" hidden="1">
      <c r="A4" s="1364"/>
      <c r="B4" s="1364"/>
      <c r="C4" s="1364"/>
      <c r="D4" s="1364"/>
      <c r="E4" s="2260"/>
      <c r="F4" s="2260"/>
      <c r="G4" s="2259">
        <v>1</v>
      </c>
      <c r="H4" s="1364"/>
      <c r="I4" s="1364"/>
      <c r="J4" s="1364"/>
      <c r="K4" s="1364"/>
      <c r="L4" s="1365"/>
      <c r="M4" s="1366"/>
      <c r="N4" s="1366"/>
      <c r="O4" s="1366"/>
      <c r="P4" s="1413"/>
      <c r="Q4" s="1412"/>
      <c r="R4" s="354"/>
      <c r="S4" s="1494">
        <f>INDEX(PT_DIFFERENTIATION_NUM_CS,MATCH(C4,PT_DIFFERENTIATION_CS_ID,0))</f>
      </c>
      <c r="T4" s="310" t="s">
        <v>541</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542</v>
      </c>
      <c r="BE4" s="501"/>
      <c r="BF4" s="501" t="str">
        <f>IF(T4="","",T4)</f>
        <v>Наименование централизованной системы горячего водоснабжения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414</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415</v>
      </c>
      <c r="M6" s="511"/>
      <c r="N6" s="511"/>
      <c r="O6" s="511"/>
      <c r="P6" s="2258">
        <v>1</v>
      </c>
      <c r="Q6" s="1482"/>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70" t="s">
        <v>63</v>
      </c>
      <c r="AB8" s="1735"/>
      <c r="AC8" s="1470" t="s">
        <v>63</v>
      </c>
      <c r="AD8" s="2186" t="s">
        <v>63</v>
      </c>
      <c r="AE8" s="2327"/>
      <c r="AF8" s="2206">
        <v>1</v>
      </c>
      <c r="AG8" s="2364"/>
      <c r="AH8" s="2108" t="s">
        <v>63</v>
      </c>
      <c r="AI8" s="2327"/>
      <c r="AJ8" s="2206">
        <v>1</v>
      </c>
      <c r="AK8" s="2328" t="s">
        <v>28</v>
      </c>
      <c r="AL8" s="2108" t="s">
        <v>63</v>
      </c>
      <c r="AM8" s="2193"/>
      <c r="AN8" s="2206">
        <v>1</v>
      </c>
      <c r="AO8" s="2358"/>
      <c r="AP8" s="2359" t="s">
        <v>63</v>
      </c>
      <c r="AQ8" s="312"/>
      <c r="AR8" s="1487">
        <v>1</v>
      </c>
      <c r="AS8" s="1493" t="s">
        <v>28</v>
      </c>
      <c r="AT8" s="752"/>
      <c r="AU8" s="1258"/>
      <c r="AV8" s="752"/>
      <c r="AW8" s="1258"/>
      <c r="AX8" s="1735"/>
      <c r="AY8" s="1470" t="s">
        <v>63</v>
      </c>
      <c r="AZ8" s="1735"/>
      <c r="BA8" s="1470" t="s">
        <v>63</v>
      </c>
      <c r="BB8" s="1349"/>
      <c r="BC8" s="2254" t="s">
        <v>512</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513</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514</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515</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516</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477</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82"/>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9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95"/>
      <c r="M17" s="1322"/>
      <c r="N17" s="1322"/>
      <c r="P17" s="1317"/>
      <c r="Q17" s="1318"/>
      <c r="R17" s="1317"/>
      <c r="S17" s="1323"/>
      <c r="T17" s="1326" t="s">
        <v>232</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233</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86" t="s">
        <v>63</v>
      </c>
      <c r="AZ20" s="1737"/>
      <c r="BA20" s="1486" t="s">
        <v>63</v>
      </c>
      <c r="BI20" s="1156">
        <v>0</v>
      </c>
    </row>
    <row customHeight="1" ht="14.25" hidden="1">
      <c r="BD21" s="497"/>
      <c r="BE21" s="497"/>
      <c r="BF21" s="497"/>
      <c r="BG21" s="497"/>
      <c r="BH21" s="497"/>
      <c r="BI21" s="1156">
        <v>0</v>
      </c>
    </row>
    <row customHeight="1" ht="14.25" hidden="1">
      <c r="O22" s="1368" t="s">
        <v>427</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428</v>
      </c>
      <c r="P24" s="1509"/>
      <c r="Q24" s="1511"/>
      <c r="R24" s="1511"/>
      <c r="AA24" s="1508" t="s">
        <v>430</v>
      </c>
      <c r="AC24" s="1508" t="s">
        <v>431</v>
      </c>
      <c r="AD24" s="1508" t="s">
        <v>478</v>
      </c>
      <c r="AH24" s="1508" t="s">
        <v>478</v>
      </c>
      <c r="AK24" s="1508" t="s">
        <v>517</v>
      </c>
      <c r="AL24" s="1508" t="s">
        <v>478</v>
      </c>
      <c r="AP24" s="1508" t="s">
        <v>478</v>
      </c>
      <c r="AY24" s="1508" t="s">
        <v>430</v>
      </c>
      <c r="BA24" s="1508" t="s">
        <v>431</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IF(TEMPLATE_GROUP="P",PT_P_FORM_HOTVSNA_5_NAME_FORM,PT_R_FORM_HOTVSNA_17_NAME_FORM)</f>
        <v>Форма 3. Информация об установленных тарифах на подключение (технологическое присоединение) к централизованной системе горячего водоснабжения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ИМУП «ПОСЖИЛКОМСЕРВИС»</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c r="A31" s="1369"/>
      <c r="B31" s="1369"/>
      <c r="C31" s="1369"/>
      <c r="D31" s="1369"/>
      <c r="E31" s="1369"/>
      <c r="F31" s="1369"/>
      <c r="G31" s="1369"/>
      <c r="H31" s="1369"/>
      <c r="I31" s="1369"/>
      <c r="J31" s="1369"/>
      <c r="K31" s="1369"/>
      <c r="L31" s="1370"/>
      <c r="M31" s="1369"/>
      <c r="N31" s="1369"/>
      <c r="O31" s="1369"/>
      <c r="P31" s="1369"/>
      <c r="Q31" s="1369"/>
      <c r="S31" s="2251" t="s">
        <v>42</v>
      </c>
      <c r="T31" s="2251"/>
      <c r="U31" s="1373"/>
      <c r="V31" s="2252" t="str">
        <f>IF(TITLE_NAME_OR_PR_CHANGE="",IF(TITLE_NAME_OR_PR="","",TITLE_NAME_OR_PR),TITLE_NAME_OR_PR_CHANGE)</f>
        <v>Управление по государственному регулированию цен (тарифов) Ненецкого автономного округа</v>
      </c>
      <c r="W31" s="2252"/>
      <c r="X31" s="2252"/>
      <c r="Y31" s="2252"/>
      <c r="Z31" s="2252"/>
      <c r="AA31" s="2252"/>
      <c r="AB31" s="2252"/>
      <c r="AC31" s="327"/>
      <c r="AD31" s="2252" t="str">
        <f>IF(TITLE_NAME_OR_PR_CHANGE="",IF(TITLE_NAME_OR_PR="","",TITLE_NAME_OR_PR),TITLE_NAME_OR_PR_CHANGE)</f>
        <v>Управление по государственному регулированию цен (тарифов) Ненецкого автономного округа</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c r="A32" s="1369"/>
      <c r="B32" s="1369"/>
      <c r="C32" s="1369"/>
      <c r="D32" s="1369"/>
      <c r="E32" s="1369"/>
      <c r="F32" s="1369"/>
      <c r="G32" s="1369"/>
      <c r="H32" s="1369"/>
      <c r="I32" s="1369"/>
      <c r="J32" s="1369"/>
      <c r="K32" s="1369"/>
      <c r="L32" s="1370"/>
      <c r="M32" s="1369"/>
      <c r="N32" s="1369"/>
      <c r="O32" s="1369"/>
      <c r="P32" s="1369"/>
      <c r="Q32" s="1369"/>
      <c r="S32" s="2251" t="s">
        <v>433</v>
      </c>
      <c r="T32" s="2251"/>
      <c r="U32" s="1373"/>
      <c r="V32" s="2265" t="str">
        <f>IF(TITLE_DATE_PR_CHANGE="",IF(TITLE_DATE_PR="","",TITLE_DATE_PR),TITLE_DATE_PR_CHANGE)</f>
        <v>45642</v>
      </c>
      <c r="W32" s="2265"/>
      <c r="X32" s="2265"/>
      <c r="Y32" s="2265"/>
      <c r="Z32" s="2265"/>
      <c r="AA32" s="2265"/>
      <c r="AB32" s="2265"/>
      <c r="AC32" s="327"/>
      <c r="AD32" s="2265" t="str">
        <f>IF(TITLE_DATE_PR_CHANGE="",IF(TITLE_DATE_PR="","",TITLE_DATE_PR),TITLE_DATE_PR_CHANGE)</f>
        <v>45642</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c r="A33" s="1369"/>
      <c r="B33" s="1369"/>
      <c r="C33" s="1369"/>
      <c r="D33" s="1369"/>
      <c r="E33" s="1369"/>
      <c r="F33" s="1369"/>
      <c r="G33" s="1369"/>
      <c r="H33" s="1369"/>
      <c r="I33" s="1369"/>
      <c r="J33" s="1369"/>
      <c r="K33" s="1369"/>
      <c r="L33" s="1370"/>
      <c r="M33" s="1369"/>
      <c r="N33" s="1369"/>
      <c r="O33" s="1369"/>
      <c r="P33" s="1369"/>
      <c r="Q33" s="1369"/>
      <c r="S33" s="2251" t="s">
        <v>434</v>
      </c>
      <c r="T33" s="2251"/>
      <c r="U33" s="1373"/>
      <c r="V33" s="2252" t="str">
        <f>IF(TITLE_NUMBER_PR_CHANGE="",IF(TITLE_NUMBER_PR="","",TITLE_NUMBER_PR),TITLE_NUMBER_PR_CHANGE)</f>
        <v>58</v>
      </c>
      <c r="W33" s="2252"/>
      <c r="X33" s="2252"/>
      <c r="Y33" s="2252"/>
      <c r="Z33" s="2252"/>
      <c r="AA33" s="2252"/>
      <c r="AB33" s="2252"/>
      <c r="AC33" s="327"/>
      <c r="AD33" s="2252" t="str">
        <f>IF(TITLE_NUMBER_PR_CHANGE="",IF(TITLE_NUMBER_PR="","",TITLE_NUMBER_PR),TITLE_NUMBER_PR_CHANGE)</f>
        <v>58</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c r="A34" s="1369"/>
      <c r="B34" s="1369"/>
      <c r="C34" s="1369"/>
      <c r="D34" s="1369"/>
      <c r="E34" s="1369"/>
      <c r="F34" s="1369"/>
      <c r="G34" s="1369"/>
      <c r="H34" s="1369"/>
      <c r="I34" s="1369"/>
      <c r="J34" s="1369"/>
      <c r="K34" s="1369"/>
      <c r="L34" s="1370"/>
      <c r="M34" s="1369"/>
      <c r="N34" s="1369"/>
      <c r="O34" s="1369"/>
      <c r="P34" s="1369"/>
      <c r="Q34" s="1369"/>
      <c r="S34" s="2251" t="s">
        <v>44</v>
      </c>
      <c r="T34" s="2251"/>
      <c r="U34" s="1373"/>
      <c r="V34" s="2252" t="str">
        <f>IF(TITLE_IST_PUB_CHANGE="",IF(TITLE_IST_PUB="","",TITLE_IST_PUB),TITLE_IST_PUB_CHANGE)</f>
        <v>Официальный интернет портал правовой информации http://pravo.gov.ru </v>
      </c>
      <c r="W34" s="2252"/>
      <c r="X34" s="2252"/>
      <c r="Y34" s="2252"/>
      <c r="Z34" s="2252"/>
      <c r="AA34" s="2252"/>
      <c r="AB34" s="2252"/>
      <c r="AC34" s="327"/>
      <c r="AD34" s="2252" t="str">
        <f>IF(TITLE_IST_PUB_CHANGE="",IF(TITLE_IST_PUB="","",TITLE_IST_PUB),TITLE_IST_PUB_CHANGE)</f>
        <v>Официальный интернет портал правовой информации http://pravo.gov.ru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hidden="1">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hidden="1">
      <c r="A36" s="1369"/>
      <c r="B36" s="1369"/>
      <c r="C36" s="1369"/>
      <c r="D36" s="1369"/>
      <c r="E36" s="1369"/>
      <c r="F36" s="1369"/>
      <c r="G36" s="1369"/>
      <c r="H36" s="1369"/>
      <c r="I36" s="1369"/>
      <c r="J36" s="1369"/>
      <c r="K36" s="1369"/>
      <c r="L36" s="1370"/>
      <c r="M36" s="1369"/>
      <c r="N36" s="1369"/>
      <c r="O36" s="1369"/>
      <c r="P36" s="1369"/>
      <c r="Q36" s="1369"/>
      <c r="S36" s="2251" t="s">
        <v>433</v>
      </c>
      <c r="T36" s="2251"/>
      <c r="U36" s="1373"/>
      <c r="V36" s="2265" t="str">
        <f>IF(TITLE_DATE_PR_CHANGE="",IF(TITLE_DATE_PR="","",TITLE_DATE_PR),TITLE_DATE_PR_CHANGE)</f>
        <v>45642</v>
      </c>
      <c r="W36" s="2265"/>
      <c r="X36" s="2265"/>
      <c r="Y36" s="2265"/>
      <c r="Z36" s="2265"/>
      <c r="AA36" s="2265"/>
      <c r="AB36" s="2265"/>
      <c r="AC36" s="327"/>
      <c r="AD36" s="2265" t="str">
        <f>IF(TITLE_DATE_PR_CHANGE="",IF(TITLE_DATE_PR="","",TITLE_DATE_PR),TITLE_DATE_PR_CHANGE)</f>
        <v>45642</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hidden="1">
      <c r="A37" s="1369"/>
      <c r="B37" s="1369"/>
      <c r="C37" s="1369"/>
      <c r="D37" s="1369"/>
      <c r="E37" s="1369"/>
      <c r="F37" s="1369"/>
      <c r="G37" s="1369"/>
      <c r="H37" s="1369"/>
      <c r="I37" s="1369"/>
      <c r="J37" s="1369"/>
      <c r="K37" s="1369"/>
      <c r="L37" s="1370"/>
      <c r="M37" s="1369"/>
      <c r="N37" s="1369"/>
      <c r="O37" s="1369"/>
      <c r="P37" s="1369"/>
      <c r="Q37" s="1369"/>
      <c r="S37" s="2251" t="s">
        <v>434</v>
      </c>
      <c r="T37" s="2251"/>
      <c r="U37" s="1373"/>
      <c r="V37" s="2252" t="str">
        <f>IF(TITLE_NUMBER_PR_CHANGE="",IF(TITLE_NUMBER_PR="","",TITLE_NUMBER_PR),TITLE_NUMBER_PR_CHANGE)</f>
        <v>58</v>
      </c>
      <c r="W37" s="2252"/>
      <c r="X37" s="2252"/>
      <c r="Y37" s="2252"/>
      <c r="Z37" s="2252"/>
      <c r="AA37" s="2252"/>
      <c r="AB37" s="2252"/>
      <c r="AC37" s="327"/>
      <c r="AD37" s="2252" t="str">
        <f>IF(TITLE_NUMBER_PR_CHANGE="",IF(TITLE_NUMBER_PR="","",TITLE_NUMBER_PR),TITLE_NUMBER_PR_CHANGE)</f>
        <v>58</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89"/>
      <c r="V38" s="327"/>
      <c r="W38" s="327"/>
      <c r="X38" s="327"/>
      <c r="Y38" s="327"/>
      <c r="Z38" s="327"/>
      <c r="AA38" s="327"/>
      <c r="AB38" s="327"/>
      <c r="AC38" s="279" t="s">
        <v>437</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437</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312</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313</v>
      </c>
      <c r="BI40" s="1156">
        <v>14</v>
      </c>
    </row>
    <row customHeight="1" ht="14.699999999999998">
      <c r="Q41" s="292"/>
      <c r="R41" s="377"/>
      <c r="S41" s="2274" t="s">
        <v>90</v>
      </c>
      <c r="T41" s="2210" t="s">
        <v>518</v>
      </c>
      <c r="U41" s="302"/>
      <c r="V41" s="2275" t="s">
        <v>439</v>
      </c>
      <c r="W41" s="2276"/>
      <c r="X41" s="2276"/>
      <c r="Y41" s="2276"/>
      <c r="Z41" s="2276"/>
      <c r="AA41" s="2276"/>
      <c r="AB41" s="2277"/>
      <c r="AC41" s="2278" t="s">
        <v>440</v>
      </c>
      <c r="AD41" s="2329" t="s">
        <v>519</v>
      </c>
      <c r="AE41" s="2292"/>
      <c r="AF41" s="2292"/>
      <c r="AG41" s="2330"/>
      <c r="AH41" s="2329" t="s">
        <v>520</v>
      </c>
      <c r="AI41" s="2292"/>
      <c r="AJ41" s="2292"/>
      <c r="AK41" s="2330"/>
      <c r="AL41" s="2329" t="s">
        <v>521</v>
      </c>
      <c r="AM41" s="2292"/>
      <c r="AN41" s="2292"/>
      <c r="AO41" s="2330"/>
      <c r="AP41" s="2329" t="s">
        <v>522</v>
      </c>
      <c r="AQ41" s="2292"/>
      <c r="AR41" s="2292"/>
      <c r="AS41" s="2330"/>
      <c r="AT41" s="2275" t="s">
        <v>439</v>
      </c>
      <c r="AU41" s="2276"/>
      <c r="AV41" s="2276"/>
      <c r="AW41" s="2276"/>
      <c r="AX41" s="2276"/>
      <c r="AY41" s="2276"/>
      <c r="AZ41" s="2277"/>
      <c r="BA41" s="2278" t="s">
        <v>440</v>
      </c>
      <c r="BB41" s="2281" t="s">
        <v>442</v>
      </c>
      <c r="BC41" s="2128"/>
      <c r="BI41" s="1156">
        <v>14</v>
      </c>
    </row>
    <row customHeight="1" ht="35.699999999999996">
      <c r="Q42" s="292"/>
      <c r="R42" s="377"/>
      <c r="S42" s="2274"/>
      <c r="T42" s="2210"/>
      <c r="U42" s="1032"/>
      <c r="V42" s="2193" t="s">
        <v>523</v>
      </c>
      <c r="W42" s="2194"/>
      <c r="X42" s="2193" t="s">
        <v>524</v>
      </c>
      <c r="Y42" s="2194"/>
      <c r="Z42" s="2295" t="s">
        <v>525</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523</v>
      </c>
      <c r="AU42" s="2194"/>
      <c r="AV42" s="2193" t="s">
        <v>524</v>
      </c>
      <c r="AW42" s="2194"/>
      <c r="AX42" s="2295" t="s">
        <v>525</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138</v>
      </c>
      <c r="C44" s="1371" t="s">
        <v>139</v>
      </c>
      <c r="D44" s="1371" t="s">
        <v>140</v>
      </c>
      <c r="E44" s="1365" t="s">
        <v>447</v>
      </c>
      <c r="F44" s="1365" t="s">
        <v>448</v>
      </c>
      <c r="G44" s="1365" t="s">
        <v>449</v>
      </c>
      <c r="H44" s="1365" t="s">
        <v>450</v>
      </c>
      <c r="I44" s="1365" t="s">
        <v>451</v>
      </c>
      <c r="J44" s="1365" t="s">
        <v>452</v>
      </c>
      <c r="K44" s="1365" t="s">
        <v>453</v>
      </c>
      <c r="L44" s="1365" t="s">
        <v>428</v>
      </c>
      <c r="Q44" s="292"/>
      <c r="R44" s="377"/>
      <c r="S44" s="2274"/>
      <c r="T44" s="2210"/>
      <c r="U44" s="303"/>
      <c r="V44" s="1480" t="s">
        <v>487</v>
      </c>
      <c r="W44" s="1480" t="s">
        <v>488</v>
      </c>
      <c r="X44" s="1480" t="s">
        <v>487</v>
      </c>
      <c r="Y44" s="1480" t="s">
        <v>488</v>
      </c>
      <c r="Z44" s="1490" t="s">
        <v>456</v>
      </c>
      <c r="AA44" s="2271" t="s">
        <v>457</v>
      </c>
      <c r="AB44" s="2272"/>
      <c r="AC44" s="2280"/>
      <c r="AD44" s="2334"/>
      <c r="AE44" s="2335"/>
      <c r="AF44" s="2335"/>
      <c r="AG44" s="2336"/>
      <c r="AH44" s="2334"/>
      <c r="AI44" s="2335"/>
      <c r="AJ44" s="2335"/>
      <c r="AK44" s="2336"/>
      <c r="AL44" s="2334"/>
      <c r="AM44" s="2335"/>
      <c r="AN44" s="2335"/>
      <c r="AO44" s="2336"/>
      <c r="AP44" s="2334"/>
      <c r="AQ44" s="2335"/>
      <c r="AR44" s="2335"/>
      <c r="AS44" s="2336"/>
      <c r="AT44" s="1480" t="s">
        <v>487</v>
      </c>
      <c r="AU44" s="1480" t="s">
        <v>488</v>
      </c>
      <c r="AV44" s="1480" t="s">
        <v>487</v>
      </c>
      <c r="AW44" s="1480" t="s">
        <v>488</v>
      </c>
      <c r="AX44" s="1490" t="s">
        <v>456</v>
      </c>
      <c r="AY44" s="2271" t="s">
        <v>457</v>
      </c>
      <c r="AZ44" s="2272"/>
      <c r="BA44" s="2280"/>
      <c r="BB44" s="2283"/>
      <c r="BC44" s="2128"/>
      <c r="BI44" s="1156">
        <v>14</v>
      </c>
    </row>
    <row s="1642" customFormat="1" customHeight="1" ht="0">
      <c r="A45" s="1371"/>
      <c r="B45" s="1371"/>
      <c r="C45" s="1371"/>
      <c r="D45" s="1371"/>
      <c r="E45" s="1371"/>
      <c r="F45" s="1371"/>
      <c r="G45" s="1371"/>
      <c r="H45" s="1371"/>
      <c r="I45" s="1371"/>
      <c r="J45" s="1371"/>
      <c r="K45" s="1371"/>
      <c r="L45" s="1365"/>
      <c r="M45" s="1363"/>
      <c r="N45" s="1363"/>
      <c r="O45" s="1363"/>
      <c r="P45" s="511"/>
      <c r="Q45" s="1255"/>
      <c r="R45" s="1255">
        <v>1</v>
      </c>
      <c r="S45" s="1278" t="s">
        <v>112</v>
      </c>
      <c r="T45" s="1256" t="s">
        <v>113</v>
      </c>
      <c r="U45" s="1246" t="str">
        <f>OFFSET(U45,0,-1)</f>
        <v>2</v>
      </c>
      <c r="V45" s="1483">
        <f>OFFSET(V45,0,-1)+1</f>
        <v>3</v>
      </c>
      <c r="W45" s="1483">
        <f>OFFSET(W45,0,-1)+1</f>
        <v>4</v>
      </c>
      <c r="X45" s="1483">
        <f>OFFSET(X45,0,-1)+1</f>
        <v>5</v>
      </c>
      <c r="Y45" s="1483">
        <f>OFFSET(Y45,0,-1)+1</f>
        <v>6</v>
      </c>
      <c r="Z45" s="1483">
        <f>OFFSET(Z45,0,-1)+1</f>
        <v>7</v>
      </c>
      <c r="AA45" s="2273">
        <f>OFFSET(AA45,0,-1)+1</f>
        <v>8</v>
      </c>
      <c r="AB45" s="2273"/>
      <c r="AC45" s="1483">
        <f>OFFSET(AC45,0,-2)+1</f>
        <v>9</v>
      </c>
      <c r="AD45" s="1483">
        <f>OFFSET(AD45,0,-1)+1</f>
        <v>10</v>
      </c>
      <c r="AE45" s="1483"/>
      <c r="AF45" s="1483"/>
      <c r="AG45" s="1483"/>
      <c r="AH45" s="1483"/>
      <c r="AI45" s="1483"/>
      <c r="AJ45" s="1483"/>
      <c r="AK45" s="1483"/>
      <c r="AL45" s="1483"/>
      <c r="AM45" s="1483"/>
      <c r="AN45" s="1483"/>
      <c r="AO45" s="1483"/>
      <c r="AP45" s="1483"/>
      <c r="AQ45" s="1483"/>
      <c r="AR45" s="1483"/>
      <c r="AS45" s="1483"/>
      <c r="AT45" s="1483"/>
      <c r="AU45" s="1483"/>
      <c r="AV45" s="1483"/>
      <c r="AW45" s="1483">
        <f>OFFSET(AW45,0,-1)+1</f>
        <v>1</v>
      </c>
      <c r="AX45" s="1483">
        <f>OFFSET(AX45,0,-1)+1</f>
        <v>2</v>
      </c>
      <c r="AY45" s="2273">
        <f>OFFSET(AY45,0,-1)+1</f>
        <v>3</v>
      </c>
      <c r="AZ45" s="2273"/>
      <c r="BA45" s="1483">
        <f>OFFSET(BA45,0,-2)+1</f>
        <v>4</v>
      </c>
      <c r="BB45" s="1246">
        <f>OFFSET(BB45,0,-1)</f>
        <v>4</v>
      </c>
      <c r="BC45" s="1483">
        <f>OFFSET(BC45,0,-1)+1</f>
        <v>5</v>
      </c>
      <c r="BD45" s="512"/>
      <c r="BE45" s="512"/>
      <c r="BF45" s="512"/>
      <c r="BG45" s="512"/>
      <c r="BH45" s="512"/>
      <c r="BI45" s="497">
        <v>0</v>
      </c>
    </row>
    <row customHeight="1" ht="22.049999999999997">
      <c r="A46" s="1364" t="s">
        <v>273</v>
      </c>
      <c r="B46" s="1364"/>
      <c r="C46" s="1364"/>
      <c r="D46" s="1364"/>
      <c r="E46" s="2259">
        <v>1</v>
      </c>
      <c r="F46" s="1364"/>
      <c r="G46" s="1364"/>
      <c r="H46" s="1364"/>
      <c r="I46" s="1364"/>
      <c r="J46" s="1364"/>
      <c r="K46" s="1364"/>
      <c r="L46" s="1365"/>
      <c r="M46" s="1366"/>
      <c r="N46" s="1366"/>
      <c r="O46" s="1366"/>
      <c r="P46" s="1410"/>
      <c r="Q46" s="874"/>
      <c r="R46" s="356"/>
      <c r="S46" s="1494">
        <f>INDEX(PT_DIFFERENTIATION_NUM_NTAR,MATCH(A46,PT_DIFFERENTIATION_NTAR_ID,0))</f>
        <v>0</v>
      </c>
      <c r="T46" s="299" t="s">
        <v>126</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273</v>
      </c>
      <c r="B47" s="1364" t="s">
        <v>274</v>
      </c>
      <c r="C47" s="1364"/>
      <c r="D47" s="1364"/>
      <c r="E47" s="2260"/>
      <c r="F47" s="2259">
        <v>1</v>
      </c>
      <c r="G47" s="1364"/>
      <c r="H47" s="1364"/>
      <c r="I47" s="1364"/>
      <c r="J47" s="1364"/>
      <c r="K47" s="1364"/>
      <c r="L47" s="1365"/>
      <c r="M47" s="1366"/>
      <c r="N47" s="1366"/>
      <c r="O47" s="1366"/>
      <c r="P47" s="1411"/>
      <c r="Q47" s="1412"/>
      <c r="R47" s="354"/>
      <c r="S47" s="1494" t="str">
        <f>INDEX(PT_DIFFERENTIATION_NUM_TER,MATCH(B47,PT_DIFFERENTIATION_TER_ID,0))</f>
        <v>.</v>
      </c>
      <c r="T47" s="309" t="s">
        <v>409</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410</v>
      </c>
      <c r="BE47" s="501"/>
      <c r="BF47" s="501" t="str">
        <f>IF(T47="","",T47)</f>
        <v>Территория действия тарифа</v>
      </c>
      <c r="BG47" s="501"/>
      <c r="BH47" s="501"/>
      <c r="BI47" s="1156">
        <v>21</v>
      </c>
    </row>
    <row customHeight="1" ht="35.699999999999996">
      <c r="A48" s="1364" t="s">
        <v>273</v>
      </c>
      <c r="B48" s="1364" t="s">
        <v>274</v>
      </c>
      <c r="C48" s="1364" t="s">
        <v>275</v>
      </c>
      <c r="D48" s="1364"/>
      <c r="E48" s="2260"/>
      <c r="F48" s="2260"/>
      <c r="G48" s="2259">
        <v>1</v>
      </c>
      <c r="H48" s="1364"/>
      <c r="I48" s="1364"/>
      <c r="J48" s="1364"/>
      <c r="K48" s="1364"/>
      <c r="L48" s="1365"/>
      <c r="M48" s="1366"/>
      <c r="N48" s="1366"/>
      <c r="O48" s="1366"/>
      <c r="P48" s="1413"/>
      <c r="Q48" s="1412"/>
      <c r="R48" s="354"/>
      <c r="S48" s="1494" t="str">
        <f>INDEX(PT_DIFFERENTIATION_NUM_CS,MATCH(C48,PT_DIFFERENTIATION_CS_ID,0))</f>
        <v>..</v>
      </c>
      <c r="T48" s="310" t="s">
        <v>541</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542</v>
      </c>
      <c r="BE48" s="501"/>
      <c r="BF48" s="501" t="str">
        <f>IF(T48="","",T48)</f>
        <v>Наименование централизованной системы горячего водоснабжения</v>
      </c>
      <c r="BG48" s="501"/>
      <c r="BH48" s="501"/>
      <c r="BI48" s="1156">
        <v>34</v>
      </c>
    </row>
    <row s="1643" customFormat="1" customHeight="1" ht="0">
      <c r="A49" s="1344" t="s">
        <v>273</v>
      </c>
      <c r="B49" s="1344" t="s">
        <v>274</v>
      </c>
      <c r="C49" s="1344" t="s">
        <v>275</v>
      </c>
      <c r="D49" s="1344" t="s">
        <v>555</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414</v>
      </c>
      <c r="BE49" s="501"/>
      <c r="BF49" s="501" t="str">
        <f>IF(T49="","",T49)</f>
        <v/>
      </c>
      <c r="BG49" s="501"/>
      <c r="BH49" s="501"/>
      <c r="BI49" s="512">
        <v>0</v>
      </c>
    </row>
    <row s="1643" customFormat="1" customHeight="1" ht="0">
      <c r="A50" s="1344" t="s">
        <v>273</v>
      </c>
      <c r="B50" s="1344" t="s">
        <v>274</v>
      </c>
      <c r="C50" s="1344" t="s">
        <v>275</v>
      </c>
      <c r="D50" s="1344" t="s">
        <v>555</v>
      </c>
      <c r="E50" s="2260"/>
      <c r="F50" s="2260"/>
      <c r="G50" s="2260"/>
      <c r="H50" s="2260"/>
      <c r="I50" s="2257" t="str">
        <f>S49&amp;".1"</f>
        <v>.1</v>
      </c>
      <c r="J50" s="1344"/>
      <c r="K50" s="1344"/>
      <c r="L50" s="1347" t="s">
        <v>415</v>
      </c>
      <c r="M50" s="511"/>
      <c r="N50" s="511"/>
      <c r="O50" s="511"/>
      <c r="P50" s="2258">
        <v>1</v>
      </c>
      <c r="Q50" s="1482"/>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273</v>
      </c>
      <c r="B51" s="1344" t="s">
        <v>274</v>
      </c>
      <c r="C51" s="1344" t="s">
        <v>275</v>
      </c>
      <c r="D51" s="1344" t="s">
        <v>555</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273</v>
      </c>
      <c r="B52" s="1364" t="s">
        <v>274</v>
      </c>
      <c r="C52" s="1364" t="s">
        <v>275</v>
      </c>
      <c r="D52" s="1364" t="s">
        <v>555</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70" t="s">
        <v>63</v>
      </c>
      <c r="AB52" s="1735"/>
      <c r="AC52" s="1470" t="s">
        <v>63</v>
      </c>
      <c r="AD52" s="2186" t="s">
        <v>63</v>
      </c>
      <c r="AE52" s="2327"/>
      <c r="AF52" s="2206">
        <v>1</v>
      </c>
      <c r="AG52" s="2364"/>
      <c r="AH52" s="2108" t="s">
        <v>63</v>
      </c>
      <c r="AI52" s="2327"/>
      <c r="AJ52" s="2206">
        <v>1</v>
      </c>
      <c r="AK52" s="2328" t="s">
        <v>28</v>
      </c>
      <c r="AL52" s="2108" t="s">
        <v>63</v>
      </c>
      <c r="AM52" s="2193"/>
      <c r="AN52" s="2206">
        <v>1</v>
      </c>
      <c r="AO52" s="2358"/>
      <c r="AP52" s="2359" t="s">
        <v>63</v>
      </c>
      <c r="AQ52" s="312"/>
      <c r="AR52" s="1487">
        <v>1</v>
      </c>
      <c r="AS52" s="1493" t="s">
        <v>28</v>
      </c>
      <c r="AT52" s="752"/>
      <c r="AU52" s="1258"/>
      <c r="AV52" s="752"/>
      <c r="AW52" s="1258"/>
      <c r="AX52" s="1735"/>
      <c r="AY52" s="1470" t="s">
        <v>63</v>
      </c>
      <c r="AZ52" s="1735"/>
      <c r="BA52" s="1470" t="s">
        <v>63</v>
      </c>
      <c r="BB52" s="1349"/>
      <c r="BC52" s="2254" t="s">
        <v>512</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513</v>
      </c>
      <c r="AT53" s="1394"/>
      <c r="AU53" s="1497"/>
      <c r="AV53" s="1394"/>
      <c r="AW53" s="1497"/>
      <c r="AX53" s="1394"/>
      <c r="AY53" s="1394"/>
      <c r="AZ53" s="1394"/>
      <c r="BA53" s="1394"/>
      <c r="BB53" s="1398"/>
      <c r="BC53" s="2255"/>
      <c r="BE53" s="501"/>
      <c r="BF53" s="501"/>
      <c r="BG53" s="501"/>
      <c r="BH53" s="501"/>
      <c r="BI53" s="1156">
        <v>11</v>
      </c>
    </row>
    <row customHeight="1" ht="11.549999999999999">
      <c r="A54" s="1364" t="s">
        <v>273</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514</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273</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515</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273</v>
      </c>
      <c r="B56" s="1364" t="s">
        <v>274</v>
      </c>
      <c r="C56" s="1364" t="s">
        <v>275</v>
      </c>
      <c r="D56" s="1364" t="s">
        <v>555</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516</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273</v>
      </c>
      <c r="B57" s="1364" t="s">
        <v>274</v>
      </c>
      <c r="C57" s="1364" t="s">
        <v>275</v>
      </c>
      <c r="D57" s="1364" t="s">
        <v>555</v>
      </c>
      <c r="E57" s="2260"/>
      <c r="F57" s="2260"/>
      <c r="G57" s="2260"/>
      <c r="H57" s="2260"/>
      <c r="I57" s="2287"/>
      <c r="J57" s="2257"/>
      <c r="K57" s="1364"/>
      <c r="L57" s="1365"/>
      <c r="P57" s="2258"/>
      <c r="Q57" s="2258"/>
      <c r="R57" s="357"/>
      <c r="S57" s="1279"/>
      <c r="T57" s="288" t="s">
        <v>477</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273</v>
      </c>
      <c r="B58" s="1344" t="s">
        <v>274</v>
      </c>
      <c r="C58" s="1344" t="s">
        <v>275</v>
      </c>
      <c r="D58" s="1344" t="s">
        <v>555</v>
      </c>
      <c r="E58" s="2260"/>
      <c r="F58" s="2260"/>
      <c r="G58" s="2260"/>
      <c r="H58" s="2260"/>
      <c r="I58" s="2257"/>
      <c r="J58" s="1344"/>
      <c r="K58" s="1344"/>
      <c r="L58" s="1347"/>
      <c r="M58" s="511"/>
      <c r="N58" s="511"/>
      <c r="O58" s="511"/>
      <c r="P58" s="2258"/>
      <c r="Q58" s="1482"/>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273</v>
      </c>
      <c r="B59" s="1344" t="s">
        <v>274</v>
      </c>
      <c r="C59" s="1344" t="s">
        <v>275</v>
      </c>
      <c r="D59" s="1344" t="s">
        <v>555</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273</v>
      </c>
      <c r="B60" s="1344" t="s">
        <v>274</v>
      </c>
      <c r="C60" s="1344" t="s">
        <v>275</v>
      </c>
      <c r="D60" s="1315"/>
      <c r="E60" s="2260"/>
      <c r="F60" s="2260"/>
      <c r="G60" s="2259"/>
      <c r="H60" s="1315"/>
      <c r="I60" s="1315"/>
      <c r="J60" s="1315"/>
      <c r="K60" s="1315"/>
      <c r="L60" s="149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273</v>
      </c>
      <c r="B61" s="1344" t="s">
        <v>274</v>
      </c>
      <c r="C61" s="1315"/>
      <c r="D61" s="1315"/>
      <c r="E61" s="2260"/>
      <c r="F61" s="2259"/>
      <c r="G61" s="1315"/>
      <c r="H61" s="1315"/>
      <c r="I61" s="1315"/>
      <c r="J61" s="1315"/>
      <c r="K61" s="1315"/>
      <c r="L61" s="1495"/>
      <c r="M61" s="1322"/>
      <c r="N61" s="1322"/>
      <c r="P61" s="1317"/>
      <c r="Q61" s="1318"/>
      <c r="R61" s="1317"/>
      <c r="S61" s="1323"/>
      <c r="T61" s="1326" t="s">
        <v>232</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273</v>
      </c>
      <c r="B62" s="1344"/>
      <c r="C62" s="1344"/>
      <c r="D62" s="1344"/>
      <c r="E62" s="2259"/>
      <c r="F62" s="1344"/>
      <c r="G62" s="1344"/>
      <c r="H62" s="1344"/>
      <c r="I62" s="1344"/>
      <c r="J62" s="1344"/>
      <c r="K62" s="1344"/>
      <c r="L62" s="1347"/>
      <c r="M62" s="1322"/>
      <c r="N62" s="1322"/>
      <c r="O62" s="519"/>
      <c r="P62" s="381"/>
      <c r="Q62" s="1345"/>
      <c r="R62" s="381"/>
      <c r="S62" s="1323"/>
      <c r="T62" s="1326" t="s">
        <v>233</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95"/>
      <c r="M63" s="1322"/>
      <c r="N63" s="1322"/>
      <c r="P63" s="1317"/>
      <c r="Q63" s="1318"/>
      <c r="R63" s="1317"/>
      <c r="S63" s="1323"/>
      <c r="T63" s="1326" t="s">
        <v>240</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9.95">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19</v>
      </c>
    </row>
    <row customHeight="1" ht="14.699999999999998">
      <c r="O66" s="538"/>
      <c r="T66" s="1481"/>
      <c r="U66" s="1481"/>
      <c r="V66" s="1481"/>
      <c r="W66" s="1481"/>
      <c r="X66" s="1481"/>
      <c r="Y66" s="1481"/>
      <c r="Z66" s="1481"/>
      <c r="AA66" s="1481"/>
      <c r="AB66" s="1481"/>
      <c r="AC66" s="1481"/>
      <c r="AD66" s="1481"/>
      <c r="AE66" s="1481"/>
      <c r="AF66" s="1481"/>
      <c r="AG66" s="1481"/>
      <c r="AH66" s="1481"/>
      <c r="AI66" s="1481"/>
      <c r="AJ66" s="1481"/>
      <c r="AK66" s="1481"/>
      <c r="AL66" s="1481"/>
      <c r="AM66" s="1481"/>
      <c r="AN66" s="1481"/>
      <c r="AO66" s="1481"/>
      <c r="AP66" s="1481"/>
      <c r="AQ66" s="1481"/>
      <c r="AR66" s="1481"/>
      <c r="AS66" s="1481"/>
      <c r="AT66" s="1481"/>
      <c r="AU66" s="1481"/>
      <c r="AV66" s="1481"/>
      <c r="AW66" s="1481"/>
      <c r="AX66" s="1481"/>
      <c r="AY66" s="1481"/>
      <c r="AZ66" s="1481"/>
      <c r="BA66" s="1481"/>
      <c r="BB66" s="1481"/>
      <c r="BC66" s="1481"/>
      <c r="BI66" s="1156">
        <v>14</v>
      </c>
    </row>
    <row customHeight="1" ht="19.95">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19</v>
      </c>
    </row>
    <row customHeight="1" ht="14.699999999999998">
      <c r="O68" s="538"/>
      <c r="BI68" s="1156">
        <v>14</v>
      </c>
    </row>
    <row customHeight="1" ht="14.25" hidden="1">
      <c r="A69" s="1161" t="s">
        <v>84</v>
      </c>
      <c r="B69" s="1161">
        <v>0</v>
      </c>
      <c r="C69" s="1161">
        <v>0</v>
      </c>
      <c r="D69" s="1161">
        <v>0</v>
      </c>
      <c r="E69" s="1161">
        <v>0</v>
      </c>
      <c r="F69" s="1161">
        <v>0</v>
      </c>
      <c r="G69" s="1161">
        <v>0</v>
      </c>
      <c r="H69" s="1161">
        <v>0</v>
      </c>
      <c r="I69" s="1161">
        <v>0</v>
      </c>
      <c r="J69" s="1161">
        <v>0</v>
      </c>
      <c r="K69" s="1161">
        <v>0</v>
      </c>
      <c r="L69" s="1479">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87BE178-6BB7-75A9-75FF-0.69724D3E}" mc:Ignorable="x14ac xr xr2 xr3">
  <sheetPr>
    <tabColor theme="9" tint="-0.25"/>
  </sheetPr>
  <dimension ref="A1:AF303"/>
  <sheetViews>
    <sheetView topLeftCell="A1" showGridLines="0" zoomScale="90" workbookViewId="0">
      <selection activeCell="A1" sqref="A1"/>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4.00390625" customWidth="1"/>
    <col min="7" max="7" style="1636" width="10.00390625" customWidth="1"/>
    <col min="8" max="8" style="1636" width="40.7109375" hidden="1" customWidth="1"/>
    <col min="9" max="9" style="1636" width="40.7109375" customWidth="1"/>
    <col min="10" max="10" style="1636" width="102.00390625" customWidth="1"/>
    <col min="11" max="11" style="1367" width="9.00390625" customWidth="1"/>
    <col min="12" max="12" style="1643" width="5.00390625" customWidth="1"/>
    <col min="13" max="13" style="1643" width="3.00390625" customWidth="1"/>
    <col min="14" max="17" style="1367" width="3.00390625" customWidth="1"/>
    <col min="18" max="18" style="1643" width="10.00390625" customWidth="1"/>
    <col min="19" max="19" style="1367" width="34.00390625" customWidth="1"/>
    <col min="20" max="20" style="1367" width="9.00390625" customWidth="1"/>
    <col min="21" max="21" style="737" width="8.00390625" customWidth="1"/>
    <col min="22" max="26" style="1367" width="8.00390625" customWidth="1"/>
    <col min="27" max="31" style="1633" width="8.00390625" customWidth="1"/>
    <col min="32" max="32" style="1636" width="9.140625" hidden="1"/>
  </cols>
  <sheetData>
    <row customHeight="1" ht="22.5" hidden="1">
      <c r="AF1" s="1632" t="s">
        <v>14</v>
      </c>
    </row>
    <row customHeight="1" ht="23.25" hidden="1">
      <c r="B2" s="2100"/>
      <c r="C2" s="1168" t="s">
        <v>556</v>
      </c>
      <c r="D2" s="1639"/>
      <c r="E2" s="547">
        <f>B2</f>
        <v>0</v>
      </c>
      <c r="F2" s="548"/>
      <c r="G2" s="1647" t="s">
        <v>557</v>
      </c>
      <c r="H2" s="1647" t="s">
        <v>557</v>
      </c>
      <c r="I2" s="1647" t="s">
        <v>557</v>
      </c>
      <c r="J2" s="290" t="s">
        <v>558</v>
      </c>
      <c r="K2" s="544"/>
      <c r="AF2" s="1632">
        <v>0</v>
      </c>
    </row>
    <row s="1643" customFormat="1" customHeight="1" ht="0.75" hidden="1">
      <c r="B3" s="2100"/>
      <c r="C3" s="1168"/>
      <c r="D3" s="549"/>
      <c r="E3" s="550"/>
      <c r="F3" s="551" t="s">
        <v>559</v>
      </c>
      <c r="G3" s="552"/>
      <c r="H3" s="552">
        <f>H4*H5+H7</f>
        <v>0</v>
      </c>
      <c r="I3" s="552">
        <f>I4*I5+I6</f>
        <v>0</v>
      </c>
      <c r="J3" s="553"/>
      <c r="AF3" s="1637">
        <v>0</v>
      </c>
    </row>
    <row customHeight="1" ht="23.25" hidden="1">
      <c r="B4" s="2100"/>
      <c r="C4" s="1168"/>
      <c r="D4" s="1639"/>
      <c r="E4" s="547" t="str">
        <f>B2&amp;".1"</f>
        <v>.1</v>
      </c>
      <c r="F4" s="554" t="s">
        <v>560</v>
      </c>
      <c r="G4" s="555"/>
      <c r="H4" s="542"/>
      <c r="I4" s="542"/>
      <c r="J4" s="290" t="s">
        <v>561</v>
      </c>
      <c r="K4" s="544"/>
      <c r="AF4" s="1632">
        <v>0</v>
      </c>
    </row>
    <row customHeight="1" ht="18.75" hidden="1">
      <c r="B5" s="2100"/>
      <c r="C5" s="1168"/>
      <c r="D5" s="1639"/>
      <c r="E5" s="547" t="str">
        <f>B2&amp;".2"</f>
        <v>.2</v>
      </c>
      <c r="F5" s="554" t="s">
        <v>562</v>
      </c>
      <c r="G5" s="1647" t="s">
        <v>563</v>
      </c>
      <c r="H5" s="542"/>
      <c r="I5" s="542"/>
      <c r="J5" s="290"/>
      <c r="K5" s="544"/>
      <c r="AF5" s="1632">
        <v>0</v>
      </c>
    </row>
    <row customHeight="1" ht="18.75" hidden="1">
      <c r="B6" s="2100"/>
      <c r="C6" s="1168"/>
      <c r="D6" s="1639"/>
      <c r="E6" s="547" t="str">
        <f>B2&amp;".3"</f>
        <v>.3</v>
      </c>
      <c r="F6" s="554" t="s">
        <v>564</v>
      </c>
      <c r="G6" s="1647" t="s">
        <v>563</v>
      </c>
      <c r="H6" s="542"/>
      <c r="I6" s="542"/>
      <c r="J6" s="290"/>
      <c r="K6" s="544"/>
      <c r="AF6" s="1632">
        <v>0</v>
      </c>
    </row>
    <row customHeight="1" ht="18.75" hidden="1">
      <c r="B7" s="2100"/>
      <c r="C7" s="1168"/>
      <c r="D7" s="1639"/>
      <c r="E7" s="547" t="str">
        <f>B2&amp;".4"</f>
        <v>.4</v>
      </c>
      <c r="F7" s="554" t="s">
        <v>565</v>
      </c>
      <c r="G7" s="1647" t="s">
        <v>557</v>
      </c>
      <c r="H7" s="556"/>
      <c r="I7" s="556"/>
      <c r="J7" s="290"/>
      <c r="K7" s="544"/>
      <c r="AF7" s="1632">
        <v>0</v>
      </c>
    </row>
    <row s="1367" customFormat="1" customHeight="1" ht="11.25" hidden="1">
      <c r="A8" s="988"/>
      <c r="C8" s="1637"/>
      <c r="D8" s="538"/>
      <c r="H8" s="1161">
        <v>4</v>
      </c>
      <c r="I8" s="1161">
        <v>4</v>
      </c>
      <c r="L8" s="1637"/>
      <c r="M8" s="1637"/>
      <c r="R8" s="1637"/>
      <c r="AF8" s="1161">
        <v>0</v>
      </c>
    </row>
    <row s="1367" customFormat="1" customHeight="1" ht="22.5" hidden="1">
      <c r="A9" s="988"/>
      <c r="C9" s="1637"/>
      <c r="D9" s="539"/>
      <c r="E9" s="1649"/>
      <c r="F9" s="541"/>
      <c r="G9" s="1647" t="s">
        <v>563</v>
      </c>
      <c r="H9" s="542"/>
      <c r="I9" s="542"/>
      <c r="J9" s="543" t="s">
        <v>566</v>
      </c>
      <c r="K9" s="544"/>
      <c r="L9" s="1637"/>
      <c r="M9" s="1637"/>
      <c r="R9" s="1637"/>
      <c r="U9" s="545"/>
      <c r="AA9" s="1633"/>
      <c r="AB9" s="1633"/>
      <c r="AC9" s="1633"/>
      <c r="AD9" s="1633"/>
      <c r="AE9" s="1633"/>
      <c r="AF9" s="1161">
        <v>0</v>
      </c>
    </row>
    <row customHeight="1" ht="11.25" hidden="1">
      <c r="AF10" s="1632">
        <v>0</v>
      </c>
    </row>
    <row customHeight="1" ht="18.75" hidden="1">
      <c r="D11" s="1639"/>
      <c r="E11" s="547"/>
      <c r="F11" s="541"/>
      <c r="G11" s="1647" t="s">
        <v>567</v>
      </c>
      <c r="H11" s="542"/>
      <c r="I11" s="542"/>
      <c r="J11" s="290" t="s">
        <v>568</v>
      </c>
      <c r="K11" s="544"/>
      <c r="AF11" s="1632">
        <v>0</v>
      </c>
    </row>
    <row customHeight="1" ht="11.25" hidden="1">
      <c r="AF12" s="1632">
        <v>0</v>
      </c>
    </row>
    <row customHeight="1" ht="22.5" hidden="1">
      <c r="D13" s="1639"/>
      <c r="E13" s="547"/>
      <c r="F13" s="541"/>
      <c r="G13" s="970" t="s">
        <v>569</v>
      </c>
      <c r="H13" s="546"/>
      <c r="I13" s="546"/>
      <c r="J13" s="746" t="s">
        <v>570</v>
      </c>
      <c r="K13" s="544"/>
      <c r="AF13" s="1632">
        <v>0</v>
      </c>
    </row>
    <row customHeight="1" ht="11.25" hidden="1">
      <c r="AF14" s="1632">
        <v>0</v>
      </c>
    </row>
    <row customHeight="1" ht="22.5" hidden="1">
      <c r="D15" s="1639"/>
      <c r="E15" s="547"/>
      <c r="F15" s="541"/>
      <c r="G15" s="1647" t="s">
        <v>571</v>
      </c>
      <c r="H15" s="546"/>
      <c r="I15" s="546"/>
      <c r="J15" s="290" t="s">
        <v>572</v>
      </c>
      <c r="K15" s="544"/>
      <c r="AF15" s="1632">
        <v>0</v>
      </c>
    </row>
    <row customHeight="1" ht="11.25" hidden="1">
      <c r="AF16" s="1632">
        <v>0</v>
      </c>
    </row>
    <row customHeight="1" ht="22.5" hidden="1">
      <c r="D17" s="1639"/>
      <c r="E17" s="547"/>
      <c r="F17" s="541"/>
      <c r="G17" s="1647" t="s">
        <v>573</v>
      </c>
      <c r="H17" s="546"/>
      <c r="I17" s="546"/>
      <c r="J17" s="290" t="s">
        <v>574</v>
      </c>
      <c r="K17" s="544"/>
      <c r="AF17" s="1632">
        <v>0</v>
      </c>
    </row>
    <row customHeight="1" ht="11.25" hidden="1">
      <c r="AF18" s="1632">
        <v>0</v>
      </c>
    </row>
    <row s="1633" customFormat="1" customHeight="1" ht="11.25" hidden="1">
      <c r="A19" s="988"/>
      <c r="B19" s="1161"/>
      <c r="C19" s="1637"/>
      <c r="D19" s="363"/>
      <c r="J19" s="1633">
        <v>4</v>
      </c>
      <c r="K19" s="1161"/>
      <c r="L19" s="1637"/>
      <c r="M19" s="1637"/>
      <c r="N19" s="1161"/>
      <c r="O19" s="1161"/>
      <c r="P19" s="1161"/>
      <c r="Q19" s="1161"/>
      <c r="R19" s="1637"/>
      <c r="S19" s="1161"/>
      <c r="T19" s="1161"/>
      <c r="U19" s="545"/>
      <c r="V19" s="1161"/>
      <c r="W19" s="1161"/>
      <c r="X19" s="1161"/>
      <c r="Y19" s="1161"/>
      <c r="Z19" s="1161"/>
      <c r="AF19" s="1633">
        <v>0</v>
      </c>
    </row>
    <row customHeight="1" ht="11.549999999999999">
      <c r="AF20" s="1632">
        <v>11</v>
      </c>
    </row>
    <row customHeight="1" ht="25.2">
      <c r="E21" s="2249" t="str">
        <f>FHD_NAME_FORM</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21" s="2249"/>
      <c r="G21" s="2249"/>
      <c r="H21" s="2249"/>
      <c r="I21" s="2249"/>
      <c r="J21" s="557"/>
      <c r="AF21" s="1632">
        <v>24</v>
      </c>
    </row>
    <row customHeight="1" ht="25.2">
      <c r="E22" s="2250" t="str">
        <f>IF(org=0,"Не определено",org)</f>
        <v>ИМУП «ПОСЖИЛКОМСЕРВИС»</v>
      </c>
      <c r="F22" s="2250"/>
      <c r="G22" s="2250"/>
      <c r="H22" s="2250"/>
      <c r="I22" s="2250"/>
      <c r="AF22" s="1632">
        <v>24</v>
      </c>
    </row>
    <row customHeight="1" ht="11.549999999999999">
      <c r="E23" s="1136"/>
      <c r="F23" s="1136"/>
      <c r="G23" s="1136"/>
      <c r="H23" s="1136"/>
      <c r="I23" s="1136"/>
      <c r="AF23" s="1632">
        <v>11</v>
      </c>
    </row>
    <row s="1643" customFormat="1" customHeight="1" ht="1.05">
      <c r="A24" s="1168"/>
      <c r="D24" s="1643"/>
      <c r="H24" s="890"/>
      <c r="I24" s="890" t="s">
        <v>120</v>
      </c>
      <c r="AF24" s="1637">
        <v>1</v>
      </c>
    </row>
    <row customHeight="1" ht="11.549999999999999">
      <c r="E25" s="712"/>
      <c r="F25" s="2368" t="s">
        <v>108</v>
      </c>
      <c r="G25" s="2369"/>
      <c r="H25" s="1653" t="str">
        <f>IF(H24="","",INDEX(DIFFERENTIATION_UNMERGE_VD,MATCH(H24,DIFFERENTIATION_ID_DIFF,0)))</f>
        <v/>
      </c>
      <c r="I25" s="1653">
        <f>IF(I24="","",INDEX(DIFFERENTIATION_UNMERGE_VD,MATCH(I24,DIFFERENTIATION_ID_DIFF,0)))</f>
        <v>0</v>
      </c>
      <c r="J25" s="2128"/>
      <c r="AF25" s="1632">
        <v>11</v>
      </c>
    </row>
    <row customHeight="1" ht="11.549999999999999">
      <c r="E26" s="712"/>
      <c r="F26" s="2368" t="s">
        <v>575</v>
      </c>
      <c r="G26" s="2369"/>
      <c r="H26" s="1653" t="str">
        <f>IF(H24="","",INDEX(DIFFERENTIATION_UNMERGE_AREA,MATCH(H24,DIFFERENTIATION_ID_DIFF,0)))</f>
        <v/>
      </c>
      <c r="I26" s="1653" t="str">
        <f>IF(I24="","",INDEX(DIFFERENTIATION_UNMERGE_AREA,MATCH(I24,DIFFERENTIATION_ID_DIFF,0)))</f>
        <v/>
      </c>
      <c r="J26" s="2128"/>
      <c r="AF26" s="1632">
        <v>11</v>
      </c>
    </row>
    <row customHeight="1" ht="11.549999999999999">
      <c r="E27" s="712"/>
      <c r="F27" s="2368" t="s">
        <v>576</v>
      </c>
      <c r="G27" s="2369"/>
      <c r="H27" s="1653" t="str">
        <f>IF(H24="","",INDEX(DIFFERENTIATION_UNMERGE_SYSTEM,MATCH(H24,DIFFERENTIATION_ID_DIFF,0)))</f>
        <v/>
      </c>
      <c r="I27" s="1653" t="str">
        <f>IF(I24="","",INDEX(DIFFERENTIATION_UNMERGE_SYSTEM,MATCH(I24,DIFFERENTIATION_ID_DIFF,0)))</f>
        <v>без дифференциации</v>
      </c>
      <c r="J27" s="2128"/>
      <c r="AF27" s="1632">
        <v>11</v>
      </c>
    </row>
    <row customHeight="1" ht="11.549999999999999">
      <c r="E28" s="2370" t="s">
        <v>312</v>
      </c>
      <c r="F28" s="2371"/>
      <c r="G28" s="2371"/>
      <c r="H28" s="1646"/>
      <c r="I28" s="1646"/>
      <c r="J28" s="2128"/>
      <c r="AF28" s="1632">
        <v>11</v>
      </c>
    </row>
    <row customHeight="1" ht="24">
      <c r="E29" s="1647" t="s">
        <v>90</v>
      </c>
      <c r="F29" s="1654" t="s">
        <v>314</v>
      </c>
      <c r="G29" s="1654" t="s">
        <v>577</v>
      </c>
      <c r="H29" s="1654" t="s">
        <v>315</v>
      </c>
      <c r="I29" s="1654" t="s">
        <v>315</v>
      </c>
      <c r="J29" s="2128"/>
      <c r="AF29" s="1632">
        <v>23</v>
      </c>
    </row>
    <row customHeight="1" ht="19.95">
      <c r="D30" s="1639"/>
      <c r="E30" s="547">
        <f>FHD_NUM_P_1</f>
        <v>1</v>
      </c>
      <c r="F30" s="1881" t="str">
        <f>FHD_P_1</f>
        <v>Выручка от регулируемых видов деятельности в сфере холодного водоснабжения</v>
      </c>
      <c r="G30" s="1879" t="s">
        <v>563</v>
      </c>
      <c r="H30" s="558"/>
      <c r="I30" s="558"/>
      <c r="J30" s="290" t="str">
        <f>FHD_NOTE_P_1</f>
        <v>Указывается выручка с распределением по видам деятельности.</v>
      </c>
      <c r="K30" s="544"/>
      <c r="AF30" s="1632">
        <v>19</v>
      </c>
    </row>
    <row customHeight="1" ht="11.549999999999999">
      <c r="D31" s="1639"/>
      <c r="E31" s="547">
        <f>FHD_NUM_P_2</f>
        <v>2</v>
      </c>
      <c r="F31" s="1881" t="str">
        <f>FHD_P_2</f>
        <v>Себестоимость производимых товаров (оказываемых услуг) по регулируемым видам деятельности в сфере холодного водоснабжения, включая:</v>
      </c>
      <c r="G31" s="1879" t="s">
        <v>563</v>
      </c>
      <c r="H31" s="559">
        <f>SUMIF($K33:$K71,$K31,H33:H71)</f>
        <v>0</v>
      </c>
      <c r="I31" s="559">
        <f>SUMIF($K33:$K71,$K31,I33:I71)</f>
        <v>0</v>
      </c>
      <c r="J31" s="290" t="str">
        <f>FHD_NOTE_P_2</f>
        <v>Указывается суммарная себестоимость производимых товаров.</v>
      </c>
      <c r="K31" s="1637" t="s">
        <v>578</v>
      </c>
      <c r="AF31" s="1632">
        <v>11</v>
      </c>
    </row>
    <row customHeight="1" ht="11.549999999999999">
      <c r="D32" s="1639"/>
      <c r="E32" s="547" t="str">
        <f>FHD_NUM_P_3</f>
        <v>2.1</v>
      </c>
      <c r="F32" s="1525" t="str">
        <f>FHD_P_3</f>
        <v>Расходы на оплату холодной воды, приобретаемой у других организаций для последующей подачи потребителям</v>
      </c>
      <c r="G32" s="1879" t="s">
        <v>563</v>
      </c>
      <c r="H32" s="558"/>
      <c r="I32" s="558"/>
      <c r="J32" s="290" t="str">
        <f>FHD_NOTE_P_3</f>
        <v/>
      </c>
      <c r="K32" s="1637" t="str">
        <f>IF((LEN(E32)-LEN(SUBSTITUTE(E32,".","")))/LEN(".")=1,"p","")</f>
        <v>p</v>
      </c>
      <c r="AF32" s="1632">
        <v>11</v>
      </c>
    </row>
    <row customHeight="1" ht="11.25" hidden="1">
      <c r="A33" s="2372" t="s">
        <v>579</v>
      </c>
      <c r="D33" s="1639"/>
      <c r="E33" s="547" t="str">
        <f>FHD_NUM_P_4</f>
        <v/>
      </c>
      <c r="F33" s="1525" t="str">
        <f>FHD_P_4</f>
        <v/>
      </c>
      <c r="G33" s="1879" t="s">
        <v>563</v>
      </c>
      <c r="H33" s="559">
        <f>SUMIF($F34:$F40,$F3,H34:H40)</f>
        <v>0</v>
      </c>
      <c r="I33" s="559">
        <f>SUMIF($F34:$F40,$F3,I34:I40)</f>
        <v>0</v>
      </c>
      <c r="J33" s="290" t="str">
        <f>FHD_NOTE_P_4</f>
        <v/>
      </c>
      <c r="K33" s="1637" t="str">
        <f>IF((LEN(E33)-LEN(SUBSTITUTE(E33,".","")))/LEN(".")=1,"p","")</f>
        <v/>
      </c>
      <c r="AF33" s="1632">
        <v>0</v>
      </c>
    </row>
    <row s="1642" customFormat="1" customHeight="1" ht="0.75" hidden="1">
      <c r="A34" s="2372"/>
      <c r="B34" s="2373" t="str">
        <f>E33&amp;".0"</f>
        <v>.0</v>
      </c>
      <c r="C34" s="1168"/>
      <c r="D34" s="561"/>
      <c r="E34" s="562"/>
      <c r="F34" s="563"/>
      <c r="G34" s="564"/>
      <c r="H34" s="498"/>
      <c r="I34" s="498"/>
      <c r="J34" s="565"/>
      <c r="K34" s="1637" t="str">
        <f>IF((LEN(E34)-LEN(SUBSTITUTE(E34,".","")))/LEN(".")=1,"p","")</f>
        <v/>
      </c>
      <c r="L34" s="1637"/>
      <c r="M34" s="1637"/>
      <c r="N34" s="1637"/>
      <c r="O34" s="1637"/>
      <c r="P34" s="1637"/>
      <c r="Q34" s="1637"/>
      <c r="R34" s="1637"/>
      <c r="S34" s="1637"/>
      <c r="T34" s="1637"/>
      <c r="U34" s="566"/>
      <c r="V34" s="1637"/>
      <c r="W34" s="1637"/>
      <c r="X34" s="1637"/>
      <c r="Y34" s="1637"/>
      <c r="Z34" s="1637"/>
      <c r="AA34" s="567"/>
      <c r="AB34" s="567"/>
      <c r="AC34" s="567"/>
      <c r="AD34" s="567"/>
      <c r="AE34" s="567"/>
      <c r="AF34" s="1642">
        <v>0</v>
      </c>
    </row>
    <row s="1642" customFormat="1" customHeight="1" ht="0.75" hidden="1">
      <c r="A35" s="2372"/>
      <c r="B35" s="2373"/>
      <c r="C35" s="1168"/>
      <c r="D35" s="561"/>
      <c r="E35" s="568"/>
      <c r="F35" s="569"/>
      <c r="G35" s="564"/>
      <c r="H35" s="570"/>
      <c r="I35" s="570"/>
      <c r="J35" s="565"/>
      <c r="K35" s="1637" t="str">
        <f>IF((LEN(E35)-LEN(SUBSTITUTE(E35,".","")))/LEN(".")=1,"p","")</f>
        <v/>
      </c>
      <c r="L35" s="1637"/>
      <c r="M35" s="1637"/>
      <c r="N35" s="1637"/>
      <c r="O35" s="1637"/>
      <c r="P35" s="1637"/>
      <c r="Q35" s="1637"/>
      <c r="R35" s="1637"/>
      <c r="S35" s="1637"/>
      <c r="T35" s="1637"/>
      <c r="U35" s="566"/>
      <c r="V35" s="1637"/>
      <c r="W35" s="1637"/>
      <c r="X35" s="1637"/>
      <c r="Y35" s="1637"/>
      <c r="Z35" s="1637"/>
      <c r="AA35" s="567"/>
      <c r="AB35" s="567"/>
      <c r="AC35" s="567"/>
      <c r="AD35" s="567"/>
      <c r="AE35" s="567"/>
      <c r="AF35" s="1642">
        <v>0</v>
      </c>
    </row>
    <row s="1642" customFormat="1" customHeight="1" ht="0.75" hidden="1">
      <c r="A36" s="2372"/>
      <c r="B36" s="2373"/>
      <c r="C36" s="1168"/>
      <c r="D36" s="561"/>
      <c r="E36" s="568"/>
      <c r="F36" s="569"/>
      <c r="G36" s="564"/>
      <c r="H36" s="570"/>
      <c r="I36" s="570"/>
      <c r="J36" s="565"/>
      <c r="K36" s="1637" t="str">
        <f>IF((LEN(E36)-LEN(SUBSTITUTE(E36,".","")))/LEN(".")=1,"p","")</f>
        <v/>
      </c>
      <c r="L36" s="1637"/>
      <c r="M36" s="1637"/>
      <c r="N36" s="1637"/>
      <c r="O36" s="1637"/>
      <c r="P36" s="1637"/>
      <c r="Q36" s="1637"/>
      <c r="R36" s="1637"/>
      <c r="S36" s="1637"/>
      <c r="T36" s="1637"/>
      <c r="U36" s="566"/>
      <c r="V36" s="1637"/>
      <c r="W36" s="1637"/>
      <c r="X36" s="1637"/>
      <c r="Y36" s="1637"/>
      <c r="Z36" s="1637"/>
      <c r="AA36" s="567"/>
      <c r="AB36" s="567"/>
      <c r="AC36" s="567"/>
      <c r="AD36" s="567"/>
      <c r="AE36" s="567"/>
      <c r="AF36" s="1642">
        <v>0</v>
      </c>
    </row>
    <row s="1642" customFormat="1" customHeight="1" ht="0.75" hidden="1">
      <c r="A37" s="2372"/>
      <c r="B37" s="2373"/>
      <c r="C37" s="1168"/>
      <c r="D37" s="561"/>
      <c r="E37" s="568"/>
      <c r="F37" s="569"/>
      <c r="G37" s="564"/>
      <c r="H37" s="570"/>
      <c r="I37" s="570"/>
      <c r="J37" s="565"/>
      <c r="K37" s="1637" t="str">
        <f>IF((LEN(E37)-LEN(SUBSTITUTE(E37,".","")))/LEN(".")=1,"p","")</f>
        <v/>
      </c>
      <c r="L37" s="1637"/>
      <c r="M37" s="1637"/>
      <c r="N37" s="1637"/>
      <c r="O37" s="1637"/>
      <c r="P37" s="1637"/>
      <c r="Q37" s="1637"/>
      <c r="R37" s="1637"/>
      <c r="S37" s="1637"/>
      <c r="T37" s="1637"/>
      <c r="U37" s="566"/>
      <c r="V37" s="1637"/>
      <c r="W37" s="1637"/>
      <c r="X37" s="1637"/>
      <c r="Y37" s="1637"/>
      <c r="Z37" s="1637"/>
      <c r="AA37" s="567"/>
      <c r="AB37" s="567"/>
      <c r="AC37" s="567"/>
      <c r="AD37" s="567"/>
      <c r="AE37" s="567"/>
      <c r="AF37" s="1642">
        <v>0</v>
      </c>
    </row>
    <row s="1642" customFormat="1" customHeight="1" ht="0.75" hidden="1">
      <c r="A38" s="2372"/>
      <c r="B38" s="2373"/>
      <c r="C38" s="1168"/>
      <c r="D38" s="561"/>
      <c r="E38" s="568"/>
      <c r="F38" s="569"/>
      <c r="G38" s="564"/>
      <c r="H38" s="570"/>
      <c r="I38" s="570"/>
      <c r="J38" s="565"/>
      <c r="K38" s="1637" t="str">
        <f>IF((LEN(E38)-LEN(SUBSTITUTE(E38,".","")))/LEN(".")=1,"p","")</f>
        <v/>
      </c>
      <c r="L38" s="1637"/>
      <c r="M38" s="1637"/>
      <c r="N38" s="1637"/>
      <c r="O38" s="1637"/>
      <c r="P38" s="1637"/>
      <c r="Q38" s="1637"/>
      <c r="R38" s="1637"/>
      <c r="S38" s="1637"/>
      <c r="T38" s="1637"/>
      <c r="U38" s="566"/>
      <c r="V38" s="1637"/>
      <c r="W38" s="1637"/>
      <c r="X38" s="1637"/>
      <c r="Y38" s="1637"/>
      <c r="Z38" s="1637"/>
      <c r="AA38" s="567"/>
      <c r="AB38" s="567"/>
      <c r="AC38" s="567"/>
      <c r="AD38" s="567"/>
      <c r="AE38" s="567"/>
      <c r="AF38" s="1642">
        <v>0</v>
      </c>
    </row>
    <row s="1642" customFormat="1" customHeight="1" ht="0.75" hidden="1">
      <c r="A39" s="2372"/>
      <c r="B39" s="2373"/>
      <c r="C39" s="1168"/>
      <c r="D39" s="561"/>
      <c r="E39" s="568"/>
      <c r="F39" s="569"/>
      <c r="G39" s="564"/>
      <c r="H39" s="498"/>
      <c r="I39" s="498"/>
      <c r="J39" s="565"/>
      <c r="K39" s="1637" t="str">
        <f>IF((LEN(E39)-LEN(SUBSTITUTE(E39,".","")))/LEN(".")=1,"p","")</f>
        <v/>
      </c>
      <c r="L39" s="1637"/>
      <c r="M39" s="1637"/>
      <c r="N39" s="1637"/>
      <c r="O39" s="1637"/>
      <c r="P39" s="1637"/>
      <c r="Q39" s="1637"/>
      <c r="R39" s="1637"/>
      <c r="S39" s="1637"/>
      <c r="T39" s="1637"/>
      <c r="U39" s="566"/>
      <c r="V39" s="1637"/>
      <c r="W39" s="1637"/>
      <c r="X39" s="1637"/>
      <c r="Y39" s="1637"/>
      <c r="Z39" s="1637"/>
      <c r="AA39" s="567"/>
      <c r="AB39" s="567"/>
      <c r="AC39" s="567"/>
      <c r="AD39" s="567"/>
      <c r="AE39" s="567"/>
      <c r="AF39" s="1642">
        <v>0</v>
      </c>
    </row>
    <row s="1367" customFormat="1" customHeight="1" ht="15" hidden="1">
      <c r="A40" s="2372"/>
      <c r="C40" s="1637"/>
      <c r="D40" s="1634"/>
      <c r="E40" s="571"/>
      <c r="F40" s="572" t="s">
        <v>580</v>
      </c>
      <c r="G40" s="573"/>
      <c r="H40" s="574"/>
      <c r="I40" s="574"/>
      <c r="J40" s="302"/>
      <c r="K40" s="1637" t="str">
        <f>IF((LEN(E40)-LEN(SUBSTITUTE(E40,".","")))/LEN(".")=1,"p","")</f>
        <v/>
      </c>
      <c r="L40" s="1637"/>
      <c r="M40" s="1637"/>
      <c r="R40" s="1637"/>
      <c r="U40" s="545"/>
      <c r="AA40" s="1633"/>
      <c r="AB40" s="1633"/>
      <c r="AC40" s="1633"/>
      <c r="AD40" s="1633"/>
      <c r="AE40" s="1633"/>
      <c r="AF40" s="1161">
        <v>0</v>
      </c>
    </row>
    <row customHeight="1" ht="11.25" hidden="1">
      <c r="A41" s="2372" t="s">
        <v>581</v>
      </c>
      <c r="D41" s="1639"/>
      <c r="E41" s="547" t="str">
        <f>FHD_NUM_P_5</f>
        <v/>
      </c>
      <c r="F41" s="1525" t="str">
        <f>FHD_P_5</f>
        <v/>
      </c>
      <c r="G41" s="1879" t="s">
        <v>563</v>
      </c>
      <c r="H41" s="558"/>
      <c r="I41" s="558"/>
      <c r="J41" s="290" t="str">
        <f>FHD_NOTE_P_5</f>
        <v/>
      </c>
      <c r="K41" s="1637" t="str">
        <f>IF((LEN(E41)-LEN(SUBSTITUTE(E41,".","")))/LEN(".")=1,"p","")</f>
        <v/>
      </c>
      <c r="AF41" s="1632">
        <v>0</v>
      </c>
    </row>
    <row customHeight="1" ht="11.25" hidden="1">
      <c r="A42" s="2372"/>
      <c r="D42" s="1639"/>
      <c r="E42" s="547" t="str">
        <f>FHD_NUM_P_6</f>
        <v/>
      </c>
      <c r="F42" s="1525" t="str">
        <f>FHD_P_6</f>
        <v/>
      </c>
      <c r="G42" s="1879" t="s">
        <v>563</v>
      </c>
      <c r="H42" s="558"/>
      <c r="I42" s="558"/>
      <c r="J42" s="290" t="str">
        <f>FHD_NOTE_P_6</f>
        <v/>
      </c>
      <c r="K42" s="1637" t="str">
        <f>IF((LEN(E42)-LEN(SUBSTITUTE(E42,".","")))/LEN(".")=1,"p","")</f>
        <v/>
      </c>
      <c r="AF42" s="1632">
        <v>0</v>
      </c>
    </row>
    <row customHeight="1" ht="11.25" hidden="1">
      <c r="A43" s="2372"/>
      <c r="D43" s="1639"/>
      <c r="E43" s="547" t="str">
        <f>FHD_NUM_P_7</f>
        <v/>
      </c>
      <c r="F43" s="1525" t="str">
        <f>FHD_P_7</f>
        <v/>
      </c>
      <c r="G43" s="1879" t="s">
        <v>563</v>
      </c>
      <c r="H43" s="558"/>
      <c r="I43" s="558"/>
      <c r="J43" s="290" t="str">
        <f>FHD_NOTE_P_7</f>
        <v/>
      </c>
      <c r="K43" s="1637" t="str">
        <f>IF((LEN(E43)-LEN(SUBSTITUTE(E43,".","")))/LEN(".")=1,"p","")</f>
        <v/>
      </c>
      <c r="AF43" s="1632">
        <v>0</v>
      </c>
    </row>
    <row customHeight="1" ht="11.549999999999999">
      <c r="D44" s="1639"/>
      <c r="E44" s="547" t="str">
        <f>FHD_NUM_P_8</f>
        <v>2.2</v>
      </c>
      <c r="F44" s="1525" t="str">
        <f>FHD_P_8</f>
        <v>Расходы на приобретаемую электрическую энергию (мощность), используемую в технологическом процессе</v>
      </c>
      <c r="G44" s="1879" t="s">
        <v>563</v>
      </c>
      <c r="H44" s="558"/>
      <c r="I44" s="558"/>
      <c r="J44" s="290" t="str">
        <f>FHD_NOTE_P_8</f>
        <v/>
      </c>
      <c r="K44" s="1637" t="str">
        <f>IF((LEN(E44)-LEN(SUBSTITUTE(E44,".","")))/LEN(".")=1,"p","")</f>
        <v>p</v>
      </c>
      <c r="AF44" s="1632">
        <v>11</v>
      </c>
    </row>
    <row customHeight="1" ht="11.549999999999999">
      <c r="D45" s="1639"/>
      <c r="E45" s="547" t="str">
        <f>FHD_NUM_P_9</f>
        <v>2.2.1</v>
      </c>
      <c r="F45" s="1651" t="str">
        <f>FHD_P_9</f>
        <v>Средневзвешенная стоимость 1 кВт.ч (с учетом мощности)</v>
      </c>
      <c r="G45" s="1879" t="s">
        <v>582</v>
      </c>
      <c r="H45" s="558"/>
      <c r="I45" s="558"/>
      <c r="J45" s="290" t="str">
        <f>FHD_NOTE_P_9</f>
        <v/>
      </c>
      <c r="K45" s="1637" t="str">
        <f>IF((LEN(E45)-LEN(SUBSTITUTE(E45,".","")))/LEN(".")=1,"p","")</f>
        <v/>
      </c>
      <c r="AF45" s="1632">
        <v>11</v>
      </c>
    </row>
    <row s="1367" customFormat="1" customHeight="1" ht="11.549999999999999">
      <c r="A46" s="988"/>
      <c r="C46" s="1637"/>
      <c r="D46" s="575"/>
      <c r="E46" s="547" t="str">
        <f>FHD_NUM_P_10</f>
        <v>2.2.2</v>
      </c>
      <c r="F46" s="1651" t="str">
        <f>FHD_P_10</f>
        <v>Объём приобретения электрической энергии</v>
      </c>
      <c r="G46" s="1879" t="s">
        <v>583</v>
      </c>
      <c r="H46" s="558"/>
      <c r="I46" s="558"/>
      <c r="J46" s="290" t="str">
        <f>FHD_NOTE_P_10</f>
        <v/>
      </c>
      <c r="K46" s="1637" t="str">
        <f>IF((LEN(E46)-LEN(SUBSTITUTE(E46,".","")))/LEN(".")=1,"p","")</f>
        <v/>
      </c>
      <c r="L46" s="1637"/>
      <c r="M46" s="1637"/>
      <c r="R46" s="1637"/>
      <c r="U46" s="545"/>
      <c r="AA46" s="1633"/>
      <c r="AB46" s="1633"/>
      <c r="AC46" s="1633"/>
      <c r="AD46" s="1633"/>
      <c r="AE46" s="1633"/>
      <c r="AF46" s="1161">
        <v>11</v>
      </c>
    </row>
    <row s="1367" customFormat="1" customHeight="1" ht="11.25" hidden="1">
      <c r="A47" s="990" t="s">
        <v>584</v>
      </c>
      <c r="C47" s="1637"/>
      <c r="D47" s="576"/>
      <c r="E47" s="547" t="str">
        <f>FHD_NUM_P_11</f>
        <v/>
      </c>
      <c r="F47" s="1525" t="str">
        <f>FHD_P_11</f>
        <v/>
      </c>
      <c r="G47" s="1879" t="s">
        <v>563</v>
      </c>
      <c r="H47" s="558"/>
      <c r="I47" s="558"/>
      <c r="J47" s="290" t="str">
        <f>FHD_NOTE_P_11</f>
        <v/>
      </c>
      <c r="K47" s="1637" t="str">
        <f>IF((LEN(E47)-LEN(SUBSTITUTE(E47,".","")))/LEN(".")=1,"p","")</f>
        <v/>
      </c>
      <c r="L47" s="1637"/>
      <c r="M47" s="1637"/>
      <c r="R47" s="1637"/>
      <c r="U47" s="545"/>
      <c r="AA47" s="1633"/>
      <c r="AB47" s="1633"/>
      <c r="AC47" s="1633"/>
      <c r="AD47" s="1633"/>
      <c r="AE47" s="1633"/>
      <c r="AF47" s="1161">
        <v>0</v>
      </c>
    </row>
    <row s="1367" customFormat="1" customHeight="1" ht="18.75">
      <c r="A48" s="990" t="s">
        <v>585</v>
      </c>
      <c r="C48" s="1637"/>
      <c r="D48" s="1639"/>
      <c r="E48" s="547" t="str">
        <f>FHD_NUM_P_12</f>
        <v>2.3</v>
      </c>
      <c r="F48" s="1525" t="str">
        <f>FHD_P_12</f>
        <v>Расходы на химические реагенты, используемые в технологическом процессе</v>
      </c>
      <c r="G48" s="1879" t="s">
        <v>563</v>
      </c>
      <c r="H48" s="578"/>
      <c r="I48" s="578"/>
      <c r="J48" s="290" t="str">
        <f>FHD_NOTE_P_12</f>
        <v/>
      </c>
      <c r="K48" s="1637" t="str">
        <f>IF((LEN(E48)-LEN(SUBSTITUTE(E48,".","")))/LEN(".")=1,"p","")</f>
        <v>p</v>
      </c>
      <c r="L48" s="1637"/>
      <c r="M48" s="1637"/>
      <c r="R48" s="1637"/>
      <c r="U48" s="545"/>
      <c r="AA48" s="1633"/>
      <c r="AB48" s="1633"/>
      <c r="AC48" s="1633"/>
      <c r="AD48" s="1633"/>
      <c r="AE48" s="1633"/>
      <c r="AF48" s="1161">
        <v>18</v>
      </c>
    </row>
    <row s="1366" customFormat="1" customHeight="1" ht="11.549999999999999">
      <c r="A49" s="989"/>
      <c r="C49" s="731"/>
      <c r="D49" s="674"/>
      <c r="E49" s="547" t="str">
        <f>FHD_NUM_P_13</f>
        <v>2.4</v>
      </c>
      <c r="F49" s="1525"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79" t="s">
        <v>563</v>
      </c>
      <c r="H49" s="558"/>
      <c r="I49" s="558"/>
      <c r="J49" s="290" t="str">
        <f>FHD_NOTE_P_13</f>
        <v>Указывается общая сумма расходов на оплату труда и отчислений на социальные нужды основного производственного персонала.</v>
      </c>
      <c r="K49" s="1637" t="str">
        <f>IF((LEN(E49)-LEN(SUBSTITUTE(E49,".","")))/LEN(".")=1,"p","")</f>
        <v>p</v>
      </c>
      <c r="L49" s="731"/>
      <c r="M49" s="731"/>
      <c r="R49" s="731"/>
      <c r="U49" s="732"/>
      <c r="AA49" s="733"/>
      <c r="AB49" s="733"/>
      <c r="AC49" s="733"/>
      <c r="AD49" s="733"/>
      <c r="AE49" s="733"/>
      <c r="AF49" s="730">
        <v>11</v>
      </c>
    </row>
    <row s="1366" customFormat="1" customHeight="1" ht="11.549999999999999">
      <c r="A50" s="989"/>
      <c r="C50" s="731"/>
      <c r="D50" s="674"/>
      <c r="E50" s="547" t="str">
        <f>FHD_NUM_P_14</f>
        <v>2.4.1</v>
      </c>
      <c r="F50" s="1651" t="str">
        <f>FHD_P_14</f>
        <v>Расходы на оплату труда основного производственного персонала</v>
      </c>
      <c r="G50" s="1879" t="s">
        <v>563</v>
      </c>
      <c r="H50" s="558"/>
      <c r="I50" s="558"/>
      <c r="J50" s="290" t="str">
        <f>FHD_NOTE_P_14</f>
        <v/>
      </c>
      <c r="K50" s="1637" t="str">
        <f>IF((LEN(E50)-LEN(SUBSTITUTE(E50,".","")))/LEN(".")=1,"p","")</f>
        <v/>
      </c>
      <c r="L50" s="731"/>
      <c r="M50" s="731"/>
      <c r="R50" s="731"/>
      <c r="U50" s="732"/>
      <c r="AA50" s="733"/>
      <c r="AB50" s="733"/>
      <c r="AC50" s="733"/>
      <c r="AD50" s="733"/>
      <c r="AE50" s="733"/>
      <c r="AF50" s="730">
        <v>11</v>
      </c>
    </row>
    <row s="1366" customFormat="1" customHeight="1" ht="11.549999999999999">
      <c r="A51" s="989"/>
      <c r="C51" s="731"/>
      <c r="D51" s="674"/>
      <c r="E51" s="547" t="str">
        <f>FHD_NUM_P_15</f>
        <v>2.4.2</v>
      </c>
      <c r="F51" s="1651" t="str">
        <f>FHD_P_15</f>
        <v>Страховые взносы на обязательное социальное страхование, выплачиваемые из фонда оплаты труда основного производственного персонала</v>
      </c>
      <c r="G51" s="1879" t="s">
        <v>563</v>
      </c>
      <c r="H51" s="558"/>
      <c r="I51" s="558"/>
      <c r="J51" s="290" t="str">
        <f>FHD_NOTE_P_15</f>
        <v/>
      </c>
      <c r="K51" s="1637" t="str">
        <f>IF((LEN(E51)-LEN(SUBSTITUTE(E51,".","")))/LEN(".")=1,"p","")</f>
        <v/>
      </c>
      <c r="L51" s="731"/>
      <c r="M51" s="731"/>
      <c r="R51" s="731"/>
      <c r="U51" s="732"/>
      <c r="AA51" s="733"/>
      <c r="AB51" s="733"/>
      <c r="AC51" s="733"/>
      <c r="AD51" s="733"/>
      <c r="AE51" s="733"/>
      <c r="AF51" s="730">
        <v>11</v>
      </c>
    </row>
    <row s="1367" customFormat="1" customHeight="1" ht="11.549999999999999">
      <c r="A52" s="988"/>
      <c r="C52" s="1637"/>
      <c r="D52" s="1639"/>
      <c r="E52" s="547" t="str">
        <f>FHD_NUM_P_16</f>
        <v>2.5</v>
      </c>
      <c r="F52" s="1525"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879" t="s">
        <v>563</v>
      </c>
      <c r="H52" s="558"/>
      <c r="I52" s="558"/>
      <c r="J52" s="290" t="str">
        <f>FHD_NOTE_P_16</f>
        <v>Указывается общая сумма расходов на оплату труда и отчислений на социальные нужды административно-управленческого персонала.</v>
      </c>
      <c r="K52" s="1637" t="str">
        <f>IF((LEN(E52)-LEN(SUBSTITUTE(E52,".","")))/LEN(".")=1,"p","")</f>
        <v>p</v>
      </c>
      <c r="L52" s="1637"/>
      <c r="M52" s="1643"/>
      <c r="N52" s="538"/>
      <c r="O52" s="538"/>
      <c r="R52" s="1637"/>
      <c r="U52" s="545"/>
      <c r="AA52" s="1633"/>
      <c r="AB52" s="1633"/>
      <c r="AC52" s="1633"/>
      <c r="AD52" s="1633"/>
      <c r="AE52" s="1633"/>
      <c r="AF52" s="1161">
        <v>11</v>
      </c>
    </row>
    <row s="1367" customFormat="1" customHeight="1" ht="11.549999999999999">
      <c r="A53" s="988"/>
      <c r="C53" s="1637"/>
      <c r="D53" s="1639"/>
      <c r="E53" s="547" t="str">
        <f>FHD_NUM_P_17</f>
        <v>2.5.1</v>
      </c>
      <c r="F53" s="1651" t="str">
        <f>FHD_P_17</f>
        <v>Расходы на оплату труда административно-управленческого персонала</v>
      </c>
      <c r="G53" s="1879" t="s">
        <v>563</v>
      </c>
      <c r="H53" s="558"/>
      <c r="I53" s="558"/>
      <c r="J53" s="290" t="str">
        <f>FHD_NOTE_P_17</f>
        <v/>
      </c>
      <c r="K53" s="1637" t="str">
        <f>IF((LEN(E53)-LEN(SUBSTITUTE(E53,".","")))/LEN(".")=1,"p","")</f>
        <v/>
      </c>
      <c r="L53" s="1637"/>
      <c r="M53" s="1643"/>
      <c r="N53" s="538"/>
      <c r="O53" s="538"/>
      <c r="R53" s="1637"/>
      <c r="U53" s="545"/>
      <c r="AA53" s="1633"/>
      <c r="AB53" s="1633"/>
      <c r="AC53" s="1633"/>
      <c r="AD53" s="1633"/>
      <c r="AE53" s="1633"/>
      <c r="AF53" s="1161">
        <v>11</v>
      </c>
    </row>
    <row s="1367" customFormat="1" customHeight="1" ht="11.549999999999999">
      <c r="A54" s="988"/>
      <c r="C54" s="1637"/>
      <c r="D54" s="1639"/>
      <c r="E54" s="547" t="str">
        <f>FHD_NUM_P_18</f>
        <v>2.5.2</v>
      </c>
      <c r="F54" s="1651"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79" t="s">
        <v>563</v>
      </c>
      <c r="H54" s="558"/>
      <c r="I54" s="558"/>
      <c r="J54" s="290" t="str">
        <f>FHD_NOTE_P_18</f>
        <v/>
      </c>
      <c r="K54" s="1637" t="str">
        <f>IF((LEN(E54)-LEN(SUBSTITUTE(E54,".","")))/LEN(".")=1,"p","")</f>
        <v/>
      </c>
      <c r="L54" s="1637"/>
      <c r="M54" s="1643"/>
      <c r="N54" s="538"/>
      <c r="O54" s="538"/>
      <c r="R54" s="1637"/>
      <c r="U54" s="545"/>
      <c r="AA54" s="1633"/>
      <c r="AB54" s="1633"/>
      <c r="AC54" s="1633"/>
      <c r="AD54" s="1633"/>
      <c r="AE54" s="1633"/>
      <c r="AF54" s="1161">
        <v>11</v>
      </c>
    </row>
    <row s="1367" customFormat="1" customHeight="1" ht="11.549999999999999">
      <c r="A55" s="988"/>
      <c r="C55" s="1637"/>
      <c r="D55" s="576"/>
      <c r="E55" s="547" t="str">
        <f>FHD_NUM_P_19</f>
        <v>2.6</v>
      </c>
      <c r="F55" s="1525" t="str">
        <f>FHD_P_19</f>
        <v>Расходы на амортизацию основных средств и нематериальных активов</v>
      </c>
      <c r="G55" s="1879" t="s">
        <v>563</v>
      </c>
      <c r="H55" s="558"/>
      <c r="I55" s="558"/>
      <c r="J55" s="290" t="str">
        <f>FHD_NOTE_P_19</f>
        <v/>
      </c>
      <c r="K55" s="1637" t="str">
        <f>IF((LEN(E55)-LEN(SUBSTITUTE(E55,".","")))/LEN(".")=1,"p","")</f>
        <v>p</v>
      </c>
      <c r="L55" s="1637"/>
      <c r="M55" s="1637"/>
      <c r="R55" s="1637"/>
      <c r="U55" s="545"/>
      <c r="AA55" s="1633"/>
      <c r="AB55" s="1633"/>
      <c r="AC55" s="1633"/>
      <c r="AD55" s="1633"/>
      <c r="AE55" s="1633"/>
      <c r="AF55" s="1161">
        <v>11</v>
      </c>
    </row>
    <row s="1367" customFormat="1" customHeight="1" ht="11.549999999999999">
      <c r="A56" s="988"/>
      <c r="C56" s="1637"/>
      <c r="D56" s="576"/>
      <c r="E56" s="547" t="str">
        <f>FHD_NUM_P_20</f>
        <v>2.6.1</v>
      </c>
      <c r="F56" s="1651" t="str">
        <f>FHD_P_20</f>
        <v>Расходы на амортизацию основных средств</v>
      </c>
      <c r="G56" s="1879" t="s">
        <v>563</v>
      </c>
      <c r="H56" s="558"/>
      <c r="I56" s="558"/>
      <c r="J56" s="290" t="str">
        <f>FHD_NOTE_P_20</f>
        <v/>
      </c>
      <c r="K56" s="1637" t="str">
        <f>IF((LEN(E56)-LEN(SUBSTITUTE(E56,".","")))/LEN(".")=1,"p","")</f>
        <v/>
      </c>
      <c r="L56" s="1637"/>
      <c r="M56" s="1637"/>
      <c r="R56" s="1637"/>
      <c r="U56" s="545"/>
      <c r="AA56" s="1633"/>
      <c r="AB56" s="1633"/>
      <c r="AC56" s="1633"/>
      <c r="AD56" s="1633"/>
      <c r="AE56" s="1633"/>
      <c r="AF56" s="1161">
        <v>11</v>
      </c>
    </row>
    <row s="1367" customFormat="1" customHeight="1" ht="11.549999999999999">
      <c r="A57" s="988"/>
      <c r="C57" s="1637"/>
      <c r="D57" s="576"/>
      <c r="E57" s="547" t="str">
        <f>FHD_NUM_P_21</f>
        <v>2.6.2</v>
      </c>
      <c r="F57" s="1651" t="str">
        <f>FHD_P_21</f>
        <v>Расходы на амортизацию нематериальных активов</v>
      </c>
      <c r="G57" s="1879" t="s">
        <v>563</v>
      </c>
      <c r="H57" s="558"/>
      <c r="I57" s="558"/>
      <c r="J57" s="290" t="str">
        <f>FHD_NOTE_P_21</f>
        <v/>
      </c>
      <c r="K57" s="1637" t="str">
        <f>IF((LEN(E57)-LEN(SUBSTITUTE(E57,".","")))/LEN(".")=1,"p","")</f>
        <v/>
      </c>
      <c r="L57" s="1637"/>
      <c r="M57" s="1637"/>
      <c r="R57" s="1637"/>
      <c r="U57" s="545"/>
      <c r="AA57" s="1633"/>
      <c r="AB57" s="1633"/>
      <c r="AC57" s="1633"/>
      <c r="AD57" s="1633"/>
      <c r="AE57" s="1633"/>
      <c r="AF57" s="1161">
        <v>11</v>
      </c>
    </row>
    <row s="1367" customFormat="1" customHeight="1" ht="11.549999999999999">
      <c r="A58" s="988"/>
      <c r="C58" s="1637"/>
      <c r="D58" s="1639"/>
      <c r="E58" s="547" t="str">
        <f>FHD_NUM_P_22</f>
        <v>2.7</v>
      </c>
      <c r="F58" s="1525" t="str">
        <f>FHD_P_22</f>
        <v>Расходы на аренду имущества, используемого для осуществления регулируемых видов деятельности в сфере холодного водоснабжения</v>
      </c>
      <c r="G58" s="1879" t="s">
        <v>563</v>
      </c>
      <c r="H58" s="558"/>
      <c r="I58" s="558"/>
      <c r="J58" s="290" t="str">
        <f>FHD_NOTE_P_22</f>
        <v/>
      </c>
      <c r="K58" s="1637" t="str">
        <f>IF((LEN(E58)-LEN(SUBSTITUTE(E58,".","")))/LEN(".")=1,"p","")</f>
        <v>p</v>
      </c>
      <c r="L58" s="1637"/>
      <c r="M58" s="1637"/>
      <c r="R58" s="1637"/>
      <c r="U58" s="545"/>
      <c r="AA58" s="1633"/>
      <c r="AB58" s="1633"/>
      <c r="AC58" s="1633"/>
      <c r="AD58" s="1633"/>
      <c r="AE58" s="1633"/>
      <c r="AF58" s="1161">
        <v>11</v>
      </c>
    </row>
    <row s="1367" customFormat="1" customHeight="1" ht="11.549999999999999">
      <c r="A59" s="988"/>
      <c r="C59" s="1637"/>
      <c r="D59" s="576"/>
      <c r="E59" s="547" t="str">
        <f>FHD_NUM_P_23</f>
        <v>2.8</v>
      </c>
      <c r="F59" s="1525" t="str">
        <f>FHD_P_23</f>
        <v>Общепроизводственные расходы, в том числе:</v>
      </c>
      <c r="G59" s="1879" t="s">
        <v>563</v>
      </c>
      <c r="H59" s="558"/>
      <c r="I59" s="558"/>
      <c r="J59" s="290" t="str">
        <f>FHD_NOTE_P_23</f>
        <v>Указывается общая сумма общепроизводственных расходов.</v>
      </c>
      <c r="K59" s="1637" t="str">
        <f>IF((LEN(E59)-LEN(SUBSTITUTE(E59,".","")))/LEN(".")=1,"p","")</f>
        <v>p</v>
      </c>
      <c r="L59" s="1637"/>
      <c r="M59" s="1637"/>
      <c r="R59" s="1637"/>
      <c r="U59" s="545"/>
      <c r="AA59" s="1633"/>
      <c r="AB59" s="1633"/>
      <c r="AC59" s="1633"/>
      <c r="AD59" s="1633"/>
      <c r="AE59" s="1633"/>
      <c r="AF59" s="1161">
        <v>11</v>
      </c>
    </row>
    <row s="1367" customFormat="1" customHeight="1" ht="11.549999999999999">
      <c r="A60" s="988"/>
      <c r="C60" s="1637"/>
      <c r="D60" s="576"/>
      <c r="E60" s="547" t="str">
        <f>FHD_NUM_P_24</f>
        <v>2.8.1</v>
      </c>
      <c r="F60" s="1651" t="str">
        <f>FHD_P_24</f>
        <v>Расходы на текущий ремонт</v>
      </c>
      <c r="G60" s="1879" t="s">
        <v>563</v>
      </c>
      <c r="H60" s="558"/>
      <c r="I60" s="558"/>
      <c r="J60" s="290" t="str">
        <f>FHD_NOTE_P_24</f>
        <v>Указываются расходы на текущий ремонт, отнесенные к общепроизводственным расходам.</v>
      </c>
      <c r="K60" s="1637" t="str">
        <f>IF((LEN(E60)-LEN(SUBSTITUTE(E60,".","")))/LEN(".")=1,"p","")</f>
        <v/>
      </c>
      <c r="L60" s="1637"/>
      <c r="M60" s="1637"/>
      <c r="R60" s="1637"/>
      <c r="U60" s="545"/>
      <c r="AA60" s="1633"/>
      <c r="AB60" s="1633"/>
      <c r="AC60" s="1633"/>
      <c r="AD60" s="1633"/>
      <c r="AE60" s="1633"/>
      <c r="AF60" s="1161">
        <v>11</v>
      </c>
    </row>
    <row s="1367" customFormat="1" customHeight="1" ht="11.549999999999999">
      <c r="A61" s="988"/>
      <c r="C61" s="1637"/>
      <c r="D61" s="576"/>
      <c r="E61" s="547" t="str">
        <f>FHD_NUM_P_25</f>
        <v>2.8.2</v>
      </c>
      <c r="F61" s="1651" t="str">
        <f>FHD_P_25</f>
        <v>Расходы на капитальный ремонт</v>
      </c>
      <c r="G61" s="1879" t="s">
        <v>563</v>
      </c>
      <c r="H61" s="558"/>
      <c r="I61" s="558"/>
      <c r="J61" s="290" t="str">
        <f>FHD_NOTE_P_25</f>
        <v>Указываются расходы на капитальный ремонт, отнесенные к общепроизводственным расходам.</v>
      </c>
      <c r="K61" s="1637" t="str">
        <f>IF((LEN(E61)-LEN(SUBSTITUTE(E61,".","")))/LEN(".")=1,"p","")</f>
        <v/>
      </c>
      <c r="L61" s="1637"/>
      <c r="M61" s="1637"/>
      <c r="R61" s="1637"/>
      <c r="U61" s="545"/>
      <c r="AA61" s="1633"/>
      <c r="AB61" s="1633"/>
      <c r="AC61" s="1633"/>
      <c r="AD61" s="1633"/>
      <c r="AE61" s="1633"/>
      <c r="AF61" s="1161">
        <v>11</v>
      </c>
    </row>
    <row s="1367" customFormat="1" customHeight="1" ht="11.549999999999999">
      <c r="A62" s="988"/>
      <c r="C62" s="1637"/>
      <c r="D62" s="1639"/>
      <c r="E62" s="547" t="str">
        <f>FHD_NUM_P_26</f>
        <v>2.9</v>
      </c>
      <c r="F62" s="1525" t="str">
        <f>FHD_P_26</f>
        <v>Общехозяйственные расходы, в том числе:</v>
      </c>
      <c r="G62" s="1879" t="s">
        <v>563</v>
      </c>
      <c r="H62" s="558"/>
      <c r="I62" s="558"/>
      <c r="J62" s="290" t="str">
        <f>FHD_NOTE_P_26</f>
        <v>Указывается общая сумма общехозяйственных расходов.</v>
      </c>
      <c r="K62" s="1637" t="str">
        <f>IF((LEN(E62)-LEN(SUBSTITUTE(E62,".","")))/LEN(".")=1,"p","")</f>
        <v>p</v>
      </c>
      <c r="L62" s="1637"/>
      <c r="M62" s="1637"/>
      <c r="R62" s="1637"/>
      <c r="U62" s="545"/>
      <c r="AA62" s="1633"/>
      <c r="AB62" s="1633"/>
      <c r="AC62" s="1633"/>
      <c r="AD62" s="1633"/>
      <c r="AE62" s="1633"/>
      <c r="AF62" s="1161">
        <v>11</v>
      </c>
    </row>
    <row s="1367" customFormat="1" customHeight="1" ht="11.549999999999999">
      <c r="A63" s="988"/>
      <c r="C63" s="1637"/>
      <c r="D63" s="1639"/>
      <c r="E63" s="547" t="str">
        <f>FHD_NUM_P_27</f>
        <v>2.9.1</v>
      </c>
      <c r="F63" s="1651" t="str">
        <f>FHD_P_27</f>
        <v>Расходы на текущий ремонт</v>
      </c>
      <c r="G63" s="1879" t="s">
        <v>563</v>
      </c>
      <c r="H63" s="558"/>
      <c r="I63" s="558"/>
      <c r="J63" s="290" t="str">
        <f>FHD_NOTE_P_27</f>
        <v>Указываются расходы на текущий ремонт, отнесенные к общехозяйственным расходам.</v>
      </c>
      <c r="K63" s="1637" t="str">
        <f>IF((LEN(E63)-LEN(SUBSTITUTE(E63,".","")))/LEN(".")=1,"p","")</f>
        <v/>
      </c>
      <c r="L63" s="1637"/>
      <c r="M63" s="1637"/>
      <c r="R63" s="1637"/>
      <c r="U63" s="545"/>
      <c r="AA63" s="1633"/>
      <c r="AB63" s="1633"/>
      <c r="AC63" s="1633"/>
      <c r="AD63" s="1633"/>
      <c r="AE63" s="1633"/>
      <c r="AF63" s="1161">
        <v>11</v>
      </c>
    </row>
    <row s="1367" customFormat="1" customHeight="1" ht="11.549999999999999">
      <c r="A64" s="988"/>
      <c r="C64" s="1637"/>
      <c r="D64" s="1639"/>
      <c r="E64" s="547" t="str">
        <f>FHD_NUM_P_28</f>
        <v>2.9.2</v>
      </c>
      <c r="F64" s="1651" t="str">
        <f>FHD_P_28</f>
        <v>Расходы на капитальный ремонт</v>
      </c>
      <c r="G64" s="1879" t="s">
        <v>563</v>
      </c>
      <c r="H64" s="558"/>
      <c r="I64" s="558"/>
      <c r="J64" s="290" t="str">
        <f>FHD_NOTE_P_28</f>
        <v>Указываются расходы на капитальный ремонт, отнесенные к общехозяйственным расходам.</v>
      </c>
      <c r="K64" s="1637" t="str">
        <f>IF((LEN(E64)-LEN(SUBSTITUTE(E64,".","")))/LEN(".")=1,"p","")</f>
        <v/>
      </c>
      <c r="L64" s="1637"/>
      <c r="M64" s="1637"/>
      <c r="R64" s="1637"/>
      <c r="U64" s="545"/>
      <c r="AA64" s="1633"/>
      <c r="AB64" s="1633"/>
      <c r="AC64" s="1633"/>
      <c r="AD64" s="1633"/>
      <c r="AE64" s="1633"/>
      <c r="AF64" s="1161">
        <v>11</v>
      </c>
    </row>
    <row s="1367" customFormat="1" customHeight="1" ht="11.549999999999999">
      <c r="A65" s="988"/>
      <c r="C65" s="1637"/>
      <c r="D65" s="1639"/>
      <c r="E65" s="547" t="str">
        <f>FHD_NUM_P_29</f>
        <v>2.10</v>
      </c>
      <c r="F65" s="1525" t="str">
        <f>FHD_P_29</f>
        <v>Расходы на капитальный и текущий ремонт основных средств</v>
      </c>
      <c r="G65" s="1879" t="s">
        <v>563</v>
      </c>
      <c r="H65" s="558"/>
      <c r="I65" s="558"/>
      <c r="J65" s="290"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37" t="str">
        <f>IF((LEN(E65)-LEN(SUBSTITUTE(E65,".","")))/LEN(".")=1,"p","")</f>
        <v>p</v>
      </c>
      <c r="L65" s="1637"/>
      <c r="M65" s="1637"/>
      <c r="R65" s="1637"/>
      <c r="U65" s="545"/>
      <c r="AA65" s="1633"/>
      <c r="AB65" s="1633"/>
      <c r="AC65" s="1633"/>
      <c r="AD65" s="1633"/>
      <c r="AE65" s="1633"/>
      <c r="AF65" s="1161">
        <v>11</v>
      </c>
    </row>
    <row s="1367" customFormat="1" customHeight="1" ht="11.549999999999999">
      <c r="A66" s="988"/>
      <c r="C66" s="1637"/>
      <c r="D66" s="1639"/>
      <c r="E66" s="547" t="str">
        <f>FHD_NUM_P_30</f>
        <v>2.10.1</v>
      </c>
      <c r="F66" s="1651"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79" t="s">
        <v>318</v>
      </c>
      <c r="H66" s="1650" t="s">
        <v>586</v>
      </c>
      <c r="I66" s="1650" t="s">
        <v>586</v>
      </c>
      <c r="J66" s="290" t="str">
        <f>FHD_NOTE_P_30</f>
        <v/>
      </c>
      <c r="K66" s="1637" t="str">
        <f>IF((LEN(E66)-LEN(SUBSTITUTE(E66,".","")))/LEN(".")=1,"p","")</f>
        <v/>
      </c>
      <c r="L66" s="1637">
        <f>_xlfn.IFERROR(MATCH("есть",B_FHD_FLAG_INDEX_1,0),0)</f>
        <v>0</v>
      </c>
      <c r="M66" s="1637"/>
      <c r="R66" s="1637"/>
      <c r="U66" s="545"/>
      <c r="AA66" s="1633"/>
      <c r="AB66" s="1633"/>
      <c r="AC66" s="1633"/>
      <c r="AD66" s="1633"/>
      <c r="AE66" s="1633"/>
      <c r="AF66" s="1161">
        <v>11</v>
      </c>
    </row>
    <row s="1367" customFormat="1" customHeight="1" ht="23.25">
      <c r="A67" s="2372" t="s">
        <v>587</v>
      </c>
      <c r="C67" s="1637"/>
      <c r="D67" s="1639"/>
      <c r="E67" s="547" t="str">
        <f>FHD_NUM_P_31</f>
        <v>2.11</v>
      </c>
      <c r="F67" s="1525"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1879" t="s">
        <v>563</v>
      </c>
      <c r="H67" s="558"/>
      <c r="I67" s="558"/>
      <c r="J67" s="290"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637" t="str">
        <f>IF((LEN(E67)-LEN(SUBSTITUTE(E67,".","")))/LEN(".")=1,"p","")</f>
        <v>p</v>
      </c>
      <c r="L67" s="1637"/>
      <c r="M67" s="1637"/>
      <c r="R67" s="1637"/>
      <c r="U67" s="545"/>
      <c r="AA67" s="1633"/>
      <c r="AB67" s="1633"/>
      <c r="AC67" s="1633"/>
      <c r="AD67" s="1633"/>
      <c r="AE67" s="1633"/>
      <c r="AF67" s="1161">
        <v>22</v>
      </c>
    </row>
    <row s="1367" customFormat="1" customHeight="1" ht="47.25">
      <c r="A68" s="2372"/>
      <c r="C68" s="1637"/>
      <c r="D68" s="1639"/>
      <c r="E68" s="547" t="str">
        <f>FHD_NUM_P_32</f>
        <v>2.11.1</v>
      </c>
      <c r="F68" s="1651"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879" t="s">
        <v>318</v>
      </c>
      <c r="H68" s="1650" t="s">
        <v>586</v>
      </c>
      <c r="I68" s="1650" t="s">
        <v>586</v>
      </c>
      <c r="J68" s="290" t="str">
        <f>FHD_NOTE_P_32</f>
        <v/>
      </c>
      <c r="K68" s="1637" t="str">
        <f>IF((LEN(E68)-LEN(SUBSTITUTE(E68,".","")))/LEN(".")=1,"p","")</f>
        <v/>
      </c>
      <c r="L68" s="1637">
        <f>_xlfn.IFERROR(MATCH("есть",B_FHD_FLAG_INDEX_2,0),0)</f>
        <v>0</v>
      </c>
      <c r="M68" s="1637"/>
      <c r="R68" s="1637"/>
      <c r="U68" s="545"/>
      <c r="AA68" s="1633"/>
      <c r="AB68" s="1633"/>
      <c r="AC68" s="1633"/>
      <c r="AD68" s="1633"/>
      <c r="AE68" s="1633"/>
      <c r="AF68" s="1161">
        <v>45</v>
      </c>
    </row>
    <row s="1367" customFormat="1" customHeight="1" ht="11.549999999999999">
      <c r="A69" s="988"/>
      <c r="C69" s="1637"/>
      <c r="D69" s="1639"/>
      <c r="E69" s="547" t="str">
        <f>FHD_NUM_P_33</f>
        <v>2.12</v>
      </c>
      <c r="F69" s="1525"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1880" t="s">
        <v>563</v>
      </c>
      <c r="H69" s="580">
        <f>SUM(H70:H71)</f>
        <v>0</v>
      </c>
      <c r="I69" s="580">
        <f>SUM(I70:I71)</f>
        <v>0</v>
      </c>
      <c r="J69" s="290"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637" t="str">
        <f>IF((LEN(E69)-LEN(SUBSTITUTE(E69,".","")))/LEN(".")=1,"p","")</f>
        <v>p</v>
      </c>
      <c r="L69" s="1637"/>
      <c r="M69" s="1637"/>
      <c r="R69" s="1637"/>
      <c r="U69" s="545"/>
      <c r="AA69" s="1633"/>
      <c r="AB69" s="1633"/>
      <c r="AC69" s="1633"/>
      <c r="AD69" s="1633"/>
      <c r="AE69" s="1633"/>
      <c r="AF69" s="1161">
        <v>11</v>
      </c>
    </row>
    <row s="1643" customFormat="1" customHeight="1" ht="1.05">
      <c r="A70" s="1168"/>
      <c r="D70" s="549"/>
      <c r="E70" s="1014" t="str">
        <f>E69&amp;".0"</f>
        <v>2.12.0</v>
      </c>
      <c r="F70" s="992"/>
      <c r="G70" s="1014"/>
      <c r="H70" s="993"/>
      <c r="I70" s="993"/>
      <c r="J70" s="994"/>
      <c r="K70" s="1637" t="str">
        <f>IF((LEN(E70)-LEN(SUBSTITUTE(E70,".","")))/LEN(".")=1,"p","")</f>
        <v/>
      </c>
      <c r="AF70" s="1637">
        <v>1</v>
      </c>
    </row>
    <row s="1367" customFormat="1" customHeight="1" ht="14.699999999999998">
      <c r="A71" s="988"/>
      <c r="C71" s="1637"/>
      <c r="D71" s="1634"/>
      <c r="E71" s="571"/>
      <c r="F71" s="572" t="s">
        <v>588</v>
      </c>
      <c r="G71" s="573"/>
      <c r="H71" s="574"/>
      <c r="I71" s="574"/>
      <c r="J71" s="302"/>
      <c r="K71" s="1637"/>
      <c r="L71" s="1637"/>
      <c r="M71" s="1637"/>
      <c r="R71" s="1637"/>
      <c r="U71" s="545"/>
      <c r="AA71" s="1633"/>
      <c r="AB71" s="1633"/>
      <c r="AC71" s="1633"/>
      <c r="AD71" s="1633"/>
      <c r="AE71" s="1633"/>
      <c r="AF71" s="1161">
        <v>14</v>
      </c>
    </row>
    <row s="1367" customFormat="1" customHeight="1" ht="18.75" hidden="1">
      <c r="A72" s="990" t="s">
        <v>589</v>
      </c>
      <c r="C72" s="1637"/>
      <c r="D72" s="1639"/>
      <c r="E72" s="547" t="str">
        <f>FHD_NUM_P_34</f>
        <v/>
      </c>
      <c r="F72" s="1881" t="str">
        <f>FHD_P_34</f>
        <v/>
      </c>
      <c r="G72" s="1879" t="s">
        <v>563</v>
      </c>
      <c r="H72" s="558"/>
      <c r="I72" s="558"/>
      <c r="J72" s="290" t="str">
        <f>FHD_NOTE_P_34</f>
        <v/>
      </c>
      <c r="K72" s="544"/>
      <c r="L72" s="1637"/>
      <c r="M72" s="1637"/>
      <c r="R72" s="1637"/>
      <c r="U72" s="545"/>
      <c r="AA72" s="1633"/>
      <c r="AB72" s="1633"/>
      <c r="AC72" s="1633"/>
      <c r="AD72" s="1633"/>
      <c r="AE72" s="1633"/>
      <c r="AF72" s="1161">
        <v>0</v>
      </c>
    </row>
    <row s="1367" customFormat="1" customHeight="1" ht="19.95">
      <c r="A73" s="988"/>
      <c r="C73" s="1637"/>
      <c r="D73" s="576"/>
      <c r="E73" s="547" t="str">
        <f>FHD_NUM_P_35</f>
        <v>3</v>
      </c>
      <c r="F73" s="1881" t="str">
        <f>FHD_P_35</f>
        <v>Чистая прибыль, полученная от регулируемого вида деятельности в сфере холодного водоснабжения, в том числе:</v>
      </c>
      <c r="G73" s="1879" t="s">
        <v>563</v>
      </c>
      <c r="H73" s="558"/>
      <c r="I73" s="558"/>
      <c r="J73" s="290" t="str">
        <f>FHD_NOTE_P_35</f>
        <v>Указывается общая сумма чистой прибыли, полученной от регулируемого вида деятельности.</v>
      </c>
      <c r="K73" s="544"/>
      <c r="L73" s="1637"/>
      <c r="M73" s="1637"/>
      <c r="R73" s="1637"/>
      <c r="U73" s="545"/>
      <c r="AA73" s="1633"/>
      <c r="AB73" s="1633"/>
      <c r="AC73" s="1633"/>
      <c r="AD73" s="1633"/>
      <c r="AE73" s="1633"/>
      <c r="AF73" s="1161">
        <v>19</v>
      </c>
    </row>
    <row s="1367" customFormat="1" customHeight="1" ht="19.95">
      <c r="A74" s="988"/>
      <c r="C74" s="1637"/>
      <c r="D74" s="1639"/>
      <c r="E74" s="547" t="str">
        <f>FHD_NUM_P_36</f>
        <v>3.1</v>
      </c>
      <c r="F74" s="1525"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79" t="s">
        <v>563</v>
      </c>
      <c r="H74" s="558"/>
      <c r="I74" s="558"/>
      <c r="J74" s="290" t="str">
        <f>FHD_NOTE_P_36</f>
        <v/>
      </c>
      <c r="K74" s="544"/>
      <c r="L74" s="1637"/>
      <c r="M74" s="1637"/>
      <c r="R74" s="1637"/>
      <c r="U74" s="545"/>
      <c r="AA74" s="1633"/>
      <c r="AB74" s="1633"/>
      <c r="AC74" s="1633"/>
      <c r="AD74" s="1633"/>
      <c r="AE74" s="1633"/>
      <c r="AF74" s="1161">
        <v>19</v>
      </c>
    </row>
    <row s="1367" customFormat="1" customHeight="1" ht="19.95">
      <c r="A75" s="988"/>
      <c r="C75" s="1637"/>
      <c r="D75" s="1639"/>
      <c r="E75" s="547" t="str">
        <f>FHD_NUM_P_37</f>
        <v>4</v>
      </c>
      <c r="F75" s="1881" t="str">
        <f>FHD_P_37</f>
        <v>Изменение стоимости основных фондов, в том числе:</v>
      </c>
      <c r="G75" s="1879" t="s">
        <v>563</v>
      </c>
      <c r="H75" s="558"/>
      <c r="I75" s="558"/>
      <c r="J75" s="290" t="str">
        <f>FHD_NOTE_P_37</f>
        <v>Указывается общее изменение стоимости основных фондов.</v>
      </c>
      <c r="K75" s="544"/>
      <c r="L75" s="1637"/>
      <c r="M75" s="1637"/>
      <c r="R75" s="1637"/>
      <c r="U75" s="545"/>
      <c r="AA75" s="1633"/>
      <c r="AB75" s="1633"/>
      <c r="AC75" s="1633"/>
      <c r="AD75" s="1633"/>
      <c r="AE75" s="1633"/>
      <c r="AF75" s="1161">
        <v>19</v>
      </c>
    </row>
    <row s="1367" customFormat="1" customHeight="1" ht="19.95">
      <c r="A76" s="988"/>
      <c r="C76" s="1637"/>
      <c r="D76" s="1639"/>
      <c r="E76" s="547" t="str">
        <f>FHD_NUM_P_38</f>
        <v>4.1</v>
      </c>
      <c r="F76" s="1525" t="str">
        <f>FHD_P_38</f>
        <v>Изменение стоимости основных фондов за счет их ввода в эксплуатацию (вывода из эксплуатации)</v>
      </c>
      <c r="G76" s="1879" t="s">
        <v>563</v>
      </c>
      <c r="H76" s="558"/>
      <c r="I76" s="558"/>
      <c r="J76" s="290" t="str">
        <f>FHD_NOTE_P_38</f>
        <v>Указываются общее изменение стоимости основных фондов за счет их ввода в эксплуатацию и вывода из эксплуатации.</v>
      </c>
      <c r="K76" s="544"/>
      <c r="L76" s="1637"/>
      <c r="M76" s="1637"/>
      <c r="R76" s="1637"/>
      <c r="U76" s="545"/>
      <c r="AA76" s="1633"/>
      <c r="AB76" s="1633"/>
      <c r="AC76" s="1633"/>
      <c r="AD76" s="1633"/>
      <c r="AE76" s="1633"/>
      <c r="AF76" s="1161">
        <v>19</v>
      </c>
    </row>
    <row s="1367" customFormat="1" customHeight="1" ht="19.95">
      <c r="A77" s="988"/>
      <c r="C77" s="1637"/>
      <c r="D77" s="1639"/>
      <c r="E77" s="547" t="str">
        <f>FHD_NUM_P_39</f>
        <v>4.1.1</v>
      </c>
      <c r="F77" s="1651" t="str">
        <f>FHD_P_39</f>
        <v>Изменение стоимости основных фондов за счет их ввода в эксплуатацию</v>
      </c>
      <c r="G77" s="2073" t="s">
        <v>563</v>
      </c>
      <c r="H77" s="558"/>
      <c r="I77" s="558"/>
      <c r="J77" s="290" t="str">
        <f>FHD_NOTE_P_39</f>
        <v>Указываются изменение стоимости основных фондов за счет их ввода в эксплуатацию.</v>
      </c>
      <c r="K77" s="544"/>
      <c r="L77" s="1637"/>
      <c r="M77" s="1637"/>
      <c r="R77" s="1637"/>
      <c r="U77" s="545"/>
      <c r="AA77" s="1633"/>
      <c r="AB77" s="1633"/>
      <c r="AC77" s="1633"/>
      <c r="AD77" s="1633"/>
      <c r="AE77" s="1633"/>
      <c r="AF77" s="1161">
        <v>19</v>
      </c>
    </row>
    <row s="1367" customFormat="1" customHeight="1" ht="19.95">
      <c r="A78" s="988"/>
      <c r="C78" s="1637"/>
      <c r="D78" s="1639"/>
      <c r="E78" s="547" t="str">
        <f>FHD_NUM_P_40</f>
        <v>4.1.2</v>
      </c>
      <c r="F78" s="2077" t="str">
        <f>FHD_P_40</f>
        <v>Изменение стоимости основных фондов за счет их вывода в эксплуатацию</v>
      </c>
      <c r="G78" s="2072" t="s">
        <v>563</v>
      </c>
      <c r="H78" s="977"/>
      <c r="I78" s="558"/>
      <c r="J78" s="290" t="str">
        <f>FHD_NOTE_P_40</f>
        <v>Указываются изменение стоимости основных фондов за счет их вывода из эксплуатации.</v>
      </c>
      <c r="K78" s="544"/>
      <c r="L78" s="1637"/>
      <c r="M78" s="1637"/>
      <c r="R78" s="1637"/>
      <c r="U78" s="545"/>
      <c r="AA78" s="1633"/>
      <c r="AB78" s="1633"/>
      <c r="AC78" s="1633"/>
      <c r="AD78" s="1633"/>
      <c r="AE78" s="1633"/>
      <c r="AF78" s="1161">
        <v>19</v>
      </c>
    </row>
    <row s="1367" customFormat="1" customHeight="1" ht="19.95">
      <c r="A79" s="988"/>
      <c r="C79" s="1637"/>
      <c r="D79" s="1639"/>
      <c r="E79" s="547" t="str">
        <f>FHD_NUM_P_41</f>
        <v>4.2</v>
      </c>
      <c r="F79" s="2076" t="str">
        <f>FHD_P_41</f>
        <v>Изменение стоимости основных фондов за счет их переоценки</v>
      </c>
      <c r="G79" s="2072" t="s">
        <v>563</v>
      </c>
      <c r="H79" s="977"/>
      <c r="I79" s="558"/>
      <c r="J79" s="290" t="str">
        <f>FHD_NOTE_P_41</f>
        <v/>
      </c>
      <c r="K79" s="544"/>
      <c r="L79" s="1637"/>
      <c r="M79" s="1637"/>
      <c r="R79" s="1637"/>
      <c r="U79" s="545"/>
      <c r="AA79" s="1633"/>
      <c r="AB79" s="1633"/>
      <c r="AC79" s="1633"/>
      <c r="AD79" s="1633"/>
      <c r="AE79" s="1633"/>
      <c r="AF79" s="1161">
        <v>19</v>
      </c>
    </row>
    <row s="1367" customFormat="1" customHeight="1" ht="19.95">
      <c r="A80" s="990" t="s">
        <v>590</v>
      </c>
      <c r="C80" s="1637"/>
      <c r="D80" s="1639"/>
      <c r="E80" s="547" t="str">
        <f>FHD_NUM_P_42</f>
        <v>5</v>
      </c>
      <c r="F80" s="2074" t="str">
        <f>FHD_P_42</f>
        <v>Валовая прибыль (убытки) от продажи товаров и услуг по регулируемым видам деятельности в сфере холодного водоснабжения</v>
      </c>
      <c r="G80" s="2072" t="s">
        <v>563</v>
      </c>
      <c r="H80" s="977"/>
      <c r="I80" s="558"/>
      <c r="J80" s="290" t="str">
        <f>FHD_NOTE_P_42</f>
        <v/>
      </c>
      <c r="K80" s="544"/>
      <c r="L80" s="1637"/>
      <c r="M80" s="1637"/>
      <c r="R80" s="1637"/>
      <c r="U80" s="545"/>
      <c r="AA80" s="1633"/>
      <c r="AB80" s="1633"/>
      <c r="AC80" s="1633"/>
      <c r="AD80" s="1633"/>
      <c r="AE80" s="1633"/>
      <c r="AF80" s="1161">
        <v>19</v>
      </c>
    </row>
    <row s="1367" customFormat="1" customHeight="1" ht="19.95">
      <c r="A81" s="988"/>
      <c r="C81" s="1637"/>
      <c r="D81" s="1639"/>
      <c r="E81" s="547" t="str">
        <f>FHD_NUM_P_43</f>
        <v>6</v>
      </c>
      <c r="F81" s="1881" t="str">
        <f>FHD_P_43</f>
        <v>Годовая бухгалтерская (финансовая) отчетность, включая бухгалтерский баланс и приложения к нему</v>
      </c>
      <c r="G81" s="2075" t="s">
        <v>318</v>
      </c>
      <c r="H81" s="1056"/>
      <c r="I81" s="819"/>
      <c r="J81" s="290"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544"/>
      <c r="L81" s="1637"/>
      <c r="M81" s="1637"/>
      <c r="R81" s="1637"/>
      <c r="U81" s="545"/>
      <c r="AA81" s="1633"/>
      <c r="AB81" s="1633"/>
      <c r="AC81" s="1633"/>
      <c r="AD81" s="1633"/>
      <c r="AE81" s="1633"/>
      <c r="AF81" s="1161">
        <v>19</v>
      </c>
    </row>
    <row s="1367" customFormat="1" customHeight="1" ht="18.75">
      <c r="A82" s="2372" t="s">
        <v>591</v>
      </c>
      <c r="C82" s="736"/>
      <c r="D82" s="734"/>
      <c r="E82" s="547" t="str">
        <f>FHD_NUM_P_44</f>
        <v>7</v>
      </c>
      <c r="F82" s="1881" t="str">
        <f>FHD_P_44</f>
        <v>Объём поднятой воды</v>
      </c>
      <c r="G82" s="1882" t="s">
        <v>592</v>
      </c>
      <c r="H82" s="978"/>
      <c r="I82" s="578"/>
      <c r="J82" s="290" t="str">
        <f>FHD_NOTE_P_44</f>
        <v/>
      </c>
      <c r="K82" s="735"/>
      <c r="L82" s="736"/>
      <c r="M82" s="736"/>
      <c r="R82" s="736"/>
      <c r="U82" s="737"/>
      <c r="AA82" s="738"/>
      <c r="AB82" s="738"/>
      <c r="AC82" s="738"/>
      <c r="AD82" s="738"/>
      <c r="AE82" s="738"/>
      <c r="AF82" s="911">
        <v>0</v>
      </c>
    </row>
    <row s="1367" customFormat="1" customHeight="1" ht="18.75">
      <c r="A83" s="2372"/>
      <c r="C83" s="736"/>
      <c r="D83" s="734"/>
      <c r="E83" s="547" t="str">
        <f>FHD_NUM_P_45</f>
        <v>8</v>
      </c>
      <c r="F83" s="1881" t="str">
        <f>FHD_P_45</f>
        <v>Объём покупной воды</v>
      </c>
      <c r="G83" s="1882" t="s">
        <v>592</v>
      </c>
      <c r="H83" s="978"/>
      <c r="I83" s="578"/>
      <c r="J83" s="290" t="str">
        <f>FHD_NOTE_P_45</f>
        <v/>
      </c>
      <c r="K83" s="735"/>
      <c r="L83" s="736"/>
      <c r="M83" s="736"/>
      <c r="R83" s="736"/>
      <c r="U83" s="737"/>
      <c r="AA83" s="738"/>
      <c r="AB83" s="738"/>
      <c r="AC83" s="738"/>
      <c r="AD83" s="738"/>
      <c r="AE83" s="738"/>
      <c r="AF83" s="911">
        <v>0</v>
      </c>
    </row>
    <row s="1367" customFormat="1" customHeight="1" ht="18.75">
      <c r="A84" s="2372"/>
      <c r="C84" s="736"/>
      <c r="D84" s="739"/>
      <c r="E84" s="547" t="str">
        <f>FHD_NUM_P_46</f>
        <v>9</v>
      </c>
      <c r="F84" s="1881" t="str">
        <f>FHD_P_46</f>
        <v>Объём воды, пропущенной через очистные сооружения</v>
      </c>
      <c r="G84" s="1882" t="s">
        <v>592</v>
      </c>
      <c r="H84" s="978"/>
      <c r="I84" s="578"/>
      <c r="J84" s="290" t="str">
        <f>FHD_NOTE_P_46</f>
        <v/>
      </c>
      <c r="K84" s="735"/>
      <c r="L84" s="736"/>
      <c r="M84" s="736"/>
      <c r="R84" s="736"/>
      <c r="U84" s="737"/>
      <c r="AA84" s="738"/>
      <c r="AB84" s="738"/>
      <c r="AC84" s="738"/>
      <c r="AD84" s="738"/>
      <c r="AE84" s="738"/>
      <c r="AF84" s="911">
        <v>0</v>
      </c>
    </row>
    <row s="1367" customFormat="1" customHeight="1" ht="18.75">
      <c r="A85" s="2372"/>
      <c r="C85" s="736"/>
      <c r="D85" s="734"/>
      <c r="E85" s="547" t="str">
        <f>FHD_NUM_P_47</f>
        <v>10</v>
      </c>
      <c r="F85" s="1881" t="str">
        <f>FHD_P_47</f>
        <v>Объём отпущенной потребителям воды, в том числе:</v>
      </c>
      <c r="G85" s="1882" t="s">
        <v>592</v>
      </c>
      <c r="H85" s="978"/>
      <c r="I85" s="578"/>
      <c r="J85" s="290" t="str">
        <f>FHD_NOTE_P_47</f>
        <v>Указывается общий объем отпущенной потребителям воды.</v>
      </c>
      <c r="K85" s="735"/>
      <c r="L85" s="736"/>
      <c r="M85" s="736"/>
      <c r="R85" s="736"/>
      <c r="U85" s="737"/>
      <c r="AA85" s="738"/>
      <c r="AB85" s="738"/>
      <c r="AC85" s="738"/>
      <c r="AD85" s="738"/>
      <c r="AE85" s="738"/>
      <c r="AF85" s="911">
        <v>0</v>
      </c>
    </row>
    <row s="1636" customFormat="1" customHeight="1" ht="18.75">
      <c r="A86" s="2372"/>
      <c r="B86" s="911"/>
      <c r="C86" s="736"/>
      <c r="D86" s="734"/>
      <c r="E86" s="547" t="str">
        <f>FHD_NUM_P_48</f>
        <v>10.1</v>
      </c>
      <c r="F86" s="1881" t="str">
        <f>FHD_P_48</f>
        <v>Объём отпущенной потребителям воды, определенный по приборам учета</v>
      </c>
      <c r="G86" s="1882" t="s">
        <v>592</v>
      </c>
      <c r="H86" s="978"/>
      <c r="I86" s="578"/>
      <c r="J86" s="290" t="str">
        <f>FHD_NOTE_P_48</f>
        <v/>
      </c>
      <c r="K86" s="735"/>
      <c r="L86" s="736"/>
      <c r="M86" s="736"/>
      <c r="N86" s="911"/>
      <c r="O86" s="911"/>
      <c r="P86" s="911"/>
      <c r="Q86" s="911"/>
      <c r="R86" s="736"/>
      <c r="S86" s="911"/>
      <c r="T86" s="911"/>
      <c r="U86" s="737"/>
      <c r="V86" s="911"/>
      <c r="W86" s="911"/>
      <c r="X86" s="911"/>
      <c r="Y86" s="911"/>
      <c r="Z86" s="911"/>
      <c r="AA86" s="738"/>
      <c r="AB86" s="738"/>
      <c r="AC86" s="738"/>
      <c r="AD86" s="738"/>
      <c r="AE86" s="738"/>
      <c r="AF86" s="740">
        <v>0</v>
      </c>
    </row>
    <row s="1636" customFormat="1" customHeight="1" ht="18.75">
      <c r="A87" s="2372"/>
      <c r="B87" s="911"/>
      <c r="C87" s="736"/>
      <c r="D87" s="734"/>
      <c r="E87" s="547" t="str">
        <f>FHD_NUM_P_49</f>
        <v>10.2</v>
      </c>
      <c r="F87" s="1881" t="str">
        <f>FHD_P_49</f>
        <v>Объём отпущенной потребителям воды, определенный расчетным способом</v>
      </c>
      <c r="G87" s="1882" t="s">
        <v>592</v>
      </c>
      <c r="H87" s="979">
        <f>SUM(H88:H89)</f>
        <v>0</v>
      </c>
      <c r="I87" s="750">
        <f>SUM(I88:I89)</f>
        <v>0</v>
      </c>
      <c r="J87" s="290" t="str">
        <f>FHD_NOTE_P_49</f>
        <v/>
      </c>
      <c r="K87" s="735"/>
      <c r="L87" s="736"/>
      <c r="M87" s="736"/>
      <c r="N87" s="911"/>
      <c r="O87" s="911"/>
      <c r="P87" s="911"/>
      <c r="Q87" s="911"/>
      <c r="R87" s="736"/>
      <c r="S87" s="911"/>
      <c r="T87" s="911"/>
      <c r="U87" s="737"/>
      <c r="V87" s="911"/>
      <c r="W87" s="911"/>
      <c r="X87" s="911"/>
      <c r="Y87" s="911"/>
      <c r="Z87" s="911"/>
      <c r="AA87" s="738"/>
      <c r="AB87" s="738"/>
      <c r="AC87" s="738"/>
      <c r="AD87" s="738"/>
      <c r="AE87" s="738"/>
      <c r="AF87" s="740">
        <v>0</v>
      </c>
    </row>
    <row s="1636" customFormat="1" customHeight="1" ht="18.75">
      <c r="A88" s="2372"/>
      <c r="B88" s="911"/>
      <c r="C88" s="736"/>
      <c r="D88" s="734"/>
      <c r="E88" s="547" t="str">
        <f>FHD_NUM_P_50</f>
        <v>10.2.1</v>
      </c>
      <c r="F88" s="1881" t="str">
        <f>FHD_P_50</f>
        <v>Объём отпущенной потребителям воды, определенный по нормативам потребления коммунальных услуг</v>
      </c>
      <c r="G88" s="1882" t="s">
        <v>592</v>
      </c>
      <c r="H88" s="978"/>
      <c r="I88" s="578"/>
      <c r="J88" s="290" t="str">
        <f>FHD_NOTE_P_50</f>
        <v/>
      </c>
      <c r="K88" s="735"/>
      <c r="L88" s="736"/>
      <c r="M88" s="736"/>
      <c r="N88" s="911"/>
      <c r="O88" s="911"/>
      <c r="P88" s="911"/>
      <c r="Q88" s="911"/>
      <c r="R88" s="736"/>
      <c r="S88" s="911"/>
      <c r="T88" s="911"/>
      <c r="U88" s="737"/>
      <c r="V88" s="911"/>
      <c r="W88" s="911"/>
      <c r="X88" s="911"/>
      <c r="Y88" s="911"/>
      <c r="Z88" s="911"/>
      <c r="AA88" s="738"/>
      <c r="AB88" s="738"/>
      <c r="AC88" s="738"/>
      <c r="AD88" s="738"/>
      <c r="AE88" s="738"/>
      <c r="AF88" s="740">
        <v>0</v>
      </c>
    </row>
    <row s="1636" customFormat="1" customHeight="1" ht="18.75">
      <c r="A89" s="2372"/>
      <c r="B89" s="911"/>
      <c r="C89" s="736"/>
      <c r="D89" s="734"/>
      <c r="E89" s="547" t="str">
        <f>FHD_NUM_P_51</f>
        <v>10.2.2</v>
      </c>
      <c r="F89" s="1881" t="str">
        <f>FHD_P_51</f>
        <v>Объём отпущенной потребителям воды, определенный по нормативам потребления коммунальных ресурсов </v>
      </c>
      <c r="G89" s="1882" t="s">
        <v>592</v>
      </c>
      <c r="H89" s="978"/>
      <c r="I89" s="578"/>
      <c r="J89" s="290" t="str">
        <f>FHD_NOTE_P_51</f>
        <v/>
      </c>
      <c r="K89" s="735"/>
      <c r="L89" s="736"/>
      <c r="M89" s="736"/>
      <c r="N89" s="911"/>
      <c r="O89" s="911"/>
      <c r="P89" s="911"/>
      <c r="Q89" s="911"/>
      <c r="R89" s="736"/>
      <c r="S89" s="911"/>
      <c r="T89" s="911"/>
      <c r="U89" s="737"/>
      <c r="V89" s="911"/>
      <c r="W89" s="911"/>
      <c r="X89" s="911"/>
      <c r="Y89" s="911"/>
      <c r="Z89" s="911"/>
      <c r="AA89" s="738"/>
      <c r="AB89" s="738"/>
      <c r="AC89" s="738"/>
      <c r="AD89" s="738"/>
      <c r="AE89" s="738"/>
      <c r="AF89" s="740">
        <v>0</v>
      </c>
    </row>
    <row s="1636" customFormat="1" customHeight="1" ht="18.75">
      <c r="A90" s="2372"/>
      <c r="B90" s="911"/>
      <c r="C90" s="736"/>
      <c r="D90" s="734"/>
      <c r="E90" s="547" t="str">
        <f>FHD_NUM_P_52</f>
        <v>11</v>
      </c>
      <c r="F90" s="1881" t="str">
        <f>FHD_P_52</f>
        <v>Потери воды в сетях</v>
      </c>
      <c r="G90" s="1882" t="s">
        <v>569</v>
      </c>
      <c r="H90" s="977"/>
      <c r="I90" s="558"/>
      <c r="J90" s="290" t="str">
        <f>FHD_NOTE_P_52</f>
        <v/>
      </c>
      <c r="K90" s="735"/>
      <c r="L90" s="736"/>
      <c r="M90" s="736"/>
      <c r="N90" s="911"/>
      <c r="O90" s="911"/>
      <c r="P90" s="911"/>
      <c r="Q90" s="911"/>
      <c r="R90" s="736"/>
      <c r="S90" s="911"/>
      <c r="T90" s="911"/>
      <c r="U90" s="737"/>
      <c r="V90" s="911"/>
      <c r="W90" s="911"/>
      <c r="X90" s="911"/>
      <c r="Y90" s="911"/>
      <c r="Z90" s="911"/>
      <c r="AA90" s="738"/>
      <c r="AB90" s="738"/>
      <c r="AC90" s="738"/>
      <c r="AD90" s="738"/>
      <c r="AE90" s="738"/>
      <c r="AF90" s="740">
        <v>0</v>
      </c>
    </row>
    <row s="1367" customFormat="1" customHeight="1" ht="18.75" hidden="1">
      <c r="A91" s="2374" t="s">
        <v>593</v>
      </c>
      <c r="C91" s="736"/>
      <c r="D91" s="734"/>
      <c r="E91" s="547" t="str">
        <f>FHD_NUM_P_53</f>
        <v/>
      </c>
      <c r="F91" s="1881" t="str">
        <f>FHD_P_53</f>
        <v/>
      </c>
      <c r="G91" s="1882" t="s">
        <v>592</v>
      </c>
      <c r="H91" s="978"/>
      <c r="I91" s="578"/>
      <c r="J91" s="290" t="str">
        <f>FHD_NOTE_P_53</f>
        <v/>
      </c>
      <c r="K91" s="735"/>
      <c r="L91" s="736"/>
      <c r="M91" s="736"/>
      <c r="R91" s="736"/>
      <c r="U91" s="737"/>
      <c r="AA91" s="738"/>
      <c r="AB91" s="738"/>
      <c r="AC91" s="738"/>
      <c r="AD91" s="738"/>
      <c r="AE91" s="738"/>
      <c r="AF91" s="911">
        <v>0</v>
      </c>
    </row>
    <row s="1367" customFormat="1" customHeight="1" ht="18.75" hidden="1">
      <c r="A92" s="2374"/>
      <c r="C92" s="736"/>
      <c r="D92" s="734"/>
      <c r="E92" s="547" t="str">
        <f>FHD_NUM_P_54</f>
        <v/>
      </c>
      <c r="F92" s="1881" t="str">
        <f>FHD_P_54</f>
        <v/>
      </c>
      <c r="G92" s="1882" t="s">
        <v>592</v>
      </c>
      <c r="H92" s="978"/>
      <c r="I92" s="578"/>
      <c r="J92" s="290" t="str">
        <f>FHD_NOTE_P_54</f>
        <v/>
      </c>
      <c r="K92" s="735"/>
      <c r="L92" s="736"/>
      <c r="M92" s="736"/>
      <c r="R92" s="736"/>
      <c r="U92" s="737"/>
      <c r="AA92" s="738"/>
      <c r="AB92" s="738"/>
      <c r="AC92" s="738"/>
      <c r="AD92" s="738"/>
      <c r="AE92" s="738"/>
      <c r="AF92" s="911">
        <v>0</v>
      </c>
    </row>
    <row s="1367" customFormat="1" customHeight="1" ht="18.75" hidden="1">
      <c r="A93" s="2374"/>
      <c r="C93" s="736"/>
      <c r="D93" s="739"/>
      <c r="E93" s="547" t="str">
        <f>FHD_NUM_P_55</f>
        <v/>
      </c>
      <c r="F93" s="1881" t="str">
        <f>FHD_P_55</f>
        <v/>
      </c>
      <c r="G93" s="1885"/>
      <c r="H93" s="978"/>
      <c r="I93" s="578"/>
      <c r="J93" s="290" t="str">
        <f>FHD_NOTE_P_55</f>
        <v/>
      </c>
      <c r="K93" s="735"/>
      <c r="L93" s="736"/>
      <c r="M93" s="736"/>
      <c r="R93" s="736"/>
      <c r="U93" s="737"/>
      <c r="AA93" s="738"/>
      <c r="AB93" s="738"/>
      <c r="AC93" s="738"/>
      <c r="AD93" s="738"/>
      <c r="AE93" s="738"/>
      <c r="AF93" s="911">
        <v>0</v>
      </c>
    </row>
    <row s="1367" customFormat="1" customHeight="1" ht="18.75" hidden="1">
      <c r="A94" s="2374"/>
      <c r="C94" s="736"/>
      <c r="D94" s="734"/>
      <c r="E94" s="547" t="str">
        <f>FHD_NUM_P_56</f>
        <v/>
      </c>
      <c r="F94" s="1881" t="str">
        <f>FHD_P_56</f>
        <v/>
      </c>
      <c r="G94" s="1882" t="s">
        <v>594</v>
      </c>
      <c r="H94" s="978"/>
      <c r="I94" s="578"/>
      <c r="J94" s="290" t="str">
        <f>FHD_NOTE_P_56</f>
        <v/>
      </c>
      <c r="K94" s="735"/>
      <c r="L94" s="736"/>
      <c r="M94" s="736"/>
      <c r="R94" s="736"/>
      <c r="U94" s="737"/>
      <c r="AA94" s="738"/>
      <c r="AB94" s="738"/>
      <c r="AC94" s="738"/>
      <c r="AD94" s="738"/>
      <c r="AE94" s="738"/>
      <c r="AF94" s="911">
        <v>0</v>
      </c>
    </row>
    <row s="1636" customFormat="1" customHeight="1" ht="18.75" hidden="1">
      <c r="A95" s="2374"/>
      <c r="B95" s="911"/>
      <c r="C95" s="736"/>
      <c r="D95" s="734"/>
      <c r="E95" s="547" t="str">
        <f>FHD_NUM_P_57</f>
        <v/>
      </c>
      <c r="F95" s="1881" t="str">
        <f>FHD_P_57</f>
        <v/>
      </c>
      <c r="G95" s="1882" t="s">
        <v>569</v>
      </c>
      <c r="H95" s="977"/>
      <c r="I95" s="558"/>
      <c r="J95" s="290" t="str">
        <f>FHD_NOTE_P_57</f>
        <v/>
      </c>
      <c r="K95" s="735"/>
      <c r="L95" s="736"/>
      <c r="M95" s="736"/>
      <c r="N95" s="911"/>
      <c r="O95" s="911"/>
      <c r="P95" s="911"/>
      <c r="Q95" s="911"/>
      <c r="R95" s="736"/>
      <c r="S95" s="911"/>
      <c r="T95" s="911"/>
      <c r="U95" s="737"/>
      <c r="V95" s="911"/>
      <c r="W95" s="911"/>
      <c r="X95" s="911"/>
      <c r="Y95" s="911"/>
      <c r="Z95" s="911"/>
      <c r="AA95" s="738"/>
      <c r="AB95" s="738"/>
      <c r="AC95" s="738"/>
      <c r="AD95" s="738"/>
      <c r="AE95" s="738"/>
      <c r="AF95" s="740">
        <v>0</v>
      </c>
    </row>
    <row customHeight="1" ht="18.75" hidden="1">
      <c r="A96" s="2372" t="s">
        <v>595</v>
      </c>
      <c r="D96" s="1639"/>
      <c r="E96" s="547" t="str">
        <f>FHD_NUM_P_58</f>
        <v/>
      </c>
      <c r="F96" s="1881" t="str">
        <f>FHD_P_58</f>
        <v/>
      </c>
      <c r="G96" s="1882" t="s">
        <v>592</v>
      </c>
      <c r="H96" s="978"/>
      <c r="I96" s="578"/>
      <c r="J96" s="290" t="str">
        <f>FHD_NOTE_P_58</f>
        <v/>
      </c>
      <c r="K96" s="544"/>
      <c r="AF96" s="1632">
        <v>0</v>
      </c>
    </row>
    <row customHeight="1" ht="18.75" hidden="1">
      <c r="A97" s="2372"/>
      <c r="D97" s="1639"/>
      <c r="E97" s="547" t="str">
        <f>FHD_NUM_P_59</f>
        <v/>
      </c>
      <c r="F97" s="1881" t="str">
        <f>FHD_P_59</f>
        <v/>
      </c>
      <c r="G97" s="1882" t="s">
        <v>592</v>
      </c>
      <c r="H97" s="978"/>
      <c r="I97" s="578"/>
      <c r="J97" s="290" t="str">
        <f>FHD_NOTE_P_59</f>
        <v/>
      </c>
      <c r="K97" s="544"/>
      <c r="AF97" s="1632">
        <v>0</v>
      </c>
    </row>
    <row customHeight="1" ht="18.75" hidden="1">
      <c r="A98" s="2372"/>
      <c r="D98" s="1639"/>
      <c r="E98" s="547" t="str">
        <f>FHD_NUM_P_60</f>
        <v/>
      </c>
      <c r="F98" s="1881" t="str">
        <f>FHD_P_60</f>
        <v/>
      </c>
      <c r="G98" s="1882" t="s">
        <v>592</v>
      </c>
      <c r="H98" s="978"/>
      <c r="I98" s="578"/>
      <c r="J98" s="290" t="str">
        <f>FHD_NOTE_P_60</f>
        <v/>
      </c>
      <c r="K98" s="544"/>
      <c r="AF98" s="1632">
        <v>0</v>
      </c>
    </row>
    <row s="1367" customFormat="1" customHeight="1" ht="18.75" hidden="1">
      <c r="A99" s="2372" t="s">
        <v>596</v>
      </c>
      <c r="C99" s="1637"/>
      <c r="D99" s="1639"/>
      <c r="E99" s="547" t="str">
        <f>FHD_NUM_P_61</f>
        <v/>
      </c>
      <c r="F99" s="1881" t="str">
        <f>FHD_P_61</f>
        <v/>
      </c>
      <c r="G99" s="1879" t="s">
        <v>567</v>
      </c>
      <c r="H99" s="980"/>
      <c r="I99" s="743"/>
      <c r="J99" s="290" t="str">
        <f>FHD_NOTE_P_61</f>
        <v/>
      </c>
      <c r="K99" s="544"/>
      <c r="L99" s="1637"/>
      <c r="M99" s="1637"/>
      <c r="R99" s="1637"/>
      <c r="U99" s="545"/>
      <c r="AA99" s="1633"/>
      <c r="AB99" s="1633"/>
      <c r="AC99" s="1633"/>
      <c r="AD99" s="1633"/>
      <c r="AE99" s="1633"/>
      <c r="AF99" s="1161">
        <v>0</v>
      </c>
    </row>
    <row s="1643" customFormat="1" customHeight="1" ht="0.75" hidden="1">
      <c r="A100" s="2372"/>
      <c r="D100" s="549"/>
      <c r="E100" s="1014" t="str">
        <f>E99&amp;".0"</f>
        <v>.0</v>
      </c>
      <c r="F100" s="995"/>
      <c r="G100" s="996"/>
      <c r="H100" s="993"/>
      <c r="I100" s="993"/>
      <c r="J100" s="997"/>
      <c r="AF100" s="1637">
        <v>0</v>
      </c>
    </row>
    <row customHeight="1" ht="15" hidden="1">
      <c r="A101" s="2372"/>
      <c r="D101" s="1634"/>
      <c r="E101" s="972"/>
      <c r="F101" s="973" t="s">
        <v>597</v>
      </c>
      <c r="G101" s="573"/>
      <c r="H101" s="574"/>
      <c r="I101" s="574"/>
      <c r="J101" s="1005" t="s">
        <v>598</v>
      </c>
      <c r="K101" s="544"/>
      <c r="AF101" s="1632">
        <v>0</v>
      </c>
    </row>
    <row s="1367" customFormat="1" customHeight="1" ht="18.75" hidden="1">
      <c r="A102" s="2372"/>
      <c r="C102" s="1637"/>
      <c r="D102" s="1639"/>
      <c r="E102" s="547" t="str">
        <f>FHD_NUM_P_62</f>
        <v/>
      </c>
      <c r="F102" s="1881" t="str">
        <f>FHD_P_62</f>
        <v/>
      </c>
      <c r="G102" s="1878" t="s">
        <v>567</v>
      </c>
      <c r="H102" s="558"/>
      <c r="I102" s="558"/>
      <c r="J102" s="290" t="str">
        <f>FHD_NOTE_P_62</f>
        <v/>
      </c>
      <c r="K102" s="544"/>
      <c r="L102" s="1637"/>
      <c r="M102" s="1637"/>
      <c r="R102" s="1637"/>
      <c r="U102" s="545"/>
      <c r="AA102" s="1633"/>
      <c r="AB102" s="1633"/>
      <c r="AC102" s="1633"/>
      <c r="AD102" s="1633"/>
      <c r="AE102" s="1633"/>
      <c r="AF102" s="1161">
        <v>0</v>
      </c>
    </row>
    <row s="1367" customFormat="1" customHeight="1" ht="18.75" hidden="1">
      <c r="A103" s="2372"/>
      <c r="C103" s="1637"/>
      <c r="D103" s="1639"/>
      <c r="E103" s="547" t="str">
        <f>FHD_NUM_P_63</f>
        <v/>
      </c>
      <c r="F103" s="1881" t="str">
        <f>FHD_P_63</f>
        <v/>
      </c>
      <c r="G103" s="1878" t="s">
        <v>594</v>
      </c>
      <c r="H103" s="578"/>
      <c r="I103" s="578"/>
      <c r="J103" s="290" t="str">
        <f>FHD_NOTE_P_63</f>
        <v/>
      </c>
      <c r="K103" s="544"/>
      <c r="L103" s="1637"/>
      <c r="M103" s="1637"/>
      <c r="R103" s="1637"/>
      <c r="U103" s="545"/>
      <c r="AA103" s="1633"/>
      <c r="AB103" s="1633"/>
      <c r="AC103" s="1633"/>
      <c r="AD103" s="1633"/>
      <c r="AE103" s="1633"/>
      <c r="AF103" s="1161">
        <v>0</v>
      </c>
    </row>
    <row s="1367" customFormat="1" customHeight="1" ht="18.75" hidden="1">
      <c r="A104" s="2372"/>
      <c r="C104" s="1637" t="s">
        <v>599</v>
      </c>
      <c r="D104" s="1639"/>
      <c r="E104" s="547" t="str">
        <f>FHD_NUM_P_64</f>
        <v/>
      </c>
      <c r="F104" s="1881" t="str">
        <f>FHD_P_64</f>
        <v/>
      </c>
      <c r="G104" s="1878" t="s">
        <v>594</v>
      </c>
      <c r="H104" s="546"/>
      <c r="I104" s="546"/>
      <c r="J104" s="290" t="str">
        <f>FHD_NOTE_P_64</f>
        <v/>
      </c>
      <c r="K104" s="544"/>
      <c r="L104" s="1637"/>
      <c r="M104" s="1637"/>
      <c r="R104" s="1637"/>
      <c r="U104" s="545"/>
      <c r="AA104" s="1633"/>
      <c r="AB104" s="1633"/>
      <c r="AC104" s="1633"/>
      <c r="AD104" s="1633"/>
      <c r="AE104" s="1633"/>
      <c r="AF104" s="1161">
        <v>0</v>
      </c>
    </row>
    <row s="1367" customFormat="1" customHeight="1" ht="18.75" hidden="1">
      <c r="A105" s="2372"/>
      <c r="C105" s="1637"/>
      <c r="D105" s="1639"/>
      <c r="E105" s="547" t="str">
        <f>FHD_NUM_P_65</f>
        <v/>
      </c>
      <c r="F105" s="1881" t="str">
        <f>FHD_P_65</f>
        <v/>
      </c>
      <c r="G105" s="1878" t="s">
        <v>594</v>
      </c>
      <c r="H105" s="578"/>
      <c r="I105" s="578"/>
      <c r="J105" s="290" t="str">
        <f>FHD_NOTE_P_65</f>
        <v/>
      </c>
      <c r="K105" s="544"/>
      <c r="L105" s="1637"/>
      <c r="M105" s="1637"/>
      <c r="R105" s="1637"/>
      <c r="U105" s="545"/>
      <c r="AA105" s="1633"/>
      <c r="AB105" s="1633"/>
      <c r="AC105" s="1633"/>
      <c r="AD105" s="1633"/>
      <c r="AE105" s="1633"/>
      <c r="AF105" s="1161">
        <v>0</v>
      </c>
    </row>
    <row s="1367" customFormat="1" customHeight="1" ht="18.75" hidden="1">
      <c r="A106" s="2372"/>
      <c r="C106" s="1637"/>
      <c r="D106" s="1639"/>
      <c r="E106" s="547" t="str">
        <f>FHD_NUM_P_66</f>
        <v/>
      </c>
      <c r="F106" s="1525" t="str">
        <f>FHD_P_66</f>
        <v/>
      </c>
      <c r="G106" s="1878" t="s">
        <v>594</v>
      </c>
      <c r="H106" s="578"/>
      <c r="I106" s="578"/>
      <c r="J106" s="290" t="str">
        <f>FHD_NOTE_P_66</f>
        <v/>
      </c>
      <c r="K106" s="544"/>
      <c r="L106" s="1637"/>
      <c r="M106" s="1637"/>
      <c r="R106" s="1637"/>
      <c r="U106" s="545"/>
      <c r="AA106" s="1633"/>
      <c r="AB106" s="1633"/>
      <c r="AC106" s="1633"/>
      <c r="AD106" s="1633"/>
      <c r="AE106" s="1633"/>
      <c r="AF106" s="1161">
        <v>0</v>
      </c>
    </row>
    <row s="1367" customFormat="1" customHeight="1" ht="18.75" hidden="1">
      <c r="A107" s="2372"/>
      <c r="C107" s="1637"/>
      <c r="D107" s="1639"/>
      <c r="E107" s="547" t="str">
        <f>FHD_NUM_P_67</f>
        <v/>
      </c>
      <c r="F107" s="1651" t="str">
        <f>FHD_P_67</f>
        <v/>
      </c>
      <c r="G107" s="1878" t="s">
        <v>594</v>
      </c>
      <c r="H107" s="578"/>
      <c r="I107" s="578"/>
      <c r="J107" s="290" t="str">
        <f>FHD_NOTE_P_67</f>
        <v/>
      </c>
      <c r="K107" s="544"/>
      <c r="L107" s="1637"/>
      <c r="M107" s="1637"/>
      <c r="R107" s="1637"/>
      <c r="U107" s="545"/>
      <c r="AA107" s="1633"/>
      <c r="AB107" s="1633"/>
      <c r="AC107" s="1633"/>
      <c r="AD107" s="1633"/>
      <c r="AE107" s="1633"/>
      <c r="AF107" s="1161">
        <v>0</v>
      </c>
    </row>
    <row s="1367" customFormat="1" customHeight="1" ht="18.75" hidden="1">
      <c r="A108" s="2372"/>
      <c r="C108" s="1637"/>
      <c r="D108" s="1639"/>
      <c r="E108" s="547" t="str">
        <f>FHD_NUM_P_68</f>
        <v/>
      </c>
      <c r="F108" s="1525" t="str">
        <f>FHD_P_68</f>
        <v/>
      </c>
      <c r="G108" s="1878" t="s">
        <v>594</v>
      </c>
      <c r="H108" s="578"/>
      <c r="I108" s="578"/>
      <c r="J108" s="290" t="str">
        <f>FHD_NOTE_P_68</f>
        <v/>
      </c>
      <c r="K108" s="544"/>
      <c r="L108" s="1637"/>
      <c r="M108" s="1637"/>
      <c r="R108" s="1637"/>
      <c r="U108" s="545"/>
      <c r="AA108" s="1633"/>
      <c r="AB108" s="1633"/>
      <c r="AC108" s="1633"/>
      <c r="AD108" s="1633"/>
      <c r="AE108" s="1633"/>
      <c r="AF108" s="1161">
        <v>0</v>
      </c>
    </row>
    <row s="1367" customFormat="1" customHeight="1" ht="18.75" hidden="1">
      <c r="A109" s="2372"/>
      <c r="C109" s="1637"/>
      <c r="D109" s="1639"/>
      <c r="E109" s="547" t="str">
        <f>FHD_NUM_P_69</f>
        <v/>
      </c>
      <c r="F109" s="1525" t="str">
        <f>FHD_P_69</f>
        <v/>
      </c>
      <c r="G109" s="1878" t="s">
        <v>594</v>
      </c>
      <c r="H109" s="578"/>
      <c r="I109" s="578"/>
      <c r="J109" s="290" t="str">
        <f>FHD_NOTE_P_69</f>
        <v/>
      </c>
      <c r="K109" s="544"/>
      <c r="L109" s="1637"/>
      <c r="M109" s="1637"/>
      <c r="R109" s="1637"/>
      <c r="U109" s="545"/>
      <c r="AA109" s="1633"/>
      <c r="AB109" s="1633"/>
      <c r="AC109" s="1633"/>
      <c r="AD109" s="1633"/>
      <c r="AE109" s="1633"/>
      <c r="AF109" s="1161">
        <v>0</v>
      </c>
    </row>
    <row s="1367" customFormat="1" customHeight="1" ht="22.5" hidden="1">
      <c r="A110" s="2372"/>
      <c r="C110" s="1637"/>
      <c r="D110" s="1639"/>
      <c r="E110" s="547" t="str">
        <f>FHD_NUM_P_70</f>
        <v/>
      </c>
      <c r="F110" s="1881" t="str">
        <f>FHD_P_70</f>
        <v/>
      </c>
      <c r="G110" s="1878" t="s">
        <v>600</v>
      </c>
      <c r="H110" s="558"/>
      <c r="I110" s="558"/>
      <c r="J110" s="290" t="str">
        <f>FHD_NOTE_P_70</f>
        <v/>
      </c>
      <c r="K110" s="544"/>
      <c r="L110" s="1637"/>
      <c r="M110" s="1637"/>
      <c r="R110" s="1637"/>
      <c r="U110" s="545"/>
      <c r="AA110" s="1633"/>
      <c r="AB110" s="1633"/>
      <c r="AC110" s="1633"/>
      <c r="AD110" s="1633"/>
      <c r="AE110" s="1633"/>
      <c r="AF110" s="1161">
        <v>0</v>
      </c>
    </row>
    <row s="1367" customFormat="1" customHeight="1" ht="22.5" hidden="1">
      <c r="A111" s="2372"/>
      <c r="C111" s="1637"/>
      <c r="D111" s="1639"/>
      <c r="E111" s="547" t="str">
        <f>FHD_NUM_P_71</f>
        <v/>
      </c>
      <c r="F111" s="1881" t="str">
        <f>FHD_P_71</f>
        <v/>
      </c>
      <c r="G111" s="1878" t="s">
        <v>600</v>
      </c>
      <c r="H111" s="558"/>
      <c r="I111" s="558"/>
      <c r="J111" s="290" t="str">
        <f>FHD_NOTE_P_71</f>
        <v/>
      </c>
      <c r="K111" s="544"/>
      <c r="L111" s="1637"/>
      <c r="M111" s="1637"/>
      <c r="R111" s="1637"/>
      <c r="U111" s="545"/>
      <c r="AA111" s="1633"/>
      <c r="AB111" s="1633"/>
      <c r="AC111" s="1633"/>
      <c r="AD111" s="1633"/>
      <c r="AE111" s="1633"/>
      <c r="AF111" s="1161">
        <v>0</v>
      </c>
    </row>
    <row customHeight="1" ht="19.95">
      <c r="D112" s="1639"/>
      <c r="E112" s="547" t="str">
        <f>FHD_NUM_P_72</f>
        <v>12</v>
      </c>
      <c r="F112" s="1881" t="str">
        <f>FHD_P_72</f>
        <v>Среднесписочная численность основного производственного персонала</v>
      </c>
      <c r="G112" s="1877" t="s">
        <v>601</v>
      </c>
      <c r="H112" s="578"/>
      <c r="I112" s="578"/>
      <c r="J112" s="290" t="str">
        <f>FHD_NOTE_P_72</f>
        <v/>
      </c>
      <c r="K112" s="544"/>
      <c r="AF112" s="1632">
        <v>19</v>
      </c>
    </row>
    <row customHeight="1" ht="18.75" hidden="1">
      <c r="A113" s="990" t="s">
        <v>602</v>
      </c>
      <c r="D113" s="1639"/>
      <c r="E113" s="547" t="str">
        <f>FHD_NUM_P_73</f>
        <v/>
      </c>
      <c r="F113" s="1881" t="str">
        <f>FHD_P_73</f>
        <v/>
      </c>
      <c r="G113" s="971" t="s">
        <v>601</v>
      </c>
      <c r="H113" s="969"/>
      <c r="I113" s="969"/>
      <c r="J113" s="290" t="str">
        <f>FHD_NOTE_P_73</f>
        <v/>
      </c>
      <c r="K113" s="544"/>
      <c r="AF113" s="1632">
        <v>0</v>
      </c>
    </row>
    <row customHeight="1" ht="33.75">
      <c r="A114" s="990" t="s">
        <v>603</v>
      </c>
      <c r="D114" s="1639"/>
      <c r="E114" s="547" t="str">
        <f>FHD_NUM_P_74</f>
        <v>13</v>
      </c>
      <c r="F114" s="1881" t="str">
        <f>FHD_P_74</f>
        <v>Удельный расход электрической энергии на подачу воды в сеть</v>
      </c>
      <c r="G114" s="1877" t="s">
        <v>604</v>
      </c>
      <c r="H114" s="578"/>
      <c r="I114" s="578"/>
      <c r="J114" s="290" t="str">
        <f>FHD_NOTE_P_74</f>
        <v/>
      </c>
      <c r="K114" s="544"/>
      <c r="AF114" s="1632">
        <v>0</v>
      </c>
    </row>
    <row s="1636" customFormat="1" customHeight="1" ht="18.75">
      <c r="A115" s="2374" t="s">
        <v>605</v>
      </c>
      <c r="B115" s="911"/>
      <c r="C115" s="736"/>
      <c r="D115" s="734"/>
      <c r="E115" s="547" t="str">
        <f>FHD_NUM_P_75</f>
        <v>14</v>
      </c>
      <c r="F115" s="1881" t="str">
        <f>FHD_P_75</f>
        <v>Расход воды на собственные нужды, в том числе:</v>
      </c>
      <c r="G115" s="1877" t="s">
        <v>569</v>
      </c>
      <c r="H115" s="558"/>
      <c r="I115" s="558"/>
      <c r="J115" s="290" t="str">
        <f>FHD_NOTE_P_75</f>
        <v>Указывается доля общего расхода воды на собственные нужны от объема отпуска воды потребителям.</v>
      </c>
      <c r="K115" s="735"/>
      <c r="L115" s="736"/>
      <c r="M115" s="736"/>
      <c r="N115" s="911"/>
      <c r="O115" s="911"/>
      <c r="P115" s="911"/>
      <c r="Q115" s="911"/>
      <c r="R115" s="736"/>
      <c r="S115" s="911"/>
      <c r="T115" s="911"/>
      <c r="U115" s="737"/>
      <c r="V115" s="911"/>
      <c r="W115" s="911"/>
      <c r="X115" s="911"/>
      <c r="Y115" s="911"/>
      <c r="Z115" s="911"/>
      <c r="AA115" s="738"/>
      <c r="AB115" s="738"/>
      <c r="AC115" s="738"/>
      <c r="AD115" s="738"/>
      <c r="AE115" s="738"/>
      <c r="AF115" s="740">
        <v>0</v>
      </c>
    </row>
    <row s="1636" customFormat="1" customHeight="1" ht="18.75">
      <c r="A116" s="2374"/>
      <c r="B116" s="911"/>
      <c r="C116" s="736"/>
      <c r="D116" s="734"/>
      <c r="E116" s="547" t="str">
        <f>FHD_NUM_P_76</f>
        <v>14.1</v>
      </c>
      <c r="F116" s="1881" t="str">
        <f>FHD_P_76</f>
        <v>Расход воды на хозяйственно-бытовые нужды</v>
      </c>
      <c r="G116" s="1877" t="s">
        <v>569</v>
      </c>
      <c r="H116" s="558"/>
      <c r="I116" s="558"/>
      <c r="J116" s="290" t="str">
        <f>FHD_NOTE_P_76</f>
        <v>Указывается доля расхода воды на хозяйственно-бытовые нужны от объема отпуска воды потребителям.</v>
      </c>
      <c r="K116" s="735"/>
      <c r="L116" s="736"/>
      <c r="M116" s="736"/>
      <c r="N116" s="911"/>
      <c r="O116" s="911"/>
      <c r="P116" s="911"/>
      <c r="Q116" s="911"/>
      <c r="R116" s="736"/>
      <c r="S116" s="911"/>
      <c r="T116" s="911"/>
      <c r="U116" s="737"/>
      <c r="V116" s="911"/>
      <c r="W116" s="911"/>
      <c r="X116" s="911"/>
      <c r="Y116" s="911"/>
      <c r="Z116" s="911"/>
      <c r="AA116" s="738"/>
      <c r="AB116" s="738"/>
      <c r="AC116" s="738"/>
      <c r="AD116" s="738"/>
      <c r="AE116" s="738"/>
      <c r="AF116" s="740">
        <v>0</v>
      </c>
    </row>
    <row s="1636" customFormat="1" customHeight="1" ht="18.75">
      <c r="A117" s="2374"/>
      <c r="B117" s="911"/>
      <c r="C117" s="736"/>
      <c r="D117" s="734"/>
      <c r="E117" s="547" t="str">
        <f>FHD_NUM_P_77</f>
        <v>15</v>
      </c>
      <c r="F117" s="1881" t="str">
        <f>FHD_P_77</f>
        <v>Показатель использования производственных объектов (по объему перекачки), в том числе:</v>
      </c>
      <c r="G117" s="1877" t="s">
        <v>569</v>
      </c>
      <c r="H117" s="558"/>
      <c r="I117" s="558"/>
      <c r="J117" s="290" t="str">
        <f>FHD_NOTE_P_77</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K117" s="735"/>
      <c r="L117" s="736"/>
      <c r="M117" s="736"/>
      <c r="N117" s="911"/>
      <c r="O117" s="911"/>
      <c r="P117" s="911"/>
      <c r="Q117" s="911"/>
      <c r="R117" s="736"/>
      <c r="S117" s="911"/>
      <c r="T117" s="911"/>
      <c r="U117" s="737"/>
      <c r="V117" s="911"/>
      <c r="W117" s="911"/>
      <c r="X117" s="911"/>
      <c r="Y117" s="911"/>
      <c r="Z117" s="911"/>
      <c r="AA117" s="738"/>
      <c r="AB117" s="738"/>
      <c r="AC117" s="738"/>
      <c r="AD117" s="738"/>
      <c r="AE117" s="738"/>
      <c r="AF117" s="740">
        <v>0</v>
      </c>
    </row>
    <row s="1643" customFormat="1" customHeight="1" ht="0.75">
      <c r="A118" s="2374"/>
      <c r="D118" s="549"/>
      <c r="E118" s="1014" t="str">
        <f>E117&amp;".0"</f>
        <v>15.0</v>
      </c>
      <c r="F118" s="998"/>
      <c r="G118" s="1652"/>
      <c r="H118" s="993"/>
      <c r="I118" s="993"/>
      <c r="J118" s="997"/>
      <c r="AF118" s="1637">
        <v>0</v>
      </c>
    </row>
    <row s="1636" customFormat="1" customHeight="1" ht="15">
      <c r="A119" s="2374"/>
      <c r="B119" s="911"/>
      <c r="C119" s="736"/>
      <c r="D119" s="747"/>
      <c r="E119" s="974"/>
      <c r="F119" s="975" t="s">
        <v>606</v>
      </c>
      <c r="G119" s="748"/>
      <c r="H119" s="749"/>
      <c r="I119" s="749"/>
      <c r="J119" s="1004" t="s">
        <v>607</v>
      </c>
      <c r="K119" s="735"/>
      <c r="L119" s="736"/>
      <c r="M119" s="736"/>
      <c r="N119" s="911"/>
      <c r="O119" s="911"/>
      <c r="P119" s="911"/>
      <c r="Q119" s="911"/>
      <c r="R119" s="736"/>
      <c r="S119" s="911"/>
      <c r="T119" s="911"/>
      <c r="U119" s="737"/>
      <c r="V119" s="911"/>
      <c r="W119" s="911"/>
      <c r="X119" s="911"/>
      <c r="Y119" s="911"/>
      <c r="Z119" s="911"/>
      <c r="AA119" s="738"/>
      <c r="AB119" s="738"/>
      <c r="AC119" s="738"/>
      <c r="AD119" s="738"/>
      <c r="AE119" s="738"/>
      <c r="AF119" s="740">
        <v>0</v>
      </c>
    </row>
    <row customHeight="1" ht="22.5" hidden="1">
      <c r="A120" s="2372" t="s">
        <v>608</v>
      </c>
      <c r="D120" s="1639"/>
      <c r="E120" s="547" t="str">
        <f>FHD_NUM_P_78</f>
        <v/>
      </c>
      <c r="F120" s="1881" t="str">
        <f>FHD_P_78</f>
        <v/>
      </c>
      <c r="G120" s="1878" t="s">
        <v>571</v>
      </c>
      <c r="H120" s="578"/>
      <c r="I120" s="578"/>
      <c r="J120" s="290" t="str">
        <f>FHD_NOTE_P_78</f>
        <v/>
      </c>
      <c r="K120" s="544"/>
      <c r="AF120" s="1632">
        <v>0</v>
      </c>
    </row>
    <row s="1643" customFormat="1" customHeight="1" ht="0.75" hidden="1">
      <c r="A121" s="2372"/>
      <c r="D121" s="549"/>
      <c r="E121" s="1014" t="str">
        <f>E120&amp;".0"</f>
        <v>.0</v>
      </c>
      <c r="F121" s="998"/>
      <c r="G121" s="1652"/>
      <c r="H121" s="993"/>
      <c r="I121" s="993"/>
      <c r="J121" s="997"/>
      <c r="AF121" s="1637">
        <v>0</v>
      </c>
    </row>
    <row customHeight="1" ht="15" hidden="1">
      <c r="A122" s="2372"/>
      <c r="D122" s="1634"/>
      <c r="E122" s="571"/>
      <c r="F122" s="1169" t="s">
        <v>597</v>
      </c>
      <c r="G122" s="573"/>
      <c r="H122" s="574"/>
      <c r="I122" s="574"/>
      <c r="J122" s="1005" t="s">
        <v>609</v>
      </c>
      <c r="K122" s="544"/>
      <c r="AF122" s="1632">
        <v>0</v>
      </c>
    </row>
    <row customHeight="1" ht="22.5" hidden="1">
      <c r="A123" s="2372"/>
      <c r="D123" s="1639"/>
      <c r="E123" s="547" t="str">
        <f>FHD_NUM_P_79</f>
        <v/>
      </c>
      <c r="F123" s="1881" t="str">
        <f>FHD_P_79</f>
        <v/>
      </c>
      <c r="G123" s="1879" t="s">
        <v>573</v>
      </c>
      <c r="H123" s="578"/>
      <c r="I123" s="578"/>
      <c r="J123" s="290" t="str">
        <f>FHD_NOTE_P_79</f>
        <v/>
      </c>
      <c r="K123" s="544"/>
      <c r="AF123" s="1632">
        <v>0</v>
      </c>
    </row>
    <row s="1643" customFormat="1" customHeight="1" ht="0.75" hidden="1">
      <c r="A124" s="2372"/>
      <c r="D124" s="549"/>
      <c r="E124" s="1014" t="str">
        <f>E123&amp;".0"</f>
        <v>.0</v>
      </c>
      <c r="F124" s="999"/>
      <c r="G124" s="1652"/>
      <c r="H124" s="993"/>
      <c r="I124" s="993"/>
      <c r="J124" s="997"/>
      <c r="AF124" s="1637">
        <v>0</v>
      </c>
    </row>
    <row customHeight="1" ht="15" hidden="1">
      <c r="A125" s="2372"/>
      <c r="D125" s="1634"/>
      <c r="E125" s="571"/>
      <c r="F125" s="1169" t="s">
        <v>597</v>
      </c>
      <c r="G125" s="573"/>
      <c r="H125" s="574"/>
      <c r="I125" s="574"/>
      <c r="J125" s="1005" t="s">
        <v>610</v>
      </c>
      <c r="K125" s="544"/>
      <c r="AF125" s="1632">
        <v>0</v>
      </c>
    </row>
    <row customHeight="1" ht="22.5" hidden="1">
      <c r="A126" s="2372"/>
      <c r="D126" s="1639"/>
      <c r="E126" s="547" t="str">
        <f>FHD_NUM_P_80</f>
        <v/>
      </c>
      <c r="F126" s="1881" t="str">
        <f>FHD_P_80</f>
        <v/>
      </c>
      <c r="G126" s="1879" t="s">
        <v>611</v>
      </c>
      <c r="H126" s="558"/>
      <c r="I126" s="558"/>
      <c r="J126" s="290" t="str">
        <f>FHD_NOTE_P_80</f>
        <v/>
      </c>
      <c r="K126" s="544"/>
      <c r="AF126" s="1632">
        <v>0</v>
      </c>
    </row>
    <row customHeight="1" ht="18.75" hidden="1">
      <c r="A127" s="2372"/>
      <c r="D127" s="1639"/>
      <c r="E127" s="547" t="str">
        <f>FHD_NUM_P_81</f>
        <v/>
      </c>
      <c r="F127" s="1881" t="str">
        <f>FHD_P_81</f>
        <v/>
      </c>
      <c r="G127" s="1879" t="s">
        <v>612</v>
      </c>
      <c r="H127" s="558"/>
      <c r="I127" s="558"/>
      <c r="J127" s="290" t="str">
        <f>FHD_NOTE_P_81</f>
        <v/>
      </c>
      <c r="K127" s="544"/>
      <c r="AF127" s="1632">
        <v>0</v>
      </c>
    </row>
    <row customHeight="1" ht="18.75" hidden="1">
      <c r="A128" s="2372"/>
      <c r="C128" s="1637" t="s">
        <v>599</v>
      </c>
      <c r="D128" s="1639"/>
      <c r="E128" s="547" t="str">
        <f>FHD_NUM_P_82</f>
        <v/>
      </c>
      <c r="F128" s="1881" t="str">
        <f>FHD_P_82</f>
        <v/>
      </c>
      <c r="G128" s="1879" t="s">
        <v>318</v>
      </c>
      <c r="H128" s="402"/>
      <c r="I128" s="402"/>
      <c r="J128" s="290" t="str">
        <f>FHD_NOTE_P_82</f>
        <v/>
      </c>
      <c r="K128" s="544"/>
      <c r="AF128" s="1632">
        <v>0</v>
      </c>
    </row>
    <row customHeight="1" ht="18.75" hidden="1">
      <c r="A129" s="2372"/>
      <c r="C129" s="1637" t="s">
        <v>599</v>
      </c>
      <c r="D129" s="1639"/>
      <c r="E129" s="547" t="str">
        <f>FHD_NUM_P_83</f>
        <v/>
      </c>
      <c r="F129" s="1525" t="str">
        <f>FHD_P_83</f>
        <v/>
      </c>
      <c r="G129" s="1879" t="s">
        <v>318</v>
      </c>
      <c r="H129" s="402"/>
      <c r="I129" s="402"/>
      <c r="J129" s="290" t="str">
        <f>FHD_NOTE_P_83</f>
        <v/>
      </c>
      <c r="K129" s="544"/>
      <c r="AF129" s="1632">
        <v>0</v>
      </c>
    </row>
    <row customHeight="1" ht="18.75" hidden="1">
      <c r="A130" s="2372"/>
      <c r="C130" s="1637" t="s">
        <v>599</v>
      </c>
      <c r="D130" s="1639"/>
      <c r="E130" s="547" t="str">
        <f>FHD_NUM_P_84</f>
        <v/>
      </c>
      <c r="F130" s="1525" t="str">
        <f>FHD_P_84</f>
        <v/>
      </c>
      <c r="G130" s="1879" t="s">
        <v>318</v>
      </c>
      <c r="H130" s="402"/>
      <c r="I130" s="402"/>
      <c r="J130" s="290" t="str">
        <f>FHD_NOTE_P_84</f>
        <v/>
      </c>
      <c r="K130" s="544"/>
      <c r="AF130" s="1632">
        <v>0</v>
      </c>
    </row>
    <row customHeight="1" ht="11.549999999999999">
      <c r="D131" s="1639"/>
      <c r="AF131" s="1632">
        <v>11</v>
      </c>
    </row>
    <row customHeight="1" ht="13.5">
      <c r="D132" s="1639"/>
      <c r="E132" s="337"/>
      <c r="F132" s="370"/>
      <c r="G132" s="370"/>
      <c r="H132" s="370"/>
      <c r="I132" s="1648"/>
      <c r="J132" s="582"/>
      <c r="AF132" s="1632">
        <v>13</v>
      </c>
    </row>
    <row s="1642" customFormat="1" customHeight="1" ht="11.549999999999999">
      <c r="A133" s="988"/>
      <c r="B133" s="1637"/>
      <c r="C133" s="1637"/>
      <c r="D133" s="352"/>
      <c r="F133" s="1641"/>
      <c r="G133" s="1632"/>
      <c r="H133" s="1632"/>
      <c r="I133" s="1632"/>
      <c r="K133" s="1161"/>
      <c r="L133" s="1637"/>
      <c r="M133" s="1637"/>
      <c r="N133" s="1161"/>
      <c r="O133" s="1161"/>
      <c r="P133" s="1161"/>
      <c r="Q133" s="1161"/>
      <c r="R133" s="1637"/>
      <c r="S133" s="1161"/>
      <c r="T133" s="1161"/>
      <c r="U133" s="545"/>
      <c r="V133" s="1161"/>
      <c r="W133" s="1161"/>
      <c r="X133" s="1161"/>
      <c r="Y133" s="1161"/>
      <c r="Z133" s="1161"/>
      <c r="AA133" s="1633"/>
      <c r="AB133" s="567"/>
      <c r="AC133" s="567"/>
      <c r="AD133" s="567"/>
      <c r="AE133" s="567"/>
      <c r="AF133" s="1642">
        <v>11</v>
      </c>
    </row>
    <row s="1642" customFormat="1" customHeight="1" ht="11.549999999999999">
      <c r="A134" s="988"/>
      <c r="B134" s="1637"/>
      <c r="C134" s="1637"/>
      <c r="D134" s="352"/>
      <c r="K134" s="1161"/>
      <c r="L134" s="1637"/>
      <c r="M134" s="1637"/>
      <c r="N134" s="1161"/>
      <c r="O134" s="1161"/>
      <c r="P134" s="1161"/>
      <c r="Q134" s="1161"/>
      <c r="R134" s="1637"/>
      <c r="S134" s="1161"/>
      <c r="T134" s="1161"/>
      <c r="U134" s="545"/>
      <c r="V134" s="1161"/>
      <c r="W134" s="1161"/>
      <c r="X134" s="1161"/>
      <c r="Y134" s="1161"/>
      <c r="Z134" s="1161"/>
      <c r="AA134" s="1633"/>
      <c r="AB134" s="567"/>
      <c r="AC134" s="567"/>
      <c r="AD134" s="567"/>
      <c r="AE134" s="567"/>
      <c r="AF134" s="1642">
        <v>11</v>
      </c>
    </row>
    <row s="1642" customFormat="1" customHeight="1" ht="11.549999999999999">
      <c r="A135" s="988"/>
      <c r="B135" s="1637"/>
      <c r="C135" s="1637"/>
      <c r="D135" s="352"/>
      <c r="K135" s="1161"/>
      <c r="L135" s="1637"/>
      <c r="M135" s="1637"/>
      <c r="N135" s="1161"/>
      <c r="O135" s="1161"/>
      <c r="P135" s="1161"/>
      <c r="Q135" s="1161"/>
      <c r="R135" s="1637"/>
      <c r="S135" s="1161"/>
      <c r="T135" s="1161"/>
      <c r="U135" s="545"/>
      <c r="V135" s="1161"/>
      <c r="W135" s="1161"/>
      <c r="X135" s="1161"/>
      <c r="Y135" s="1161"/>
      <c r="Z135" s="1161"/>
      <c r="AA135" s="1633"/>
      <c r="AB135" s="567"/>
      <c r="AC135" s="567"/>
      <c r="AD135" s="567"/>
      <c r="AE135" s="567"/>
      <c r="AF135" s="1642">
        <v>11</v>
      </c>
    </row>
    <row s="1642" customFormat="1" customHeight="1" ht="11.549999999999999">
      <c r="A136" s="988"/>
      <c r="B136" s="1637"/>
      <c r="C136" s="1637"/>
      <c r="D136" s="352"/>
      <c r="H136" s="567" t="str">
        <f>IF(H30-H31&lt;&gt;H72,"WARNING","")</f>
        <v/>
      </c>
      <c r="I136" s="567" t="str">
        <f>IF(I30-I31&lt;&gt;I72,"WARNING","")</f>
        <v/>
      </c>
      <c r="K136" s="1161"/>
      <c r="L136" s="1637"/>
      <c r="M136" s="1637"/>
      <c r="N136" s="1161"/>
      <c r="O136" s="1161"/>
      <c r="P136" s="1161"/>
      <c r="Q136" s="1161"/>
      <c r="R136" s="1637"/>
      <c r="S136" s="1161"/>
      <c r="T136" s="1161"/>
      <c r="U136" s="545"/>
      <c r="V136" s="1161"/>
      <c r="W136" s="1161"/>
      <c r="X136" s="1161"/>
      <c r="Y136" s="1161"/>
      <c r="Z136" s="1161"/>
      <c r="AA136" s="1633"/>
      <c r="AB136" s="567"/>
      <c r="AC136" s="567"/>
      <c r="AD136" s="567"/>
      <c r="AE136" s="567"/>
      <c r="AF136" s="1642">
        <v>11</v>
      </c>
    </row>
    <row s="1642" customFormat="1" customHeight="1" ht="11.549999999999999">
      <c r="A137" s="988"/>
      <c r="B137" s="1637"/>
      <c r="C137" s="1637"/>
      <c r="D137" s="352"/>
      <c r="K137" s="1161"/>
      <c r="L137" s="1637"/>
      <c r="M137" s="1637"/>
      <c r="N137" s="1161"/>
      <c r="O137" s="1161"/>
      <c r="P137" s="1161"/>
      <c r="Q137" s="1161"/>
      <c r="R137" s="1637"/>
      <c r="S137" s="1161"/>
      <c r="T137" s="1161"/>
      <c r="U137" s="545"/>
      <c r="V137" s="1161"/>
      <c r="W137" s="1161"/>
      <c r="X137" s="1161"/>
      <c r="Y137" s="1161"/>
      <c r="Z137" s="1161"/>
      <c r="AA137" s="1633"/>
      <c r="AB137" s="567"/>
      <c r="AC137" s="567"/>
      <c r="AD137" s="567"/>
      <c r="AE137" s="567"/>
      <c r="AF137" s="1642">
        <v>11</v>
      </c>
    </row>
    <row s="1642" customFormat="1" customHeight="1" ht="11.549999999999999">
      <c r="A138" s="988"/>
      <c r="B138" s="1637"/>
      <c r="C138" s="1637"/>
      <c r="D138" s="352"/>
      <c r="K138" s="1161"/>
      <c r="L138" s="1637"/>
      <c r="M138" s="1637"/>
      <c r="N138" s="1161"/>
      <c r="O138" s="1161"/>
      <c r="P138" s="1161"/>
      <c r="Q138" s="1161"/>
      <c r="R138" s="1637"/>
      <c r="S138" s="1161"/>
      <c r="T138" s="1161"/>
      <c r="U138" s="545"/>
      <c r="V138" s="1161"/>
      <c r="W138" s="1161"/>
      <c r="X138" s="1161"/>
      <c r="Y138" s="1161"/>
      <c r="Z138" s="1161"/>
      <c r="AA138" s="1633"/>
      <c r="AB138" s="567"/>
      <c r="AC138" s="567"/>
      <c r="AD138" s="567"/>
      <c r="AE138" s="567"/>
      <c r="AF138" s="1642">
        <v>11</v>
      </c>
    </row>
    <row s="1642" customFormat="1" customHeight="1" ht="11.549999999999999">
      <c r="A139" s="988"/>
      <c r="B139" s="1637"/>
      <c r="C139" s="1637"/>
      <c r="D139" s="352"/>
      <c r="K139" s="1161"/>
      <c r="L139" s="1637"/>
      <c r="M139" s="1637"/>
      <c r="N139" s="1161"/>
      <c r="O139" s="1161"/>
      <c r="P139" s="1161"/>
      <c r="Q139" s="1161"/>
      <c r="R139" s="1637"/>
      <c r="S139" s="1161"/>
      <c r="T139" s="1161"/>
      <c r="U139" s="545"/>
      <c r="V139" s="1161"/>
      <c r="W139" s="1161"/>
      <c r="X139" s="1161"/>
      <c r="Y139" s="1161"/>
      <c r="Z139" s="1161"/>
      <c r="AA139" s="1633"/>
      <c r="AB139" s="567"/>
      <c r="AC139" s="567"/>
      <c r="AD139" s="567"/>
      <c r="AE139" s="567"/>
      <c r="AF139" s="1642">
        <v>11</v>
      </c>
    </row>
    <row s="1642" customFormat="1" customHeight="1" ht="11.549999999999999">
      <c r="A140" s="988"/>
      <c r="B140" s="1637"/>
      <c r="C140" s="1637"/>
      <c r="D140" s="352"/>
      <c r="K140" s="1161"/>
      <c r="L140" s="1637"/>
      <c r="M140" s="1637"/>
      <c r="N140" s="1161"/>
      <c r="O140" s="1161"/>
      <c r="P140" s="1161"/>
      <c r="Q140" s="1161"/>
      <c r="R140" s="1637"/>
      <c r="S140" s="1161"/>
      <c r="T140" s="1161"/>
      <c r="U140" s="545"/>
      <c r="V140" s="1161"/>
      <c r="W140" s="1161"/>
      <c r="X140" s="1161"/>
      <c r="Y140" s="1161"/>
      <c r="Z140" s="1161"/>
      <c r="AA140" s="1633"/>
      <c r="AB140" s="567"/>
      <c r="AC140" s="567"/>
      <c r="AD140" s="567"/>
      <c r="AE140" s="567"/>
      <c r="AF140" s="1642">
        <v>11</v>
      </c>
    </row>
    <row s="1642" customFormat="1" customHeight="1" ht="11.549999999999999">
      <c r="A141" s="988"/>
      <c r="B141" s="1637"/>
      <c r="C141" s="1637"/>
      <c r="D141" s="352"/>
      <c r="K141" s="1161"/>
      <c r="L141" s="1637"/>
      <c r="M141" s="1637"/>
      <c r="N141" s="1161"/>
      <c r="O141" s="1161"/>
      <c r="P141" s="1161"/>
      <c r="Q141" s="1161"/>
      <c r="R141" s="1637"/>
      <c r="S141" s="1161"/>
      <c r="T141" s="1161"/>
      <c r="U141" s="545"/>
      <c r="V141" s="1161"/>
      <c r="W141" s="1161"/>
      <c r="X141" s="1161"/>
      <c r="Y141" s="1161"/>
      <c r="Z141" s="1161"/>
      <c r="AA141" s="1633"/>
      <c r="AB141" s="567"/>
      <c r="AC141" s="567"/>
      <c r="AD141" s="567"/>
      <c r="AE141" s="567"/>
      <c r="AF141" s="1642">
        <v>11</v>
      </c>
    </row>
    <row s="1642" customFormat="1" customHeight="1" ht="11.549999999999999">
      <c r="A142" s="988"/>
      <c r="B142" s="1637"/>
      <c r="C142" s="1637"/>
      <c r="D142" s="352"/>
      <c r="K142" s="1161"/>
      <c r="L142" s="1637"/>
      <c r="M142" s="1637"/>
      <c r="N142" s="1161"/>
      <c r="O142" s="1161"/>
      <c r="P142" s="1161"/>
      <c r="Q142" s="1161"/>
      <c r="R142" s="1637"/>
      <c r="S142" s="1161"/>
      <c r="T142" s="1161"/>
      <c r="U142" s="545"/>
      <c r="V142" s="1161"/>
      <c r="W142" s="1161"/>
      <c r="X142" s="1161"/>
      <c r="Y142" s="1161"/>
      <c r="Z142" s="1161"/>
      <c r="AA142" s="1633"/>
      <c r="AB142" s="567"/>
      <c r="AC142" s="567"/>
      <c r="AD142" s="567"/>
      <c r="AE142" s="567"/>
      <c r="AF142" s="1642">
        <v>11</v>
      </c>
    </row>
    <row s="1642" customFormat="1" customHeight="1" ht="11.549999999999999">
      <c r="A143" s="988"/>
      <c r="B143" s="1637"/>
      <c r="C143" s="1637"/>
      <c r="D143" s="352"/>
      <c r="K143" s="1161"/>
      <c r="L143" s="1637"/>
      <c r="M143" s="1637"/>
      <c r="N143" s="1161"/>
      <c r="O143" s="1161"/>
      <c r="P143" s="1161"/>
      <c r="Q143" s="1161"/>
      <c r="R143" s="1637"/>
      <c r="S143" s="1161"/>
      <c r="T143" s="1161"/>
      <c r="U143" s="545"/>
      <c r="V143" s="1161"/>
      <c r="W143" s="1161"/>
      <c r="X143" s="1161"/>
      <c r="Y143" s="1161"/>
      <c r="Z143" s="1161"/>
      <c r="AA143" s="1633"/>
      <c r="AB143" s="567"/>
      <c r="AC143" s="567"/>
      <c r="AD143" s="567"/>
      <c r="AE143" s="567"/>
      <c r="AF143" s="1642">
        <v>11</v>
      </c>
    </row>
    <row s="1642" customFormat="1" customHeight="1" ht="11.549999999999999">
      <c r="A144" s="988"/>
      <c r="B144" s="1637"/>
      <c r="C144" s="1637"/>
      <c r="D144" s="352"/>
      <c r="K144" s="1161"/>
      <c r="L144" s="1637"/>
      <c r="M144" s="1637"/>
      <c r="N144" s="1161"/>
      <c r="O144" s="1161"/>
      <c r="P144" s="1161"/>
      <c r="Q144" s="1161"/>
      <c r="R144" s="1637"/>
      <c r="S144" s="1161"/>
      <c r="T144" s="1161"/>
      <c r="U144" s="545"/>
      <c r="V144" s="1161"/>
      <c r="W144" s="1161"/>
      <c r="X144" s="1161"/>
      <c r="Y144" s="1161"/>
      <c r="Z144" s="1161"/>
      <c r="AA144" s="1633"/>
      <c r="AB144" s="567"/>
      <c r="AC144" s="567"/>
      <c r="AD144" s="567"/>
      <c r="AE144" s="567"/>
      <c r="AF144" s="1642">
        <v>11</v>
      </c>
    </row>
    <row s="1642" customFormat="1" customHeight="1" ht="11.549999999999999">
      <c r="A145" s="988"/>
      <c r="B145" s="1637"/>
      <c r="C145" s="1637"/>
      <c r="D145" s="352"/>
      <c r="K145" s="1161"/>
      <c r="L145" s="1637"/>
      <c r="M145" s="1637"/>
      <c r="N145" s="1161"/>
      <c r="O145" s="1161"/>
      <c r="P145" s="1161"/>
      <c r="Q145" s="1161"/>
      <c r="R145" s="1637"/>
      <c r="S145" s="1161"/>
      <c r="T145" s="1161"/>
      <c r="U145" s="545"/>
      <c r="V145" s="1161"/>
      <c r="W145" s="1161"/>
      <c r="X145" s="1161"/>
      <c r="Y145" s="1161"/>
      <c r="Z145" s="1161"/>
      <c r="AA145" s="1633"/>
      <c r="AB145" s="567"/>
      <c r="AC145" s="567"/>
      <c r="AD145" s="567"/>
      <c r="AE145" s="567"/>
      <c r="AF145" s="1642">
        <v>11</v>
      </c>
    </row>
    <row s="1642" customFormat="1" customHeight="1" ht="11.549999999999999">
      <c r="A146" s="988"/>
      <c r="B146" s="1637"/>
      <c r="C146" s="1637"/>
      <c r="D146" s="352"/>
      <c r="K146" s="1161"/>
      <c r="L146" s="1637"/>
      <c r="M146" s="1637"/>
      <c r="N146" s="1161"/>
      <c r="O146" s="1161"/>
      <c r="P146" s="1161"/>
      <c r="Q146" s="1161"/>
      <c r="R146" s="1637"/>
      <c r="S146" s="1161"/>
      <c r="T146" s="1161"/>
      <c r="U146" s="545"/>
      <c r="V146" s="1161"/>
      <c r="W146" s="1161"/>
      <c r="X146" s="1161"/>
      <c r="Y146" s="1161"/>
      <c r="Z146" s="1161"/>
      <c r="AA146" s="1633"/>
      <c r="AB146" s="567"/>
      <c r="AC146" s="567"/>
      <c r="AD146" s="567"/>
      <c r="AE146" s="567"/>
      <c r="AF146" s="1642">
        <v>11</v>
      </c>
    </row>
    <row s="1642" customFormat="1" customHeight="1" ht="11.549999999999999">
      <c r="A147" s="988"/>
      <c r="B147" s="1637"/>
      <c r="C147" s="1637"/>
      <c r="D147" s="352"/>
      <c r="K147" s="1161"/>
      <c r="L147" s="1637"/>
      <c r="M147" s="1637"/>
      <c r="N147" s="1161"/>
      <c r="O147" s="1161"/>
      <c r="P147" s="1161"/>
      <c r="Q147" s="1161"/>
      <c r="R147" s="1637"/>
      <c r="S147" s="1161"/>
      <c r="T147" s="1161"/>
      <c r="U147" s="545"/>
      <c r="V147" s="1161"/>
      <c r="W147" s="1161"/>
      <c r="X147" s="1161"/>
      <c r="Y147" s="1161"/>
      <c r="Z147" s="1161"/>
      <c r="AA147" s="1633"/>
      <c r="AB147" s="567"/>
      <c r="AC147" s="567"/>
      <c r="AD147" s="567"/>
      <c r="AE147" s="567"/>
      <c r="AF147" s="1642">
        <v>11</v>
      </c>
    </row>
    <row s="1642" customFormat="1" customHeight="1" ht="11.549999999999999">
      <c r="A148" s="988"/>
      <c r="B148" s="1637"/>
      <c r="C148" s="1637"/>
      <c r="D148" s="352"/>
      <c r="K148" s="1161"/>
      <c r="L148" s="1637"/>
      <c r="M148" s="1637"/>
      <c r="N148" s="1161"/>
      <c r="O148" s="1161"/>
      <c r="P148" s="1161"/>
      <c r="Q148" s="1161"/>
      <c r="R148" s="1637"/>
      <c r="S148" s="1161"/>
      <c r="T148" s="1161"/>
      <c r="U148" s="545"/>
      <c r="V148" s="1161"/>
      <c r="W148" s="1161"/>
      <c r="X148" s="1161"/>
      <c r="Y148" s="1161"/>
      <c r="Z148" s="1161"/>
      <c r="AA148" s="1633"/>
      <c r="AB148" s="567"/>
      <c r="AC148" s="567"/>
      <c r="AD148" s="567"/>
      <c r="AE148" s="567"/>
      <c r="AF148" s="1642">
        <v>11</v>
      </c>
    </row>
    <row s="1642" customFormat="1" customHeight="1" ht="11.549999999999999">
      <c r="A149" s="988"/>
      <c r="B149" s="1637"/>
      <c r="C149" s="1637"/>
      <c r="D149" s="352"/>
      <c r="K149" s="1161"/>
      <c r="L149" s="1637"/>
      <c r="M149" s="1637"/>
      <c r="N149" s="1161"/>
      <c r="O149" s="1161"/>
      <c r="P149" s="1161"/>
      <c r="Q149" s="1161"/>
      <c r="R149" s="1637"/>
      <c r="S149" s="1161"/>
      <c r="T149" s="1161"/>
      <c r="U149" s="545"/>
      <c r="V149" s="1161"/>
      <c r="W149" s="1161"/>
      <c r="X149" s="1161"/>
      <c r="Y149" s="1161"/>
      <c r="Z149" s="1161"/>
      <c r="AA149" s="1633"/>
      <c r="AB149" s="567"/>
      <c r="AC149" s="567"/>
      <c r="AD149" s="567"/>
      <c r="AE149" s="567"/>
      <c r="AF149" s="1642">
        <v>11</v>
      </c>
    </row>
    <row s="1642" customFormat="1" customHeight="1" ht="11.549999999999999">
      <c r="A150" s="988"/>
      <c r="B150" s="1637"/>
      <c r="C150" s="1637"/>
      <c r="D150" s="352"/>
      <c r="K150" s="1161"/>
      <c r="L150" s="1637"/>
      <c r="M150" s="1637"/>
      <c r="N150" s="1161"/>
      <c r="O150" s="1161"/>
      <c r="P150" s="1161"/>
      <c r="Q150" s="1161"/>
      <c r="R150" s="1637"/>
      <c r="S150" s="1161"/>
      <c r="T150" s="1161"/>
      <c r="U150" s="545"/>
      <c r="V150" s="1161"/>
      <c r="W150" s="1161"/>
      <c r="X150" s="1161"/>
      <c r="Y150" s="1161"/>
      <c r="Z150" s="1161"/>
      <c r="AA150" s="1633"/>
      <c r="AB150" s="567"/>
      <c r="AC150" s="567"/>
      <c r="AD150" s="567"/>
      <c r="AE150" s="567"/>
      <c r="AF150" s="1642">
        <v>11</v>
      </c>
    </row>
    <row s="1642" customFormat="1" customHeight="1" ht="11.549999999999999">
      <c r="A151" s="988"/>
      <c r="B151" s="1637"/>
      <c r="C151" s="1637"/>
      <c r="D151" s="352"/>
      <c r="K151" s="1161"/>
      <c r="L151" s="1637"/>
      <c r="M151" s="1637"/>
      <c r="N151" s="1161"/>
      <c r="O151" s="1161"/>
      <c r="P151" s="1161"/>
      <c r="Q151" s="1161"/>
      <c r="R151" s="1637"/>
      <c r="S151" s="1161"/>
      <c r="T151" s="1161"/>
      <c r="U151" s="545"/>
      <c r="V151" s="1161"/>
      <c r="W151" s="1161"/>
      <c r="X151" s="1161"/>
      <c r="Y151" s="1161"/>
      <c r="Z151" s="1161"/>
      <c r="AA151" s="1633"/>
      <c r="AB151" s="567"/>
      <c r="AC151" s="567"/>
      <c r="AD151" s="567"/>
      <c r="AE151" s="567"/>
      <c r="AF151" s="1642">
        <v>11</v>
      </c>
    </row>
    <row s="1642" customFormat="1" customHeight="1" ht="11.549999999999999">
      <c r="A152" s="988"/>
      <c r="B152" s="1637"/>
      <c r="C152" s="1637"/>
      <c r="D152" s="352"/>
      <c r="K152" s="1161"/>
      <c r="L152" s="1637"/>
      <c r="M152" s="1637"/>
      <c r="N152" s="1161"/>
      <c r="O152" s="1161"/>
      <c r="P152" s="1161"/>
      <c r="Q152" s="1161"/>
      <c r="R152" s="1637"/>
      <c r="S152" s="1161"/>
      <c r="T152" s="1161"/>
      <c r="U152" s="545"/>
      <c r="V152" s="1161"/>
      <c r="W152" s="1161"/>
      <c r="X152" s="1161"/>
      <c r="Y152" s="1161"/>
      <c r="Z152" s="1161"/>
      <c r="AA152" s="1633"/>
      <c r="AB152" s="567"/>
      <c r="AC152" s="567"/>
      <c r="AD152" s="567"/>
      <c r="AE152" s="567"/>
      <c r="AF152" s="1642">
        <v>11</v>
      </c>
    </row>
    <row s="1642" customFormat="1" customHeight="1" ht="11.549999999999999">
      <c r="A153" s="988"/>
      <c r="B153" s="1637"/>
      <c r="C153" s="1637"/>
      <c r="D153" s="352"/>
      <c r="K153" s="1161"/>
      <c r="L153" s="1637"/>
      <c r="M153" s="1637"/>
      <c r="N153" s="1161"/>
      <c r="O153" s="1161"/>
      <c r="P153" s="1161"/>
      <c r="Q153" s="1161"/>
      <c r="R153" s="1637"/>
      <c r="S153" s="1161"/>
      <c r="T153" s="1161"/>
      <c r="U153" s="545"/>
      <c r="V153" s="1161"/>
      <c r="W153" s="1161"/>
      <c r="X153" s="1161"/>
      <c r="Y153" s="1161"/>
      <c r="Z153" s="1161"/>
      <c r="AA153" s="1633"/>
      <c r="AB153" s="567"/>
      <c r="AC153" s="567"/>
      <c r="AD153" s="567"/>
      <c r="AE153" s="567"/>
      <c r="AF153" s="1642">
        <v>11</v>
      </c>
    </row>
    <row s="1642" customFormat="1" customHeight="1" ht="11.549999999999999">
      <c r="A154" s="988"/>
      <c r="B154" s="1637"/>
      <c r="C154" s="1637"/>
      <c r="D154" s="352"/>
      <c r="K154" s="1161"/>
      <c r="L154" s="1637"/>
      <c r="M154" s="1637"/>
      <c r="N154" s="1161"/>
      <c r="O154" s="1161"/>
      <c r="P154" s="1161"/>
      <c r="Q154" s="1161"/>
      <c r="R154" s="1637"/>
      <c r="S154" s="1161"/>
      <c r="T154" s="1161"/>
      <c r="U154" s="545"/>
      <c r="V154" s="1161"/>
      <c r="W154" s="1161"/>
      <c r="X154" s="1161"/>
      <c r="Y154" s="1161"/>
      <c r="Z154" s="1161"/>
      <c r="AA154" s="1633"/>
      <c r="AB154" s="567"/>
      <c r="AC154" s="567"/>
      <c r="AD154" s="567"/>
      <c r="AE154" s="567"/>
      <c r="AF154" s="1642">
        <v>11</v>
      </c>
    </row>
    <row s="1642" customFormat="1" customHeight="1" ht="11.549999999999999">
      <c r="A155" s="988"/>
      <c r="B155" s="1637"/>
      <c r="C155" s="1637"/>
      <c r="D155" s="352"/>
      <c r="K155" s="1161"/>
      <c r="L155" s="1637"/>
      <c r="M155" s="1637"/>
      <c r="N155" s="1161"/>
      <c r="O155" s="1161"/>
      <c r="P155" s="1161"/>
      <c r="Q155" s="1161"/>
      <c r="R155" s="1637"/>
      <c r="S155" s="1161"/>
      <c r="T155" s="1161"/>
      <c r="U155" s="545"/>
      <c r="V155" s="1161"/>
      <c r="W155" s="1161"/>
      <c r="X155" s="1161"/>
      <c r="Y155" s="1161"/>
      <c r="Z155" s="1161"/>
      <c r="AA155" s="1633"/>
      <c r="AB155" s="567"/>
      <c r="AC155" s="567"/>
      <c r="AD155" s="567"/>
      <c r="AE155" s="567"/>
      <c r="AF155" s="1642">
        <v>11</v>
      </c>
    </row>
    <row s="1642" customFormat="1" customHeight="1" ht="11.549999999999999">
      <c r="A156" s="988"/>
      <c r="B156" s="1637"/>
      <c r="C156" s="1637"/>
      <c r="D156" s="352"/>
      <c r="K156" s="1161"/>
      <c r="L156" s="1637"/>
      <c r="M156" s="1637"/>
      <c r="N156" s="1161"/>
      <c r="O156" s="1161"/>
      <c r="P156" s="1161"/>
      <c r="Q156" s="1161"/>
      <c r="R156" s="1637"/>
      <c r="S156" s="1161"/>
      <c r="T156" s="1161"/>
      <c r="U156" s="545"/>
      <c r="V156" s="1161"/>
      <c r="W156" s="1161"/>
      <c r="X156" s="1161"/>
      <c r="Y156" s="1161"/>
      <c r="Z156" s="1161"/>
      <c r="AA156" s="1633"/>
      <c r="AB156" s="567"/>
      <c r="AC156" s="567"/>
      <c r="AD156" s="567"/>
      <c r="AE156" s="567"/>
      <c r="AF156" s="1642">
        <v>11</v>
      </c>
    </row>
    <row s="1642" customFormat="1" customHeight="1" ht="11.549999999999999">
      <c r="A157" s="988"/>
      <c r="B157" s="1637"/>
      <c r="C157" s="1637"/>
      <c r="D157" s="352"/>
      <c r="K157" s="1161"/>
      <c r="L157" s="1637"/>
      <c r="M157" s="1637"/>
      <c r="N157" s="1161"/>
      <c r="O157" s="1161"/>
      <c r="P157" s="1161"/>
      <c r="Q157" s="1161"/>
      <c r="R157" s="1637"/>
      <c r="S157" s="1161"/>
      <c r="T157" s="1161"/>
      <c r="U157" s="545"/>
      <c r="V157" s="1161"/>
      <c r="W157" s="1161"/>
      <c r="X157" s="1161"/>
      <c r="Y157" s="1161"/>
      <c r="Z157" s="1161"/>
      <c r="AA157" s="1633"/>
      <c r="AB157" s="567"/>
      <c r="AC157" s="567"/>
      <c r="AD157" s="567"/>
      <c r="AE157" s="567"/>
      <c r="AF157" s="1642">
        <v>11</v>
      </c>
    </row>
    <row s="1642" customFormat="1" customHeight="1" ht="11.549999999999999">
      <c r="A158" s="988"/>
      <c r="B158" s="1637"/>
      <c r="C158" s="1637"/>
      <c r="D158" s="352"/>
      <c r="K158" s="1161"/>
      <c r="L158" s="1637"/>
      <c r="M158" s="1637"/>
      <c r="N158" s="1161"/>
      <c r="O158" s="1161"/>
      <c r="P158" s="1161"/>
      <c r="Q158" s="1161"/>
      <c r="R158" s="1637"/>
      <c r="S158" s="1161"/>
      <c r="T158" s="1161"/>
      <c r="U158" s="545"/>
      <c r="V158" s="1161"/>
      <c r="W158" s="1161"/>
      <c r="X158" s="1161"/>
      <c r="Y158" s="1161"/>
      <c r="Z158" s="1161"/>
      <c r="AA158" s="1633"/>
      <c r="AB158" s="567"/>
      <c r="AC158" s="567"/>
      <c r="AD158" s="567"/>
      <c r="AE158" s="567"/>
      <c r="AF158" s="1642">
        <v>11</v>
      </c>
    </row>
    <row s="1642" customFormat="1" customHeight="1" ht="11.549999999999999">
      <c r="A159" s="988"/>
      <c r="B159" s="1637"/>
      <c r="C159" s="1637"/>
      <c r="D159" s="352"/>
      <c r="K159" s="1161"/>
      <c r="L159" s="1637"/>
      <c r="M159" s="1637"/>
      <c r="N159" s="1161"/>
      <c r="O159" s="1161"/>
      <c r="P159" s="1161"/>
      <c r="Q159" s="1161"/>
      <c r="R159" s="1637"/>
      <c r="S159" s="1161"/>
      <c r="T159" s="1161"/>
      <c r="U159" s="545"/>
      <c r="V159" s="1161"/>
      <c r="W159" s="1161"/>
      <c r="X159" s="1161"/>
      <c r="Y159" s="1161"/>
      <c r="Z159" s="1161"/>
      <c r="AA159" s="1633"/>
      <c r="AB159" s="567"/>
      <c r="AC159" s="567"/>
      <c r="AD159" s="567"/>
      <c r="AE159" s="567"/>
      <c r="AF159" s="1642">
        <v>11</v>
      </c>
    </row>
    <row s="1642" customFormat="1" customHeight="1" ht="11.549999999999999">
      <c r="A160" s="988"/>
      <c r="B160" s="1637"/>
      <c r="C160" s="1637"/>
      <c r="D160" s="352"/>
      <c r="K160" s="1161"/>
      <c r="L160" s="1637"/>
      <c r="M160" s="1637"/>
      <c r="N160" s="1161"/>
      <c r="O160" s="1161"/>
      <c r="P160" s="1161"/>
      <c r="Q160" s="1161"/>
      <c r="R160" s="1637"/>
      <c r="S160" s="1161"/>
      <c r="T160" s="1161"/>
      <c r="U160" s="545"/>
      <c r="V160" s="1161"/>
      <c r="W160" s="1161"/>
      <c r="X160" s="1161"/>
      <c r="Y160" s="1161"/>
      <c r="Z160" s="1161"/>
      <c r="AA160" s="1633"/>
      <c r="AB160" s="567"/>
      <c r="AC160" s="567"/>
      <c r="AD160" s="567"/>
      <c r="AE160" s="567"/>
      <c r="AF160" s="1642">
        <v>11</v>
      </c>
    </row>
    <row s="1642" customFormat="1" customHeight="1" ht="11.549999999999999">
      <c r="A161" s="988"/>
      <c r="B161" s="1637"/>
      <c r="C161" s="1637"/>
      <c r="D161" s="352"/>
      <c r="K161" s="1161"/>
      <c r="L161" s="1637"/>
      <c r="M161" s="1637"/>
      <c r="N161" s="1161"/>
      <c r="O161" s="1161"/>
      <c r="P161" s="1161"/>
      <c r="Q161" s="1161"/>
      <c r="R161" s="1637"/>
      <c r="S161" s="1161"/>
      <c r="T161" s="1161"/>
      <c r="U161" s="545"/>
      <c r="V161" s="1161"/>
      <c r="W161" s="1161"/>
      <c r="X161" s="1161"/>
      <c r="Y161" s="1161"/>
      <c r="Z161" s="1161"/>
      <c r="AA161" s="1633"/>
      <c r="AB161" s="567"/>
      <c r="AC161" s="567"/>
      <c r="AD161" s="567"/>
      <c r="AE161" s="567"/>
      <c r="AF161" s="1642">
        <v>11</v>
      </c>
    </row>
    <row s="1642" customFormat="1" customHeight="1" ht="11.549999999999999">
      <c r="A162" s="988"/>
      <c r="B162" s="1637"/>
      <c r="C162" s="1637"/>
      <c r="D162" s="352"/>
      <c r="K162" s="1161"/>
      <c r="L162" s="1637"/>
      <c r="M162" s="1637"/>
      <c r="N162" s="1161"/>
      <c r="O162" s="1161"/>
      <c r="P162" s="1161"/>
      <c r="Q162" s="1161"/>
      <c r="R162" s="1637"/>
      <c r="S162" s="1161"/>
      <c r="T162" s="1161"/>
      <c r="U162" s="545"/>
      <c r="V162" s="1161"/>
      <c r="W162" s="1161"/>
      <c r="X162" s="1161"/>
      <c r="Y162" s="1161"/>
      <c r="Z162" s="1161"/>
      <c r="AA162" s="1633"/>
      <c r="AB162" s="567"/>
      <c r="AC162" s="567"/>
      <c r="AD162" s="567"/>
      <c r="AE162" s="567"/>
      <c r="AF162" s="1642">
        <v>11</v>
      </c>
    </row>
    <row s="1642" customFormat="1" customHeight="1" ht="11.549999999999999">
      <c r="A163" s="988"/>
      <c r="B163" s="1637"/>
      <c r="C163" s="1637"/>
      <c r="D163" s="352"/>
      <c r="K163" s="1161"/>
      <c r="L163" s="1637"/>
      <c r="M163" s="1637"/>
      <c r="N163" s="1161"/>
      <c r="O163" s="1161"/>
      <c r="P163" s="1161"/>
      <c r="Q163" s="1161"/>
      <c r="R163" s="1637"/>
      <c r="S163" s="1161"/>
      <c r="T163" s="1161"/>
      <c r="U163" s="545"/>
      <c r="V163" s="1161"/>
      <c r="W163" s="1161"/>
      <c r="X163" s="1161"/>
      <c r="Y163" s="1161"/>
      <c r="Z163" s="1161"/>
      <c r="AA163" s="1633"/>
      <c r="AB163" s="567"/>
      <c r="AC163" s="567"/>
      <c r="AD163" s="567"/>
      <c r="AE163" s="567"/>
      <c r="AF163" s="1642">
        <v>11</v>
      </c>
    </row>
    <row s="1642" customFormat="1" customHeight="1" ht="11.549999999999999">
      <c r="A164" s="988"/>
      <c r="B164" s="1637"/>
      <c r="C164" s="1637"/>
      <c r="D164" s="352"/>
      <c r="K164" s="1161"/>
      <c r="L164" s="1637"/>
      <c r="M164" s="1637"/>
      <c r="N164" s="1161"/>
      <c r="O164" s="1161"/>
      <c r="P164" s="1161"/>
      <c r="Q164" s="1161"/>
      <c r="R164" s="1637"/>
      <c r="S164" s="1161"/>
      <c r="T164" s="1161"/>
      <c r="U164" s="545"/>
      <c r="V164" s="1161"/>
      <c r="W164" s="1161"/>
      <c r="X164" s="1161"/>
      <c r="Y164" s="1161"/>
      <c r="Z164" s="1161"/>
      <c r="AA164" s="1633"/>
      <c r="AB164" s="567"/>
      <c r="AC164" s="567"/>
      <c r="AD164" s="567"/>
      <c r="AE164" s="567"/>
      <c r="AF164" s="1642">
        <v>11</v>
      </c>
    </row>
    <row s="1642" customFormat="1" customHeight="1" ht="11.549999999999999">
      <c r="A165" s="988"/>
      <c r="B165" s="1637"/>
      <c r="C165" s="1637"/>
      <c r="D165" s="352"/>
      <c r="K165" s="1161"/>
      <c r="L165" s="1637"/>
      <c r="M165" s="1637"/>
      <c r="N165" s="1161"/>
      <c r="O165" s="1161"/>
      <c r="P165" s="1161"/>
      <c r="Q165" s="1161"/>
      <c r="R165" s="1637"/>
      <c r="S165" s="1161"/>
      <c r="T165" s="1161"/>
      <c r="U165" s="545"/>
      <c r="V165" s="1161"/>
      <c r="W165" s="1161"/>
      <c r="X165" s="1161"/>
      <c r="Y165" s="1161"/>
      <c r="Z165" s="1161"/>
      <c r="AA165" s="1633"/>
      <c r="AB165" s="567"/>
      <c r="AC165" s="567"/>
      <c r="AD165" s="567"/>
      <c r="AE165" s="567"/>
      <c r="AF165" s="1642">
        <v>11</v>
      </c>
    </row>
    <row s="1642" customFormat="1" customHeight="1" ht="11.549999999999999">
      <c r="A166" s="988"/>
      <c r="B166" s="1637"/>
      <c r="C166" s="1637"/>
      <c r="D166" s="352"/>
      <c r="K166" s="1161"/>
      <c r="L166" s="1637"/>
      <c r="M166" s="1637"/>
      <c r="N166" s="1161"/>
      <c r="O166" s="1161"/>
      <c r="P166" s="1161"/>
      <c r="Q166" s="1161"/>
      <c r="R166" s="1637"/>
      <c r="S166" s="1161"/>
      <c r="T166" s="1161"/>
      <c r="U166" s="545"/>
      <c r="V166" s="1161"/>
      <c r="W166" s="1161"/>
      <c r="X166" s="1161"/>
      <c r="Y166" s="1161"/>
      <c r="Z166" s="1161"/>
      <c r="AA166" s="1633"/>
      <c r="AB166" s="567"/>
      <c r="AC166" s="567"/>
      <c r="AD166" s="567"/>
      <c r="AE166" s="567"/>
      <c r="AF166" s="1642">
        <v>11</v>
      </c>
    </row>
    <row s="1642" customFormat="1" customHeight="1" ht="11.549999999999999">
      <c r="A167" s="988"/>
      <c r="B167" s="1637"/>
      <c r="C167" s="1637"/>
      <c r="D167" s="352"/>
      <c r="K167" s="1161"/>
      <c r="L167" s="1637"/>
      <c r="M167" s="1637"/>
      <c r="N167" s="1161"/>
      <c r="O167" s="1161"/>
      <c r="P167" s="1161"/>
      <c r="Q167" s="1161"/>
      <c r="R167" s="1637"/>
      <c r="S167" s="1161"/>
      <c r="T167" s="1161"/>
      <c r="U167" s="545"/>
      <c r="V167" s="1161"/>
      <c r="W167" s="1161"/>
      <c r="X167" s="1161"/>
      <c r="Y167" s="1161"/>
      <c r="Z167" s="1161"/>
      <c r="AA167" s="1633"/>
      <c r="AB167" s="567"/>
      <c r="AC167" s="567"/>
      <c r="AD167" s="567"/>
      <c r="AE167" s="567"/>
      <c r="AF167" s="1642">
        <v>11</v>
      </c>
    </row>
    <row s="1642" customFormat="1" customHeight="1" ht="11.549999999999999">
      <c r="A168" s="988"/>
      <c r="B168" s="1637"/>
      <c r="C168" s="1637"/>
      <c r="D168" s="352"/>
      <c r="K168" s="1161"/>
      <c r="L168" s="1637"/>
      <c r="M168" s="1637"/>
      <c r="N168" s="1161"/>
      <c r="O168" s="1161"/>
      <c r="P168" s="1161"/>
      <c r="Q168" s="1161"/>
      <c r="R168" s="1637"/>
      <c r="S168" s="1161"/>
      <c r="T168" s="1161"/>
      <c r="U168" s="545"/>
      <c r="V168" s="1161"/>
      <c r="W168" s="1161"/>
      <c r="X168" s="1161"/>
      <c r="Y168" s="1161"/>
      <c r="Z168" s="1161"/>
      <c r="AA168" s="1633"/>
      <c r="AB168" s="567"/>
      <c r="AC168" s="567"/>
      <c r="AD168" s="567"/>
      <c r="AE168" s="567"/>
      <c r="AF168" s="1642">
        <v>11</v>
      </c>
    </row>
    <row s="1642" customFormat="1" customHeight="1" ht="11.549999999999999">
      <c r="A169" s="988"/>
      <c r="B169" s="1637"/>
      <c r="C169" s="1637"/>
      <c r="D169" s="352"/>
      <c r="K169" s="1161"/>
      <c r="L169" s="1637"/>
      <c r="M169" s="1637"/>
      <c r="N169" s="1161"/>
      <c r="O169" s="1161"/>
      <c r="P169" s="1161"/>
      <c r="Q169" s="1161"/>
      <c r="R169" s="1637"/>
      <c r="S169" s="1161"/>
      <c r="T169" s="1161"/>
      <c r="U169" s="545"/>
      <c r="V169" s="1161"/>
      <c r="W169" s="1161"/>
      <c r="X169" s="1161"/>
      <c r="Y169" s="1161"/>
      <c r="Z169" s="1161"/>
      <c r="AA169" s="1633"/>
      <c r="AB169" s="567"/>
      <c r="AC169" s="567"/>
      <c r="AD169" s="567"/>
      <c r="AE169" s="567"/>
      <c r="AF169" s="1642">
        <v>11</v>
      </c>
    </row>
    <row s="1642" customFormat="1" customHeight="1" ht="11.549999999999999">
      <c r="A170" s="988"/>
      <c r="B170" s="1637"/>
      <c r="C170" s="1637"/>
      <c r="D170" s="352"/>
      <c r="K170" s="1161"/>
      <c r="L170" s="1637"/>
      <c r="M170" s="1637"/>
      <c r="N170" s="1161"/>
      <c r="O170" s="1161"/>
      <c r="P170" s="1161"/>
      <c r="Q170" s="1161"/>
      <c r="R170" s="1637"/>
      <c r="S170" s="1161"/>
      <c r="T170" s="1161"/>
      <c r="U170" s="545"/>
      <c r="V170" s="1161"/>
      <c r="W170" s="1161"/>
      <c r="X170" s="1161"/>
      <c r="Y170" s="1161"/>
      <c r="Z170" s="1161"/>
      <c r="AA170" s="1633"/>
      <c r="AB170" s="567"/>
      <c r="AC170" s="567"/>
      <c r="AD170" s="567"/>
      <c r="AE170" s="567"/>
      <c r="AF170" s="1642">
        <v>11</v>
      </c>
    </row>
    <row s="1642" customFormat="1" customHeight="1" ht="11.549999999999999">
      <c r="A171" s="988"/>
      <c r="B171" s="1637"/>
      <c r="C171" s="1637"/>
      <c r="D171" s="352"/>
      <c r="K171" s="1161"/>
      <c r="L171" s="1637"/>
      <c r="M171" s="1637"/>
      <c r="N171" s="1161"/>
      <c r="O171" s="1161"/>
      <c r="P171" s="1161"/>
      <c r="Q171" s="1161"/>
      <c r="R171" s="1637"/>
      <c r="S171" s="1161"/>
      <c r="T171" s="1161"/>
      <c r="U171" s="545"/>
      <c r="V171" s="1161"/>
      <c r="W171" s="1161"/>
      <c r="X171" s="1161"/>
      <c r="Y171" s="1161"/>
      <c r="Z171" s="1161"/>
      <c r="AA171" s="1633"/>
      <c r="AB171" s="567"/>
      <c r="AC171" s="567"/>
      <c r="AD171" s="567"/>
      <c r="AE171" s="567"/>
      <c r="AF171" s="1642">
        <v>11</v>
      </c>
    </row>
    <row s="1642" customFormat="1" customHeight="1" ht="11.549999999999999">
      <c r="A172" s="988"/>
      <c r="B172" s="1637"/>
      <c r="C172" s="1637"/>
      <c r="D172" s="352"/>
      <c r="K172" s="1161"/>
      <c r="L172" s="1637"/>
      <c r="M172" s="1637"/>
      <c r="N172" s="1161"/>
      <c r="O172" s="1161"/>
      <c r="P172" s="1161"/>
      <c r="Q172" s="1161"/>
      <c r="R172" s="1637"/>
      <c r="S172" s="1161"/>
      <c r="T172" s="1161"/>
      <c r="U172" s="545"/>
      <c r="V172" s="1161"/>
      <c r="W172" s="1161"/>
      <c r="X172" s="1161"/>
      <c r="Y172" s="1161"/>
      <c r="Z172" s="1161"/>
      <c r="AA172" s="1633"/>
      <c r="AB172" s="567"/>
      <c r="AC172" s="567"/>
      <c r="AD172" s="567"/>
      <c r="AE172" s="567"/>
      <c r="AF172" s="1642">
        <v>11</v>
      </c>
    </row>
    <row s="1642" customFormat="1" customHeight="1" ht="11.549999999999999">
      <c r="A173" s="988"/>
      <c r="B173" s="1637"/>
      <c r="C173" s="1637"/>
      <c r="D173" s="352"/>
      <c r="K173" s="1161"/>
      <c r="L173" s="1637"/>
      <c r="M173" s="1637"/>
      <c r="N173" s="1161"/>
      <c r="O173" s="1161"/>
      <c r="P173" s="1161"/>
      <c r="Q173" s="1161"/>
      <c r="R173" s="1637"/>
      <c r="S173" s="1161"/>
      <c r="T173" s="1161"/>
      <c r="U173" s="545"/>
      <c r="V173" s="1161"/>
      <c r="W173" s="1161"/>
      <c r="X173" s="1161"/>
      <c r="Y173" s="1161"/>
      <c r="Z173" s="1161"/>
      <c r="AA173" s="1633"/>
      <c r="AB173" s="567"/>
      <c r="AC173" s="567"/>
      <c r="AD173" s="567"/>
      <c r="AE173" s="567"/>
      <c r="AF173" s="1642">
        <v>11</v>
      </c>
    </row>
    <row s="1642" customFormat="1" customHeight="1" ht="11.549999999999999">
      <c r="A174" s="988"/>
      <c r="B174" s="1637"/>
      <c r="C174" s="1637"/>
      <c r="D174" s="352"/>
      <c r="K174" s="1161"/>
      <c r="L174" s="1637"/>
      <c r="M174" s="1637"/>
      <c r="N174" s="1161"/>
      <c r="O174" s="1161"/>
      <c r="P174" s="1161"/>
      <c r="Q174" s="1161"/>
      <c r="R174" s="1637"/>
      <c r="S174" s="1161"/>
      <c r="T174" s="1161"/>
      <c r="U174" s="545"/>
      <c r="V174" s="1161"/>
      <c r="W174" s="1161"/>
      <c r="X174" s="1161"/>
      <c r="Y174" s="1161"/>
      <c r="Z174" s="1161"/>
      <c r="AA174" s="1633"/>
      <c r="AB174" s="567"/>
      <c r="AC174" s="567"/>
      <c r="AD174" s="567"/>
      <c r="AE174" s="567"/>
      <c r="AF174" s="1642">
        <v>11</v>
      </c>
    </row>
    <row s="1642" customFormat="1" customHeight="1" ht="11.549999999999999">
      <c r="A175" s="988"/>
      <c r="B175" s="1637"/>
      <c r="C175" s="1637"/>
      <c r="D175" s="352"/>
      <c r="K175" s="1161"/>
      <c r="L175" s="1637"/>
      <c r="M175" s="1637"/>
      <c r="N175" s="1161"/>
      <c r="O175" s="1161"/>
      <c r="P175" s="1161"/>
      <c r="Q175" s="1161"/>
      <c r="R175" s="1637"/>
      <c r="S175" s="1161"/>
      <c r="T175" s="1161"/>
      <c r="U175" s="545"/>
      <c r="V175" s="1161"/>
      <c r="W175" s="1161"/>
      <c r="X175" s="1161"/>
      <c r="Y175" s="1161"/>
      <c r="Z175" s="1161"/>
      <c r="AA175" s="1633"/>
      <c r="AB175" s="567"/>
      <c r="AC175" s="567"/>
      <c r="AD175" s="567"/>
      <c r="AE175" s="567"/>
      <c r="AF175" s="1642">
        <v>11</v>
      </c>
    </row>
    <row s="1642" customFormat="1" customHeight="1" ht="11.549999999999999">
      <c r="A176" s="988"/>
      <c r="B176" s="1637"/>
      <c r="C176" s="1637"/>
      <c r="D176" s="352"/>
      <c r="K176" s="1161"/>
      <c r="L176" s="1637"/>
      <c r="M176" s="1637"/>
      <c r="N176" s="1161"/>
      <c r="O176" s="1161"/>
      <c r="P176" s="1161"/>
      <c r="Q176" s="1161"/>
      <c r="R176" s="1637"/>
      <c r="S176" s="1161"/>
      <c r="T176" s="1161"/>
      <c r="U176" s="545"/>
      <c r="V176" s="1161"/>
      <c r="W176" s="1161"/>
      <c r="X176" s="1161"/>
      <c r="Y176" s="1161"/>
      <c r="Z176" s="1161"/>
      <c r="AA176" s="1633"/>
      <c r="AB176" s="567"/>
      <c r="AC176" s="567"/>
      <c r="AD176" s="567"/>
      <c r="AE176" s="567"/>
      <c r="AF176" s="1642">
        <v>11</v>
      </c>
    </row>
    <row s="1642" customFormat="1" customHeight="1" ht="11.549999999999999">
      <c r="A177" s="988"/>
      <c r="B177" s="1637"/>
      <c r="C177" s="1637"/>
      <c r="D177" s="352"/>
      <c r="K177" s="1161"/>
      <c r="L177" s="1637"/>
      <c r="M177" s="1637"/>
      <c r="N177" s="1161"/>
      <c r="O177" s="1161"/>
      <c r="P177" s="1161"/>
      <c r="Q177" s="1161"/>
      <c r="R177" s="1637"/>
      <c r="S177" s="1161"/>
      <c r="T177" s="1161"/>
      <c r="U177" s="545"/>
      <c r="V177" s="1161"/>
      <c r="W177" s="1161"/>
      <c r="X177" s="1161"/>
      <c r="Y177" s="1161"/>
      <c r="Z177" s="1161"/>
      <c r="AA177" s="1633"/>
      <c r="AB177" s="567"/>
      <c r="AC177" s="567"/>
      <c r="AD177" s="567"/>
      <c r="AE177" s="567"/>
      <c r="AF177" s="1642">
        <v>11</v>
      </c>
    </row>
    <row s="1642" customFormat="1" customHeight="1" ht="11.549999999999999">
      <c r="A178" s="988"/>
      <c r="B178" s="1637"/>
      <c r="C178" s="1637"/>
      <c r="D178" s="352"/>
      <c r="K178" s="1161"/>
      <c r="L178" s="1637"/>
      <c r="M178" s="1637"/>
      <c r="N178" s="1161"/>
      <c r="O178" s="1161"/>
      <c r="P178" s="1161"/>
      <c r="Q178" s="1161"/>
      <c r="R178" s="1637"/>
      <c r="S178" s="1161"/>
      <c r="T178" s="1161"/>
      <c r="U178" s="545"/>
      <c r="V178" s="1161"/>
      <c r="W178" s="1161"/>
      <c r="X178" s="1161"/>
      <c r="Y178" s="1161"/>
      <c r="Z178" s="1161"/>
      <c r="AA178" s="1633"/>
      <c r="AB178" s="567"/>
      <c r="AC178" s="567"/>
      <c r="AD178" s="567"/>
      <c r="AE178" s="567"/>
      <c r="AF178" s="1642">
        <v>11</v>
      </c>
    </row>
    <row s="1642" customFormat="1" customHeight="1" ht="11.549999999999999">
      <c r="A179" s="988"/>
      <c r="B179" s="1637"/>
      <c r="C179" s="1637"/>
      <c r="D179" s="352"/>
      <c r="K179" s="1161"/>
      <c r="L179" s="1637"/>
      <c r="M179" s="1637"/>
      <c r="N179" s="1161"/>
      <c r="O179" s="1161"/>
      <c r="P179" s="1161"/>
      <c r="Q179" s="1161"/>
      <c r="R179" s="1637"/>
      <c r="S179" s="1161"/>
      <c r="T179" s="1161"/>
      <c r="U179" s="545"/>
      <c r="V179" s="1161"/>
      <c r="W179" s="1161"/>
      <c r="X179" s="1161"/>
      <c r="Y179" s="1161"/>
      <c r="Z179" s="1161"/>
      <c r="AA179" s="1633"/>
      <c r="AB179" s="567"/>
      <c r="AC179" s="567"/>
      <c r="AD179" s="567"/>
      <c r="AE179" s="567"/>
      <c r="AF179" s="1642">
        <v>11</v>
      </c>
    </row>
    <row s="1642" customFormat="1" customHeight="1" ht="11.549999999999999">
      <c r="A180" s="988"/>
      <c r="B180" s="1637"/>
      <c r="C180" s="1637"/>
      <c r="D180" s="352"/>
      <c r="K180" s="1161"/>
      <c r="L180" s="1637"/>
      <c r="M180" s="1637"/>
      <c r="N180" s="1161"/>
      <c r="O180" s="1161"/>
      <c r="P180" s="1161"/>
      <c r="Q180" s="1161"/>
      <c r="R180" s="1637"/>
      <c r="S180" s="1161"/>
      <c r="T180" s="1161"/>
      <c r="U180" s="545"/>
      <c r="V180" s="1161"/>
      <c r="W180" s="1161"/>
      <c r="X180" s="1161"/>
      <c r="Y180" s="1161"/>
      <c r="Z180" s="1161"/>
      <c r="AA180" s="1633"/>
      <c r="AB180" s="567"/>
      <c r="AC180" s="567"/>
      <c r="AD180" s="567"/>
      <c r="AE180" s="567"/>
      <c r="AF180" s="1642">
        <v>11</v>
      </c>
    </row>
    <row s="1642" customFormat="1" customHeight="1" ht="11.549999999999999">
      <c r="A181" s="988"/>
      <c r="B181" s="1637"/>
      <c r="C181" s="1637"/>
      <c r="D181" s="352"/>
      <c r="K181" s="1161"/>
      <c r="L181" s="1637"/>
      <c r="M181" s="1637"/>
      <c r="N181" s="1161"/>
      <c r="O181" s="1161"/>
      <c r="P181" s="1161"/>
      <c r="Q181" s="1161"/>
      <c r="R181" s="1637"/>
      <c r="S181" s="1161"/>
      <c r="T181" s="1161"/>
      <c r="U181" s="545"/>
      <c r="V181" s="1161"/>
      <c r="W181" s="1161"/>
      <c r="X181" s="1161"/>
      <c r="Y181" s="1161"/>
      <c r="Z181" s="1161"/>
      <c r="AA181" s="1633"/>
      <c r="AB181" s="567"/>
      <c r="AC181" s="567"/>
      <c r="AD181" s="567"/>
      <c r="AE181" s="567"/>
      <c r="AF181" s="1642">
        <v>11</v>
      </c>
    </row>
    <row s="1642" customFormat="1" customHeight="1" ht="11.549999999999999">
      <c r="A182" s="988"/>
      <c r="B182" s="1637"/>
      <c r="C182" s="1637"/>
      <c r="D182" s="352"/>
      <c r="K182" s="1161"/>
      <c r="L182" s="1637"/>
      <c r="M182" s="1637"/>
      <c r="N182" s="1161"/>
      <c r="O182" s="1161"/>
      <c r="P182" s="1161"/>
      <c r="Q182" s="1161"/>
      <c r="R182" s="1637"/>
      <c r="S182" s="1161"/>
      <c r="T182" s="1161"/>
      <c r="U182" s="545"/>
      <c r="V182" s="1161"/>
      <c r="W182" s="1161"/>
      <c r="X182" s="1161"/>
      <c r="Y182" s="1161"/>
      <c r="Z182" s="1161"/>
      <c r="AA182" s="1633"/>
      <c r="AB182" s="567"/>
      <c r="AC182" s="567"/>
      <c r="AD182" s="567"/>
      <c r="AE182" s="567"/>
      <c r="AF182" s="1642">
        <v>11</v>
      </c>
    </row>
    <row s="1642" customFormat="1" customHeight="1" ht="11.549999999999999">
      <c r="A183" s="988"/>
      <c r="B183" s="1637"/>
      <c r="C183" s="1637"/>
      <c r="D183" s="352"/>
      <c r="K183" s="1161"/>
      <c r="L183" s="1637"/>
      <c r="M183" s="1637"/>
      <c r="N183" s="1161"/>
      <c r="O183" s="1161"/>
      <c r="P183" s="1161"/>
      <c r="Q183" s="1161"/>
      <c r="R183" s="1637"/>
      <c r="S183" s="1161"/>
      <c r="T183" s="1161"/>
      <c r="U183" s="545"/>
      <c r="V183" s="1161"/>
      <c r="W183" s="1161"/>
      <c r="X183" s="1161"/>
      <c r="Y183" s="1161"/>
      <c r="Z183" s="1161"/>
      <c r="AA183" s="1633"/>
      <c r="AB183" s="567"/>
      <c r="AC183" s="567"/>
      <c r="AD183" s="567"/>
      <c r="AE183" s="567"/>
      <c r="AF183" s="1642">
        <v>11</v>
      </c>
    </row>
    <row s="1642" customFormat="1" customHeight="1" ht="11.549999999999999">
      <c r="A184" s="988"/>
      <c r="B184" s="1637"/>
      <c r="C184" s="1637"/>
      <c r="D184" s="352"/>
      <c r="K184" s="1161"/>
      <c r="L184" s="1637"/>
      <c r="M184" s="1637"/>
      <c r="N184" s="1161"/>
      <c r="O184" s="1161"/>
      <c r="P184" s="1161"/>
      <c r="Q184" s="1161"/>
      <c r="R184" s="1637"/>
      <c r="S184" s="1161"/>
      <c r="T184" s="1161"/>
      <c r="U184" s="545"/>
      <c r="V184" s="1161"/>
      <c r="W184" s="1161"/>
      <c r="X184" s="1161"/>
      <c r="Y184" s="1161"/>
      <c r="Z184" s="1161"/>
      <c r="AA184" s="1633"/>
      <c r="AB184" s="567"/>
      <c r="AC184" s="567"/>
      <c r="AD184" s="567"/>
      <c r="AE184" s="567"/>
      <c r="AF184" s="1642">
        <v>11</v>
      </c>
    </row>
    <row s="1642" customFormat="1" customHeight="1" ht="11.549999999999999">
      <c r="A185" s="988"/>
      <c r="B185" s="1637"/>
      <c r="C185" s="1637"/>
      <c r="D185" s="352"/>
      <c r="K185" s="1161"/>
      <c r="L185" s="1637"/>
      <c r="M185" s="1637"/>
      <c r="N185" s="1161"/>
      <c r="O185" s="1161"/>
      <c r="P185" s="1161"/>
      <c r="Q185" s="1161"/>
      <c r="R185" s="1637"/>
      <c r="S185" s="1161"/>
      <c r="T185" s="1161"/>
      <c r="U185" s="545"/>
      <c r="V185" s="1161"/>
      <c r="W185" s="1161"/>
      <c r="X185" s="1161"/>
      <c r="Y185" s="1161"/>
      <c r="Z185" s="1161"/>
      <c r="AA185" s="1633"/>
      <c r="AB185" s="567"/>
      <c r="AC185" s="567"/>
      <c r="AD185" s="567"/>
      <c r="AE185" s="567"/>
      <c r="AF185" s="1642">
        <v>11</v>
      </c>
    </row>
    <row s="1642" customFormat="1" customHeight="1" ht="11.549999999999999">
      <c r="A186" s="988"/>
      <c r="B186" s="1637"/>
      <c r="C186" s="1637"/>
      <c r="D186" s="352"/>
      <c r="K186" s="1161"/>
      <c r="L186" s="1637"/>
      <c r="M186" s="1637"/>
      <c r="N186" s="1161"/>
      <c r="O186" s="1161"/>
      <c r="P186" s="1161"/>
      <c r="Q186" s="1161"/>
      <c r="R186" s="1637"/>
      <c r="S186" s="1161"/>
      <c r="T186" s="1161"/>
      <c r="U186" s="545"/>
      <c r="V186" s="1161"/>
      <c r="W186" s="1161"/>
      <c r="X186" s="1161"/>
      <c r="Y186" s="1161"/>
      <c r="Z186" s="1161"/>
      <c r="AA186" s="1633"/>
      <c r="AB186" s="567"/>
      <c r="AC186" s="567"/>
      <c r="AD186" s="567"/>
      <c r="AE186" s="567"/>
      <c r="AF186" s="1642">
        <v>11</v>
      </c>
    </row>
    <row s="1642" customFormat="1" customHeight="1" ht="11.549999999999999">
      <c r="A187" s="988"/>
      <c r="B187" s="1637"/>
      <c r="C187" s="1637"/>
      <c r="D187" s="352"/>
      <c r="K187" s="1161"/>
      <c r="L187" s="1637"/>
      <c r="M187" s="1637"/>
      <c r="N187" s="1161"/>
      <c r="O187" s="1161"/>
      <c r="P187" s="1161"/>
      <c r="Q187" s="1161"/>
      <c r="R187" s="1637"/>
      <c r="S187" s="1161"/>
      <c r="T187" s="1161"/>
      <c r="U187" s="545"/>
      <c r="V187" s="1161"/>
      <c r="W187" s="1161"/>
      <c r="X187" s="1161"/>
      <c r="Y187" s="1161"/>
      <c r="Z187" s="1161"/>
      <c r="AA187" s="1633"/>
      <c r="AB187" s="567"/>
      <c r="AC187" s="567"/>
      <c r="AD187" s="567"/>
      <c r="AE187" s="567"/>
      <c r="AF187" s="1642">
        <v>11</v>
      </c>
    </row>
    <row s="1642" customFormat="1" customHeight="1" ht="11.549999999999999">
      <c r="A188" s="988"/>
      <c r="B188" s="1637"/>
      <c r="C188" s="1637"/>
      <c r="D188" s="352"/>
      <c r="K188" s="1161"/>
      <c r="L188" s="1637"/>
      <c r="M188" s="1637"/>
      <c r="N188" s="1161"/>
      <c r="O188" s="1161"/>
      <c r="P188" s="1161"/>
      <c r="Q188" s="1161"/>
      <c r="R188" s="1637"/>
      <c r="S188" s="1161"/>
      <c r="T188" s="1161"/>
      <c r="U188" s="545"/>
      <c r="V188" s="1161"/>
      <c r="W188" s="1161"/>
      <c r="X188" s="1161"/>
      <c r="Y188" s="1161"/>
      <c r="Z188" s="1161"/>
      <c r="AA188" s="1633"/>
      <c r="AB188" s="567"/>
      <c r="AC188" s="567"/>
      <c r="AD188" s="567"/>
      <c r="AE188" s="567"/>
      <c r="AF188" s="1642">
        <v>11</v>
      </c>
    </row>
    <row s="1642" customFormat="1" customHeight="1" ht="11.549999999999999">
      <c r="A189" s="988"/>
      <c r="B189" s="1637"/>
      <c r="C189" s="1637"/>
      <c r="D189" s="352"/>
      <c r="K189" s="1161"/>
      <c r="L189" s="1637"/>
      <c r="M189" s="1637"/>
      <c r="N189" s="1161"/>
      <c r="O189" s="1161"/>
      <c r="P189" s="1161"/>
      <c r="Q189" s="1161"/>
      <c r="R189" s="1637"/>
      <c r="S189" s="1161"/>
      <c r="T189" s="1161"/>
      <c r="U189" s="545"/>
      <c r="V189" s="1161"/>
      <c r="W189" s="1161"/>
      <c r="X189" s="1161"/>
      <c r="Y189" s="1161"/>
      <c r="Z189" s="1161"/>
      <c r="AA189" s="1633"/>
      <c r="AB189" s="567"/>
      <c r="AC189" s="567"/>
      <c r="AD189" s="567"/>
      <c r="AE189" s="567"/>
      <c r="AF189" s="1642">
        <v>11</v>
      </c>
    </row>
    <row s="1642" customFormat="1" customHeight="1" ht="11.549999999999999">
      <c r="A190" s="988"/>
      <c r="B190" s="1637"/>
      <c r="C190" s="1637"/>
      <c r="D190" s="352"/>
      <c r="K190" s="1161"/>
      <c r="L190" s="1637"/>
      <c r="M190" s="1637"/>
      <c r="N190" s="1161"/>
      <c r="O190" s="1161"/>
      <c r="P190" s="1161"/>
      <c r="Q190" s="1161"/>
      <c r="R190" s="1637"/>
      <c r="S190" s="1161"/>
      <c r="T190" s="1161"/>
      <c r="U190" s="545"/>
      <c r="V190" s="1161"/>
      <c r="W190" s="1161"/>
      <c r="X190" s="1161"/>
      <c r="Y190" s="1161"/>
      <c r="Z190" s="1161"/>
      <c r="AA190" s="1633"/>
      <c r="AB190" s="567"/>
      <c r="AC190" s="567"/>
      <c r="AD190" s="567"/>
      <c r="AE190" s="567"/>
      <c r="AF190" s="1642">
        <v>11</v>
      </c>
    </row>
    <row s="1642" customFormat="1" customHeight="1" ht="11.549999999999999">
      <c r="A191" s="988"/>
      <c r="B191" s="1637"/>
      <c r="C191" s="1637"/>
      <c r="D191" s="352"/>
      <c r="K191" s="1161"/>
      <c r="L191" s="1637"/>
      <c r="M191" s="1637"/>
      <c r="N191" s="1161"/>
      <c r="O191" s="1161"/>
      <c r="P191" s="1161"/>
      <c r="Q191" s="1161"/>
      <c r="R191" s="1637"/>
      <c r="S191" s="1161"/>
      <c r="T191" s="1161"/>
      <c r="U191" s="545"/>
      <c r="V191" s="1161"/>
      <c r="W191" s="1161"/>
      <c r="X191" s="1161"/>
      <c r="Y191" s="1161"/>
      <c r="Z191" s="1161"/>
      <c r="AA191" s="1633"/>
      <c r="AB191" s="567"/>
      <c r="AC191" s="567"/>
      <c r="AD191" s="567"/>
      <c r="AE191" s="567"/>
      <c r="AF191" s="1642">
        <v>11</v>
      </c>
    </row>
    <row s="1642" customFormat="1" customHeight="1" ht="11.549999999999999">
      <c r="A192" s="988"/>
      <c r="B192" s="1637"/>
      <c r="C192" s="1637"/>
      <c r="D192" s="352"/>
      <c r="K192" s="1161"/>
      <c r="L192" s="1637"/>
      <c r="M192" s="1637"/>
      <c r="N192" s="1161"/>
      <c r="O192" s="1161"/>
      <c r="P192" s="1161"/>
      <c r="Q192" s="1161"/>
      <c r="R192" s="1637"/>
      <c r="S192" s="1161"/>
      <c r="T192" s="1161"/>
      <c r="U192" s="545"/>
      <c r="V192" s="1161"/>
      <c r="W192" s="1161"/>
      <c r="X192" s="1161"/>
      <c r="Y192" s="1161"/>
      <c r="Z192" s="1161"/>
      <c r="AA192" s="1633"/>
      <c r="AB192" s="567"/>
      <c r="AC192" s="567"/>
      <c r="AD192" s="567"/>
      <c r="AE192" s="567"/>
      <c r="AF192" s="1642">
        <v>11</v>
      </c>
    </row>
    <row s="1642" customFormat="1" customHeight="1" ht="11.549999999999999">
      <c r="A193" s="988"/>
      <c r="B193" s="1637"/>
      <c r="C193" s="1637"/>
      <c r="D193" s="352"/>
      <c r="K193" s="1161"/>
      <c r="L193" s="1637"/>
      <c r="M193" s="1637"/>
      <c r="N193" s="1161"/>
      <c r="O193" s="1161"/>
      <c r="P193" s="1161"/>
      <c r="Q193" s="1161"/>
      <c r="R193" s="1637"/>
      <c r="S193" s="1161"/>
      <c r="T193" s="1161"/>
      <c r="U193" s="545"/>
      <c r="V193" s="1161"/>
      <c r="W193" s="1161"/>
      <c r="X193" s="1161"/>
      <c r="Y193" s="1161"/>
      <c r="Z193" s="1161"/>
      <c r="AA193" s="1633"/>
      <c r="AB193" s="567"/>
      <c r="AC193" s="567"/>
      <c r="AD193" s="567"/>
      <c r="AE193" s="567"/>
      <c r="AF193" s="1642">
        <v>11</v>
      </c>
    </row>
    <row s="1642" customFormat="1" customHeight="1" ht="11.549999999999999">
      <c r="A194" s="988"/>
      <c r="B194" s="1637"/>
      <c r="C194" s="1637"/>
      <c r="D194" s="352"/>
      <c r="K194" s="1161"/>
      <c r="L194" s="1637"/>
      <c r="M194" s="1637"/>
      <c r="N194" s="1161"/>
      <c r="O194" s="1161"/>
      <c r="P194" s="1161"/>
      <c r="Q194" s="1161"/>
      <c r="R194" s="1637"/>
      <c r="S194" s="1161"/>
      <c r="T194" s="1161"/>
      <c r="U194" s="545"/>
      <c r="V194" s="1161"/>
      <c r="W194" s="1161"/>
      <c r="X194" s="1161"/>
      <c r="Y194" s="1161"/>
      <c r="Z194" s="1161"/>
      <c r="AA194" s="1633"/>
      <c r="AB194" s="567"/>
      <c r="AC194" s="567"/>
      <c r="AD194" s="567"/>
      <c r="AE194" s="567"/>
      <c r="AF194" s="1642">
        <v>11</v>
      </c>
    </row>
    <row s="1642" customFormat="1" customHeight="1" ht="11.549999999999999">
      <c r="A195" s="988"/>
      <c r="B195" s="1637"/>
      <c r="C195" s="1637"/>
      <c r="D195" s="352"/>
      <c r="K195" s="1161"/>
      <c r="L195" s="1637"/>
      <c r="M195" s="1637"/>
      <c r="N195" s="1161"/>
      <c r="O195" s="1161"/>
      <c r="P195" s="1161"/>
      <c r="Q195" s="1161"/>
      <c r="R195" s="1637"/>
      <c r="S195" s="1161"/>
      <c r="T195" s="1161"/>
      <c r="U195" s="545"/>
      <c r="V195" s="1161"/>
      <c r="W195" s="1161"/>
      <c r="X195" s="1161"/>
      <c r="Y195" s="1161"/>
      <c r="Z195" s="1161"/>
      <c r="AA195" s="1633"/>
      <c r="AB195" s="567"/>
      <c r="AC195" s="567"/>
      <c r="AD195" s="567"/>
      <c r="AE195" s="567"/>
      <c r="AF195" s="1642">
        <v>11</v>
      </c>
    </row>
    <row s="1642" customFormat="1" customHeight="1" ht="11.549999999999999">
      <c r="A196" s="988"/>
      <c r="B196" s="1637"/>
      <c r="C196" s="1637"/>
      <c r="D196" s="352"/>
      <c r="K196" s="1161"/>
      <c r="L196" s="1637"/>
      <c r="M196" s="1637"/>
      <c r="N196" s="1161"/>
      <c r="O196" s="1161"/>
      <c r="P196" s="1161"/>
      <c r="Q196" s="1161"/>
      <c r="R196" s="1637"/>
      <c r="S196" s="1161"/>
      <c r="T196" s="1161"/>
      <c r="U196" s="545"/>
      <c r="V196" s="1161"/>
      <c r="W196" s="1161"/>
      <c r="X196" s="1161"/>
      <c r="Y196" s="1161"/>
      <c r="Z196" s="1161"/>
      <c r="AA196" s="1633"/>
      <c r="AB196" s="567"/>
      <c r="AC196" s="567"/>
      <c r="AD196" s="567"/>
      <c r="AE196" s="567"/>
      <c r="AF196" s="1642">
        <v>11</v>
      </c>
    </row>
    <row s="1642" customFormat="1" customHeight="1" ht="11.549999999999999">
      <c r="A197" s="988"/>
      <c r="B197" s="1637"/>
      <c r="C197" s="1637"/>
      <c r="D197" s="352"/>
      <c r="K197" s="1161"/>
      <c r="L197" s="1637"/>
      <c r="M197" s="1637"/>
      <c r="N197" s="1161"/>
      <c r="O197" s="1161"/>
      <c r="P197" s="1161"/>
      <c r="Q197" s="1161"/>
      <c r="R197" s="1637"/>
      <c r="S197" s="1161"/>
      <c r="T197" s="1161"/>
      <c r="U197" s="545"/>
      <c r="V197" s="1161"/>
      <c r="W197" s="1161"/>
      <c r="X197" s="1161"/>
      <c r="Y197" s="1161"/>
      <c r="Z197" s="1161"/>
      <c r="AA197" s="1633"/>
      <c r="AB197" s="567"/>
      <c r="AC197" s="567"/>
      <c r="AD197" s="567"/>
      <c r="AE197" s="567"/>
      <c r="AF197" s="1642">
        <v>11</v>
      </c>
    </row>
    <row s="1642" customFormat="1" customHeight="1" ht="11.549999999999999">
      <c r="A198" s="988"/>
      <c r="B198" s="1637"/>
      <c r="C198" s="1637"/>
      <c r="D198" s="352"/>
      <c r="K198" s="1161"/>
      <c r="L198" s="1637"/>
      <c r="M198" s="1637"/>
      <c r="N198" s="1161"/>
      <c r="O198" s="1161"/>
      <c r="P198" s="1161"/>
      <c r="Q198" s="1161"/>
      <c r="R198" s="1637"/>
      <c r="S198" s="1161"/>
      <c r="T198" s="1161"/>
      <c r="U198" s="545"/>
      <c r="V198" s="1161"/>
      <c r="W198" s="1161"/>
      <c r="X198" s="1161"/>
      <c r="Y198" s="1161"/>
      <c r="Z198" s="1161"/>
      <c r="AA198" s="1633"/>
      <c r="AB198" s="567"/>
      <c r="AC198" s="567"/>
      <c r="AD198" s="567"/>
      <c r="AE198" s="567"/>
      <c r="AF198" s="1642">
        <v>11</v>
      </c>
    </row>
    <row s="1642" customFormat="1" customHeight="1" ht="11.549999999999999">
      <c r="A199" s="988"/>
      <c r="B199" s="1637"/>
      <c r="C199" s="1637"/>
      <c r="D199" s="352"/>
      <c r="K199" s="1161"/>
      <c r="L199" s="1637"/>
      <c r="M199" s="1637"/>
      <c r="N199" s="1161"/>
      <c r="O199" s="1161"/>
      <c r="P199" s="1161"/>
      <c r="Q199" s="1161"/>
      <c r="R199" s="1637"/>
      <c r="S199" s="1161"/>
      <c r="T199" s="1161"/>
      <c r="U199" s="545"/>
      <c r="V199" s="1161"/>
      <c r="W199" s="1161"/>
      <c r="X199" s="1161"/>
      <c r="Y199" s="1161"/>
      <c r="Z199" s="1161"/>
      <c r="AA199" s="1633"/>
      <c r="AB199" s="567"/>
      <c r="AC199" s="567"/>
      <c r="AD199" s="567"/>
      <c r="AE199" s="567"/>
      <c r="AF199" s="1642">
        <v>11</v>
      </c>
    </row>
    <row s="1642" customFormat="1" customHeight="1" ht="11.549999999999999">
      <c r="A200" s="988"/>
      <c r="B200" s="1637"/>
      <c r="C200" s="1637"/>
      <c r="D200" s="352"/>
      <c r="K200" s="1161"/>
      <c r="L200" s="1637"/>
      <c r="M200" s="1637"/>
      <c r="N200" s="1161"/>
      <c r="O200" s="1161"/>
      <c r="P200" s="1161"/>
      <c r="Q200" s="1161"/>
      <c r="R200" s="1637"/>
      <c r="S200" s="1161"/>
      <c r="T200" s="1161"/>
      <c r="U200" s="545"/>
      <c r="V200" s="1161"/>
      <c r="W200" s="1161"/>
      <c r="X200" s="1161"/>
      <c r="Y200" s="1161"/>
      <c r="Z200" s="1161"/>
      <c r="AA200" s="1633"/>
      <c r="AB200" s="567"/>
      <c r="AC200" s="567"/>
      <c r="AD200" s="567"/>
      <c r="AE200" s="567"/>
      <c r="AF200" s="1642">
        <v>11</v>
      </c>
    </row>
    <row s="1642" customFormat="1" customHeight="1" ht="11.549999999999999">
      <c r="A201" s="988"/>
      <c r="B201" s="1637"/>
      <c r="C201" s="1637"/>
      <c r="D201" s="352"/>
      <c r="K201" s="1161"/>
      <c r="L201" s="1637"/>
      <c r="M201" s="1637"/>
      <c r="N201" s="1161"/>
      <c r="O201" s="1161"/>
      <c r="P201" s="1161"/>
      <c r="Q201" s="1161"/>
      <c r="R201" s="1637"/>
      <c r="S201" s="1161"/>
      <c r="T201" s="1161"/>
      <c r="U201" s="545"/>
      <c r="V201" s="1161"/>
      <c r="W201" s="1161"/>
      <c r="X201" s="1161"/>
      <c r="Y201" s="1161"/>
      <c r="Z201" s="1161"/>
      <c r="AA201" s="1633"/>
      <c r="AB201" s="567"/>
      <c r="AC201" s="567"/>
      <c r="AD201" s="567"/>
      <c r="AE201" s="567"/>
      <c r="AF201" s="1642">
        <v>11</v>
      </c>
    </row>
    <row s="1642" customFormat="1" customHeight="1" ht="11.549999999999999">
      <c r="A202" s="988"/>
      <c r="B202" s="1637"/>
      <c r="C202" s="1637"/>
      <c r="D202" s="352"/>
      <c r="K202" s="1161"/>
      <c r="L202" s="1637"/>
      <c r="M202" s="1637"/>
      <c r="N202" s="1161"/>
      <c r="O202" s="1161"/>
      <c r="P202" s="1161"/>
      <c r="Q202" s="1161"/>
      <c r="R202" s="1637"/>
      <c r="S202" s="1161"/>
      <c r="T202" s="1161"/>
      <c r="U202" s="545"/>
      <c r="V202" s="1161"/>
      <c r="W202" s="1161"/>
      <c r="X202" s="1161"/>
      <c r="Y202" s="1161"/>
      <c r="Z202" s="1161"/>
      <c r="AA202" s="1633"/>
      <c r="AB202" s="567"/>
      <c r="AC202" s="567"/>
      <c r="AD202" s="567"/>
      <c r="AE202" s="567"/>
      <c r="AF202" s="1642">
        <v>11</v>
      </c>
    </row>
    <row s="1642" customFormat="1" customHeight="1" ht="11.549999999999999">
      <c r="A203" s="988"/>
      <c r="B203" s="1637"/>
      <c r="C203" s="1637"/>
      <c r="D203" s="352"/>
      <c r="K203" s="1161"/>
      <c r="L203" s="1637"/>
      <c r="M203" s="1637"/>
      <c r="N203" s="1161"/>
      <c r="O203" s="1161"/>
      <c r="P203" s="1161"/>
      <c r="Q203" s="1161"/>
      <c r="R203" s="1637"/>
      <c r="S203" s="1161"/>
      <c r="T203" s="1161"/>
      <c r="U203" s="545"/>
      <c r="V203" s="1161"/>
      <c r="W203" s="1161"/>
      <c r="X203" s="1161"/>
      <c r="Y203" s="1161"/>
      <c r="Z203" s="1161"/>
      <c r="AA203" s="1633"/>
      <c r="AB203" s="567"/>
      <c r="AC203" s="567"/>
      <c r="AD203" s="567"/>
      <c r="AE203" s="567"/>
      <c r="AF203" s="1642">
        <v>11</v>
      </c>
    </row>
    <row s="1642" customFormat="1" customHeight="1" ht="11.549999999999999">
      <c r="A204" s="988"/>
      <c r="B204" s="1637"/>
      <c r="C204" s="1637"/>
      <c r="D204" s="352"/>
      <c r="K204" s="1161"/>
      <c r="L204" s="1637"/>
      <c r="M204" s="1637"/>
      <c r="N204" s="1161"/>
      <c r="O204" s="1161"/>
      <c r="P204" s="1161"/>
      <c r="Q204" s="1161"/>
      <c r="R204" s="1637"/>
      <c r="S204" s="1161"/>
      <c r="T204" s="1161"/>
      <c r="U204" s="545"/>
      <c r="V204" s="1161"/>
      <c r="W204" s="1161"/>
      <c r="X204" s="1161"/>
      <c r="Y204" s="1161"/>
      <c r="Z204" s="1161"/>
      <c r="AA204" s="1633"/>
      <c r="AB204" s="567"/>
      <c r="AC204" s="567"/>
      <c r="AD204" s="567"/>
      <c r="AE204" s="567"/>
      <c r="AF204" s="1642">
        <v>11</v>
      </c>
    </row>
    <row s="1642" customFormat="1" customHeight="1" ht="11.549999999999999">
      <c r="A205" s="988"/>
      <c r="B205" s="1637"/>
      <c r="C205" s="1637"/>
      <c r="D205" s="352"/>
      <c r="K205" s="1161"/>
      <c r="L205" s="1637"/>
      <c r="M205" s="1637"/>
      <c r="N205" s="1161"/>
      <c r="O205" s="1161"/>
      <c r="P205" s="1161"/>
      <c r="Q205" s="1161"/>
      <c r="R205" s="1637"/>
      <c r="S205" s="1161"/>
      <c r="T205" s="1161"/>
      <c r="U205" s="545"/>
      <c r="V205" s="1161"/>
      <c r="W205" s="1161"/>
      <c r="X205" s="1161"/>
      <c r="Y205" s="1161"/>
      <c r="Z205" s="1161"/>
      <c r="AA205" s="1633"/>
      <c r="AB205" s="567"/>
      <c r="AC205" s="567"/>
      <c r="AD205" s="567"/>
      <c r="AE205" s="567"/>
      <c r="AF205" s="1642">
        <v>11</v>
      </c>
    </row>
    <row s="1642" customFormat="1" customHeight="1" ht="11.549999999999999">
      <c r="A206" s="988"/>
      <c r="B206" s="1637"/>
      <c r="C206" s="1637"/>
      <c r="D206" s="352"/>
      <c r="K206" s="1161"/>
      <c r="L206" s="1637"/>
      <c r="M206" s="1637"/>
      <c r="N206" s="1161"/>
      <c r="O206" s="1161"/>
      <c r="P206" s="1161"/>
      <c r="Q206" s="1161"/>
      <c r="R206" s="1637"/>
      <c r="S206" s="1161"/>
      <c r="T206" s="1161"/>
      <c r="U206" s="545"/>
      <c r="V206" s="1161"/>
      <c r="W206" s="1161"/>
      <c r="X206" s="1161"/>
      <c r="Y206" s="1161"/>
      <c r="Z206" s="1161"/>
      <c r="AA206" s="1633"/>
      <c r="AB206" s="567"/>
      <c r="AC206" s="567"/>
      <c r="AD206" s="567"/>
      <c r="AE206" s="567"/>
      <c r="AF206" s="1642">
        <v>11</v>
      </c>
    </row>
    <row s="1642" customFormat="1" customHeight="1" ht="11.549999999999999">
      <c r="A207" s="988"/>
      <c r="B207" s="1637"/>
      <c r="C207" s="1637"/>
      <c r="D207" s="352"/>
      <c r="K207" s="1161"/>
      <c r="L207" s="1637"/>
      <c r="M207" s="1637"/>
      <c r="N207" s="1161"/>
      <c r="O207" s="1161"/>
      <c r="P207" s="1161"/>
      <c r="Q207" s="1161"/>
      <c r="R207" s="1637"/>
      <c r="S207" s="1161"/>
      <c r="T207" s="1161"/>
      <c r="U207" s="545"/>
      <c r="V207" s="1161"/>
      <c r="W207" s="1161"/>
      <c r="X207" s="1161"/>
      <c r="Y207" s="1161"/>
      <c r="Z207" s="1161"/>
      <c r="AA207" s="1633"/>
      <c r="AB207" s="567"/>
      <c r="AC207" s="567"/>
      <c r="AD207" s="567"/>
      <c r="AE207" s="567"/>
      <c r="AF207" s="1642">
        <v>11</v>
      </c>
    </row>
    <row s="1642" customFormat="1" customHeight="1" ht="11.549999999999999">
      <c r="A208" s="988"/>
      <c r="B208" s="1637"/>
      <c r="C208" s="1637"/>
      <c r="D208" s="352"/>
      <c r="K208" s="1161"/>
      <c r="L208" s="1637"/>
      <c r="M208" s="1637"/>
      <c r="N208" s="1161"/>
      <c r="O208" s="1161"/>
      <c r="P208" s="1161"/>
      <c r="Q208" s="1161"/>
      <c r="R208" s="1637"/>
      <c r="S208" s="1161"/>
      <c r="T208" s="1161"/>
      <c r="U208" s="545"/>
      <c r="V208" s="1161"/>
      <c r="W208" s="1161"/>
      <c r="X208" s="1161"/>
      <c r="Y208" s="1161"/>
      <c r="Z208" s="1161"/>
      <c r="AA208" s="1633"/>
      <c r="AB208" s="567"/>
      <c r="AC208" s="567"/>
      <c r="AD208" s="567"/>
      <c r="AE208" s="567"/>
      <c r="AF208" s="1642">
        <v>11</v>
      </c>
    </row>
    <row s="1642" customFormat="1" customHeight="1" ht="11.549999999999999">
      <c r="A209" s="988"/>
      <c r="B209" s="1637"/>
      <c r="C209" s="1637"/>
      <c r="D209" s="352"/>
      <c r="K209" s="1161"/>
      <c r="L209" s="1637"/>
      <c r="M209" s="1637"/>
      <c r="N209" s="1161"/>
      <c r="O209" s="1161"/>
      <c r="P209" s="1161"/>
      <c r="Q209" s="1161"/>
      <c r="R209" s="1637"/>
      <c r="S209" s="1161"/>
      <c r="T209" s="1161"/>
      <c r="U209" s="545"/>
      <c r="V209" s="1161"/>
      <c r="W209" s="1161"/>
      <c r="X209" s="1161"/>
      <c r="Y209" s="1161"/>
      <c r="Z209" s="1161"/>
      <c r="AA209" s="1633"/>
      <c r="AB209" s="567"/>
      <c r="AC209" s="567"/>
      <c r="AD209" s="567"/>
      <c r="AE209" s="567"/>
      <c r="AF209" s="1642">
        <v>11</v>
      </c>
    </row>
    <row s="1642" customFormat="1" customHeight="1" ht="11.549999999999999">
      <c r="A210" s="988"/>
      <c r="B210" s="1637"/>
      <c r="C210" s="1637"/>
      <c r="D210" s="352"/>
      <c r="K210" s="1161"/>
      <c r="L210" s="1637"/>
      <c r="M210" s="1637"/>
      <c r="N210" s="1161"/>
      <c r="O210" s="1161"/>
      <c r="P210" s="1161"/>
      <c r="Q210" s="1161"/>
      <c r="R210" s="1637"/>
      <c r="S210" s="1161"/>
      <c r="T210" s="1161"/>
      <c r="U210" s="545"/>
      <c r="V210" s="1161"/>
      <c r="W210" s="1161"/>
      <c r="X210" s="1161"/>
      <c r="Y210" s="1161"/>
      <c r="Z210" s="1161"/>
      <c r="AA210" s="1633"/>
      <c r="AB210" s="567"/>
      <c r="AC210" s="567"/>
      <c r="AD210" s="567"/>
      <c r="AE210" s="567"/>
      <c r="AF210" s="1642">
        <v>11</v>
      </c>
    </row>
    <row s="1642" customFormat="1" customHeight="1" ht="11.549999999999999">
      <c r="A211" s="988"/>
      <c r="B211" s="1637"/>
      <c r="C211" s="1637"/>
      <c r="D211" s="352"/>
      <c r="K211" s="1161"/>
      <c r="L211" s="1637"/>
      <c r="M211" s="1637"/>
      <c r="N211" s="1161"/>
      <c r="O211" s="1161"/>
      <c r="P211" s="1161"/>
      <c r="Q211" s="1161"/>
      <c r="R211" s="1637"/>
      <c r="S211" s="1161"/>
      <c r="T211" s="1161"/>
      <c r="U211" s="545"/>
      <c r="V211" s="1161"/>
      <c r="W211" s="1161"/>
      <c r="X211" s="1161"/>
      <c r="Y211" s="1161"/>
      <c r="Z211" s="1161"/>
      <c r="AA211" s="1633"/>
      <c r="AB211" s="567"/>
      <c r="AC211" s="567"/>
      <c r="AD211" s="567"/>
      <c r="AE211" s="567"/>
      <c r="AF211" s="1642">
        <v>11</v>
      </c>
    </row>
    <row s="1642" customFormat="1" customHeight="1" ht="11.549999999999999">
      <c r="A212" s="988"/>
      <c r="B212" s="1637"/>
      <c r="C212" s="1637"/>
      <c r="D212" s="352"/>
      <c r="K212" s="1161"/>
      <c r="L212" s="1637"/>
      <c r="M212" s="1637"/>
      <c r="N212" s="1161"/>
      <c r="O212" s="1161"/>
      <c r="P212" s="1161"/>
      <c r="Q212" s="1161"/>
      <c r="R212" s="1637"/>
      <c r="S212" s="1161"/>
      <c r="T212" s="1161"/>
      <c r="U212" s="545"/>
      <c r="V212" s="1161"/>
      <c r="W212" s="1161"/>
      <c r="X212" s="1161"/>
      <c r="Y212" s="1161"/>
      <c r="Z212" s="1161"/>
      <c r="AA212" s="1633"/>
      <c r="AB212" s="567"/>
      <c r="AC212" s="567"/>
      <c r="AD212" s="567"/>
      <c r="AE212" s="567"/>
      <c r="AF212" s="1642">
        <v>11</v>
      </c>
    </row>
    <row s="1642" customFormat="1" customHeight="1" ht="11.549999999999999">
      <c r="A213" s="988"/>
      <c r="B213" s="1637"/>
      <c r="C213" s="1637"/>
      <c r="D213" s="352"/>
      <c r="K213" s="1161"/>
      <c r="L213" s="1637"/>
      <c r="M213" s="1637"/>
      <c r="N213" s="1161"/>
      <c r="O213" s="1161"/>
      <c r="P213" s="1161"/>
      <c r="Q213" s="1161"/>
      <c r="R213" s="1637"/>
      <c r="S213" s="1161"/>
      <c r="T213" s="1161"/>
      <c r="U213" s="545"/>
      <c r="V213" s="1161"/>
      <c r="W213" s="1161"/>
      <c r="X213" s="1161"/>
      <c r="Y213" s="1161"/>
      <c r="Z213" s="1161"/>
      <c r="AA213" s="1633"/>
      <c r="AB213" s="567"/>
      <c r="AC213" s="567"/>
      <c r="AD213" s="567"/>
      <c r="AE213" s="567"/>
      <c r="AF213" s="1642">
        <v>11</v>
      </c>
    </row>
    <row s="1642" customFormat="1" customHeight="1" ht="11.549999999999999">
      <c r="A214" s="988"/>
      <c r="B214" s="1637"/>
      <c r="C214" s="1637"/>
      <c r="D214" s="352"/>
      <c r="K214" s="1161"/>
      <c r="L214" s="1637"/>
      <c r="M214" s="1637"/>
      <c r="N214" s="1161"/>
      <c r="O214" s="1161"/>
      <c r="P214" s="1161"/>
      <c r="Q214" s="1161"/>
      <c r="R214" s="1637"/>
      <c r="S214" s="1161"/>
      <c r="T214" s="1161"/>
      <c r="U214" s="545"/>
      <c r="V214" s="1161"/>
      <c r="W214" s="1161"/>
      <c r="X214" s="1161"/>
      <c r="Y214" s="1161"/>
      <c r="Z214" s="1161"/>
      <c r="AA214" s="1633"/>
      <c r="AB214" s="567"/>
      <c r="AC214" s="567"/>
      <c r="AD214" s="567"/>
      <c r="AE214" s="567"/>
      <c r="AF214" s="1642">
        <v>11</v>
      </c>
    </row>
    <row s="1642" customFormat="1" customHeight="1" ht="11.549999999999999">
      <c r="A215" s="988"/>
      <c r="B215" s="1637"/>
      <c r="C215" s="1637"/>
      <c r="D215" s="352"/>
      <c r="K215" s="1161"/>
      <c r="L215" s="1637"/>
      <c r="M215" s="1637"/>
      <c r="N215" s="1161"/>
      <c r="O215" s="1161"/>
      <c r="P215" s="1161"/>
      <c r="Q215" s="1161"/>
      <c r="R215" s="1637"/>
      <c r="S215" s="1161"/>
      <c r="T215" s="1161"/>
      <c r="U215" s="545"/>
      <c r="V215" s="1161"/>
      <c r="W215" s="1161"/>
      <c r="X215" s="1161"/>
      <c r="Y215" s="1161"/>
      <c r="Z215" s="1161"/>
      <c r="AA215" s="1633"/>
      <c r="AB215" s="567"/>
      <c r="AC215" s="567"/>
      <c r="AD215" s="567"/>
      <c r="AE215" s="567"/>
      <c r="AF215" s="1642">
        <v>11</v>
      </c>
    </row>
    <row s="1642" customFormat="1" customHeight="1" ht="11.549999999999999">
      <c r="A216" s="988"/>
      <c r="B216" s="1637"/>
      <c r="C216" s="1637"/>
      <c r="D216" s="352"/>
      <c r="K216" s="1161"/>
      <c r="L216" s="1637"/>
      <c r="M216" s="1637"/>
      <c r="N216" s="1161"/>
      <c r="O216" s="1161"/>
      <c r="P216" s="1161"/>
      <c r="Q216" s="1161"/>
      <c r="R216" s="1637"/>
      <c r="S216" s="1161"/>
      <c r="T216" s="1161"/>
      <c r="U216" s="545"/>
      <c r="V216" s="1161"/>
      <c r="W216" s="1161"/>
      <c r="X216" s="1161"/>
      <c r="Y216" s="1161"/>
      <c r="Z216" s="1161"/>
      <c r="AA216" s="1633"/>
      <c r="AB216" s="567"/>
      <c r="AC216" s="567"/>
      <c r="AD216" s="567"/>
      <c r="AE216" s="567"/>
      <c r="AF216" s="1642">
        <v>11</v>
      </c>
    </row>
    <row s="1642" customFormat="1" customHeight="1" ht="11.549999999999999">
      <c r="A217" s="988"/>
      <c r="B217" s="1637"/>
      <c r="C217" s="1637"/>
      <c r="D217" s="352"/>
      <c r="K217" s="1161"/>
      <c r="L217" s="1637"/>
      <c r="M217" s="1637"/>
      <c r="N217" s="1161"/>
      <c r="O217" s="1161"/>
      <c r="P217" s="1161"/>
      <c r="Q217" s="1161"/>
      <c r="R217" s="1637"/>
      <c r="S217" s="1161"/>
      <c r="T217" s="1161"/>
      <c r="U217" s="545"/>
      <c r="V217" s="1161"/>
      <c r="W217" s="1161"/>
      <c r="X217" s="1161"/>
      <c r="Y217" s="1161"/>
      <c r="Z217" s="1161"/>
      <c r="AA217" s="1633"/>
      <c r="AB217" s="567"/>
      <c r="AC217" s="567"/>
      <c r="AD217" s="567"/>
      <c r="AE217" s="567"/>
      <c r="AF217" s="1642">
        <v>11</v>
      </c>
    </row>
    <row s="1642" customFormat="1" customHeight="1" ht="11.549999999999999">
      <c r="A218" s="988"/>
      <c r="B218" s="1637"/>
      <c r="C218" s="1637"/>
      <c r="D218" s="352"/>
      <c r="K218" s="1161"/>
      <c r="L218" s="1637"/>
      <c r="M218" s="1637"/>
      <c r="N218" s="1161"/>
      <c r="O218" s="1161"/>
      <c r="P218" s="1161"/>
      <c r="Q218" s="1161"/>
      <c r="R218" s="1637"/>
      <c r="S218" s="1161"/>
      <c r="T218" s="1161"/>
      <c r="U218" s="545"/>
      <c r="V218" s="1161"/>
      <c r="W218" s="1161"/>
      <c r="X218" s="1161"/>
      <c r="Y218" s="1161"/>
      <c r="Z218" s="1161"/>
      <c r="AA218" s="1633"/>
      <c r="AB218" s="567"/>
      <c r="AC218" s="567"/>
      <c r="AD218" s="567"/>
      <c r="AE218" s="567"/>
      <c r="AF218" s="1642">
        <v>11</v>
      </c>
    </row>
    <row s="1642" customFormat="1" customHeight="1" ht="11.549999999999999">
      <c r="A219" s="988"/>
      <c r="B219" s="1637"/>
      <c r="C219" s="1637"/>
      <c r="D219" s="352"/>
      <c r="K219" s="1161"/>
      <c r="L219" s="1637"/>
      <c r="M219" s="1637"/>
      <c r="N219" s="1161"/>
      <c r="O219" s="1161"/>
      <c r="P219" s="1161"/>
      <c r="Q219" s="1161"/>
      <c r="R219" s="1637"/>
      <c r="S219" s="1161"/>
      <c r="T219" s="1161"/>
      <c r="U219" s="545"/>
      <c r="V219" s="1161"/>
      <c r="W219" s="1161"/>
      <c r="X219" s="1161"/>
      <c r="Y219" s="1161"/>
      <c r="Z219" s="1161"/>
      <c r="AA219" s="1633"/>
      <c r="AB219" s="567"/>
      <c r="AC219" s="567"/>
      <c r="AD219" s="567"/>
      <c r="AE219" s="567"/>
      <c r="AF219" s="1642">
        <v>11</v>
      </c>
    </row>
    <row s="1642" customFormat="1" customHeight="1" ht="11.549999999999999">
      <c r="A220" s="988"/>
      <c r="B220" s="1637"/>
      <c r="C220" s="1637"/>
      <c r="D220" s="352"/>
      <c r="K220" s="1161"/>
      <c r="L220" s="1637"/>
      <c r="M220" s="1637"/>
      <c r="N220" s="1161"/>
      <c r="O220" s="1161"/>
      <c r="P220" s="1161"/>
      <c r="Q220" s="1161"/>
      <c r="R220" s="1637"/>
      <c r="S220" s="1161"/>
      <c r="T220" s="1161"/>
      <c r="U220" s="545"/>
      <c r="V220" s="1161"/>
      <c r="W220" s="1161"/>
      <c r="X220" s="1161"/>
      <c r="Y220" s="1161"/>
      <c r="Z220" s="1161"/>
      <c r="AA220" s="1633"/>
      <c r="AB220" s="567"/>
      <c r="AC220" s="567"/>
      <c r="AD220" s="567"/>
      <c r="AE220" s="567"/>
      <c r="AF220" s="1642">
        <v>11</v>
      </c>
    </row>
    <row s="1642" customFormat="1" customHeight="1" ht="11.549999999999999">
      <c r="A221" s="988"/>
      <c r="B221" s="1637"/>
      <c r="C221" s="1637"/>
      <c r="D221" s="352"/>
      <c r="K221" s="1161"/>
      <c r="L221" s="1637"/>
      <c r="M221" s="1637"/>
      <c r="N221" s="1161"/>
      <c r="O221" s="1161"/>
      <c r="P221" s="1161"/>
      <c r="Q221" s="1161"/>
      <c r="R221" s="1637"/>
      <c r="S221" s="1161"/>
      <c r="T221" s="1161"/>
      <c r="U221" s="545"/>
      <c r="V221" s="1161"/>
      <c r="W221" s="1161"/>
      <c r="X221" s="1161"/>
      <c r="Y221" s="1161"/>
      <c r="Z221" s="1161"/>
      <c r="AA221" s="1633"/>
      <c r="AB221" s="567"/>
      <c r="AC221" s="567"/>
      <c r="AD221" s="567"/>
      <c r="AE221" s="567"/>
      <c r="AF221" s="1642">
        <v>11</v>
      </c>
    </row>
    <row s="1642" customFormat="1" customHeight="1" ht="11.549999999999999">
      <c r="A222" s="988"/>
      <c r="B222" s="1637"/>
      <c r="C222" s="1637"/>
      <c r="D222" s="352"/>
      <c r="K222" s="1161"/>
      <c r="L222" s="1637"/>
      <c r="M222" s="1637"/>
      <c r="N222" s="1161"/>
      <c r="O222" s="1161"/>
      <c r="P222" s="1161"/>
      <c r="Q222" s="1161"/>
      <c r="R222" s="1637"/>
      <c r="S222" s="1161"/>
      <c r="T222" s="1161"/>
      <c r="U222" s="545"/>
      <c r="V222" s="1161"/>
      <c r="W222" s="1161"/>
      <c r="X222" s="1161"/>
      <c r="Y222" s="1161"/>
      <c r="Z222" s="1161"/>
      <c r="AA222" s="1633"/>
      <c r="AB222" s="567"/>
      <c r="AC222" s="567"/>
      <c r="AD222" s="567"/>
      <c r="AE222" s="567"/>
      <c r="AF222" s="1642">
        <v>11</v>
      </c>
    </row>
    <row s="1642" customFormat="1" customHeight="1" ht="11.549999999999999">
      <c r="A223" s="988"/>
      <c r="B223" s="1637"/>
      <c r="C223" s="1637"/>
      <c r="D223" s="352"/>
      <c r="K223" s="1161"/>
      <c r="L223" s="1637"/>
      <c r="M223" s="1637"/>
      <c r="N223" s="1161"/>
      <c r="O223" s="1161"/>
      <c r="P223" s="1161"/>
      <c r="Q223" s="1161"/>
      <c r="R223" s="1637"/>
      <c r="S223" s="1161"/>
      <c r="T223" s="1161"/>
      <c r="U223" s="545"/>
      <c r="V223" s="1161"/>
      <c r="W223" s="1161"/>
      <c r="X223" s="1161"/>
      <c r="Y223" s="1161"/>
      <c r="Z223" s="1161"/>
      <c r="AA223" s="1633"/>
      <c r="AB223" s="567"/>
      <c r="AC223" s="567"/>
      <c r="AD223" s="567"/>
      <c r="AE223" s="567"/>
      <c r="AF223" s="1642">
        <v>11</v>
      </c>
    </row>
    <row s="1642" customFormat="1" customHeight="1" ht="11.549999999999999">
      <c r="A224" s="988"/>
      <c r="B224" s="1637"/>
      <c r="C224" s="1637"/>
      <c r="D224" s="352"/>
      <c r="K224" s="1161"/>
      <c r="L224" s="1637"/>
      <c r="M224" s="1637"/>
      <c r="N224" s="1161"/>
      <c r="O224" s="1161"/>
      <c r="P224" s="1161"/>
      <c r="Q224" s="1161"/>
      <c r="R224" s="1637"/>
      <c r="S224" s="1161"/>
      <c r="T224" s="1161"/>
      <c r="U224" s="545"/>
      <c r="V224" s="1161"/>
      <c r="W224" s="1161"/>
      <c r="X224" s="1161"/>
      <c r="Y224" s="1161"/>
      <c r="Z224" s="1161"/>
      <c r="AA224" s="1633"/>
      <c r="AB224" s="567"/>
      <c r="AC224" s="567"/>
      <c r="AD224" s="567"/>
      <c r="AE224" s="567"/>
      <c r="AF224" s="1642">
        <v>11</v>
      </c>
    </row>
    <row s="1642" customFormat="1" customHeight="1" ht="11.549999999999999">
      <c r="A225" s="988"/>
      <c r="B225" s="1637"/>
      <c r="C225" s="1637"/>
      <c r="D225" s="352"/>
      <c r="K225" s="1161"/>
      <c r="L225" s="1637"/>
      <c r="M225" s="1637"/>
      <c r="N225" s="1161"/>
      <c r="O225" s="1161"/>
      <c r="P225" s="1161"/>
      <c r="Q225" s="1161"/>
      <c r="R225" s="1637"/>
      <c r="S225" s="1161"/>
      <c r="T225" s="1161"/>
      <c r="U225" s="545"/>
      <c r="V225" s="1161"/>
      <c r="W225" s="1161"/>
      <c r="X225" s="1161"/>
      <c r="Y225" s="1161"/>
      <c r="Z225" s="1161"/>
      <c r="AA225" s="1633"/>
      <c r="AB225" s="567"/>
      <c r="AC225" s="567"/>
      <c r="AD225" s="567"/>
      <c r="AE225" s="567"/>
      <c r="AF225" s="1642">
        <v>11</v>
      </c>
    </row>
    <row s="1642" customFormat="1" customHeight="1" ht="11.549999999999999">
      <c r="A226" s="988"/>
      <c r="B226" s="1637"/>
      <c r="C226" s="1637"/>
      <c r="D226" s="352"/>
      <c r="K226" s="1161"/>
      <c r="L226" s="1637"/>
      <c r="M226" s="1637"/>
      <c r="N226" s="1161"/>
      <c r="O226" s="1161"/>
      <c r="P226" s="1161"/>
      <c r="Q226" s="1161"/>
      <c r="R226" s="1637"/>
      <c r="S226" s="1161"/>
      <c r="T226" s="1161"/>
      <c r="U226" s="545"/>
      <c r="V226" s="1161"/>
      <c r="W226" s="1161"/>
      <c r="X226" s="1161"/>
      <c r="Y226" s="1161"/>
      <c r="Z226" s="1161"/>
      <c r="AA226" s="1633"/>
      <c r="AB226" s="567"/>
      <c r="AC226" s="567"/>
      <c r="AD226" s="567"/>
      <c r="AE226" s="567"/>
      <c r="AF226" s="1642">
        <v>11</v>
      </c>
    </row>
    <row s="1642" customFormat="1" customHeight="1" ht="11.549999999999999">
      <c r="A227" s="988"/>
      <c r="B227" s="1637"/>
      <c r="C227" s="1637"/>
      <c r="D227" s="352"/>
      <c r="K227" s="1161"/>
      <c r="L227" s="1637"/>
      <c r="M227" s="1637"/>
      <c r="N227" s="1161"/>
      <c r="O227" s="1161"/>
      <c r="P227" s="1161"/>
      <c r="Q227" s="1161"/>
      <c r="R227" s="1637"/>
      <c r="S227" s="1161"/>
      <c r="T227" s="1161"/>
      <c r="U227" s="545"/>
      <c r="V227" s="1161"/>
      <c r="W227" s="1161"/>
      <c r="X227" s="1161"/>
      <c r="Y227" s="1161"/>
      <c r="Z227" s="1161"/>
      <c r="AA227" s="1633"/>
      <c r="AB227" s="567"/>
      <c r="AC227" s="567"/>
      <c r="AD227" s="567"/>
      <c r="AE227" s="567"/>
      <c r="AF227" s="1642">
        <v>11</v>
      </c>
    </row>
    <row s="1642" customFormat="1" customHeight="1" ht="11.549999999999999">
      <c r="A228" s="988"/>
      <c r="B228" s="1637"/>
      <c r="C228" s="1637"/>
      <c r="D228" s="352"/>
      <c r="K228" s="1161"/>
      <c r="L228" s="1637"/>
      <c r="M228" s="1637"/>
      <c r="N228" s="1161"/>
      <c r="O228" s="1161"/>
      <c r="P228" s="1161"/>
      <c r="Q228" s="1161"/>
      <c r="R228" s="1637"/>
      <c r="S228" s="1161"/>
      <c r="T228" s="1161"/>
      <c r="U228" s="545"/>
      <c r="V228" s="1161"/>
      <c r="W228" s="1161"/>
      <c r="X228" s="1161"/>
      <c r="Y228" s="1161"/>
      <c r="Z228" s="1161"/>
      <c r="AA228" s="1633"/>
      <c r="AB228" s="567"/>
      <c r="AC228" s="567"/>
      <c r="AD228" s="567"/>
      <c r="AE228" s="567"/>
      <c r="AF228" s="1642">
        <v>11</v>
      </c>
    </row>
    <row s="1642" customFormat="1" customHeight="1" ht="11.549999999999999">
      <c r="A229" s="988"/>
      <c r="B229" s="1637"/>
      <c r="C229" s="1637"/>
      <c r="D229" s="352"/>
      <c r="K229" s="1161"/>
      <c r="L229" s="1637"/>
      <c r="M229" s="1637"/>
      <c r="N229" s="1161"/>
      <c r="O229" s="1161"/>
      <c r="P229" s="1161"/>
      <c r="Q229" s="1161"/>
      <c r="R229" s="1637"/>
      <c r="S229" s="1161"/>
      <c r="T229" s="1161"/>
      <c r="U229" s="545"/>
      <c r="V229" s="1161"/>
      <c r="W229" s="1161"/>
      <c r="X229" s="1161"/>
      <c r="Y229" s="1161"/>
      <c r="Z229" s="1161"/>
      <c r="AA229" s="1633"/>
      <c r="AB229" s="567"/>
      <c r="AC229" s="567"/>
      <c r="AD229" s="567"/>
      <c r="AE229" s="567"/>
      <c r="AF229" s="1642">
        <v>11</v>
      </c>
    </row>
    <row s="1642" customFormat="1" customHeight="1" ht="11.549999999999999">
      <c r="A230" s="988"/>
      <c r="B230" s="1637"/>
      <c r="C230" s="1637"/>
      <c r="D230" s="352"/>
      <c r="K230" s="1161"/>
      <c r="L230" s="1637"/>
      <c r="M230" s="1637"/>
      <c r="N230" s="1161"/>
      <c r="O230" s="1161"/>
      <c r="P230" s="1161"/>
      <c r="Q230" s="1161"/>
      <c r="R230" s="1637"/>
      <c r="S230" s="1161"/>
      <c r="T230" s="1161"/>
      <c r="U230" s="545"/>
      <c r="V230" s="1161"/>
      <c r="W230" s="1161"/>
      <c r="X230" s="1161"/>
      <c r="Y230" s="1161"/>
      <c r="Z230" s="1161"/>
      <c r="AA230" s="1633"/>
      <c r="AB230" s="567"/>
      <c r="AC230" s="567"/>
      <c r="AD230" s="567"/>
      <c r="AE230" s="567"/>
      <c r="AF230" s="1642">
        <v>11</v>
      </c>
    </row>
    <row s="1642" customFormat="1" customHeight="1" ht="11.549999999999999">
      <c r="A231" s="988"/>
      <c r="B231" s="1637"/>
      <c r="C231" s="1637"/>
      <c r="D231" s="352"/>
      <c r="K231" s="1161"/>
      <c r="L231" s="1637"/>
      <c r="M231" s="1637"/>
      <c r="N231" s="1161"/>
      <c r="O231" s="1161"/>
      <c r="P231" s="1161"/>
      <c r="Q231" s="1161"/>
      <c r="R231" s="1637"/>
      <c r="S231" s="1161"/>
      <c r="T231" s="1161"/>
      <c r="U231" s="545"/>
      <c r="V231" s="1161"/>
      <c r="W231" s="1161"/>
      <c r="X231" s="1161"/>
      <c r="Y231" s="1161"/>
      <c r="Z231" s="1161"/>
      <c r="AA231" s="1633"/>
      <c r="AB231" s="567"/>
      <c r="AC231" s="567"/>
      <c r="AD231" s="567"/>
      <c r="AE231" s="567"/>
      <c r="AF231" s="1642">
        <v>11</v>
      </c>
    </row>
    <row s="1642" customFormat="1" customHeight="1" ht="11.549999999999999">
      <c r="A232" s="988"/>
      <c r="B232" s="1637"/>
      <c r="C232" s="1637"/>
      <c r="D232" s="352"/>
      <c r="K232" s="1161"/>
      <c r="L232" s="1637"/>
      <c r="M232" s="1637"/>
      <c r="N232" s="1161"/>
      <c r="O232" s="1161"/>
      <c r="P232" s="1161"/>
      <c r="Q232" s="1161"/>
      <c r="R232" s="1637"/>
      <c r="S232" s="1161"/>
      <c r="T232" s="1161"/>
      <c r="U232" s="545"/>
      <c r="V232" s="1161"/>
      <c r="W232" s="1161"/>
      <c r="X232" s="1161"/>
      <c r="Y232" s="1161"/>
      <c r="Z232" s="1161"/>
      <c r="AA232" s="1633"/>
      <c r="AB232" s="567"/>
      <c r="AC232" s="567"/>
      <c r="AD232" s="567"/>
      <c r="AE232" s="567"/>
      <c r="AF232" s="1642">
        <v>11</v>
      </c>
    </row>
    <row s="1642" customFormat="1" customHeight="1" ht="11.549999999999999">
      <c r="A233" s="988"/>
      <c r="B233" s="1637"/>
      <c r="C233" s="1637"/>
      <c r="D233" s="352"/>
      <c r="K233" s="1161"/>
      <c r="L233" s="1637"/>
      <c r="M233" s="1637"/>
      <c r="N233" s="1161"/>
      <c r="O233" s="1161"/>
      <c r="P233" s="1161"/>
      <c r="Q233" s="1161"/>
      <c r="R233" s="1637"/>
      <c r="S233" s="1161"/>
      <c r="T233" s="1161"/>
      <c r="U233" s="545"/>
      <c r="V233" s="1161"/>
      <c r="W233" s="1161"/>
      <c r="X233" s="1161"/>
      <c r="Y233" s="1161"/>
      <c r="Z233" s="1161"/>
      <c r="AA233" s="1633"/>
      <c r="AB233" s="567"/>
      <c r="AC233" s="567"/>
      <c r="AD233" s="567"/>
      <c r="AE233" s="567"/>
      <c r="AF233" s="1642">
        <v>11</v>
      </c>
    </row>
    <row s="1642" customFormat="1" customHeight="1" ht="11.549999999999999">
      <c r="A234" s="988"/>
      <c r="B234" s="1637"/>
      <c r="C234" s="1637"/>
      <c r="D234" s="352"/>
      <c r="K234" s="1161"/>
      <c r="L234" s="1637"/>
      <c r="M234" s="1637"/>
      <c r="N234" s="1161"/>
      <c r="O234" s="1161"/>
      <c r="P234" s="1161"/>
      <c r="Q234" s="1161"/>
      <c r="R234" s="1637"/>
      <c r="S234" s="1161"/>
      <c r="T234" s="1161"/>
      <c r="U234" s="545"/>
      <c r="V234" s="1161"/>
      <c r="W234" s="1161"/>
      <c r="X234" s="1161"/>
      <c r="Y234" s="1161"/>
      <c r="Z234" s="1161"/>
      <c r="AA234" s="1633"/>
      <c r="AB234" s="567"/>
      <c r="AC234" s="567"/>
      <c r="AD234" s="567"/>
      <c r="AE234" s="567"/>
      <c r="AF234" s="1642">
        <v>11</v>
      </c>
    </row>
    <row s="1642" customFormat="1" customHeight="1" ht="11.549999999999999">
      <c r="A235" s="988"/>
      <c r="B235" s="1637"/>
      <c r="C235" s="1637"/>
      <c r="D235" s="352"/>
      <c r="K235" s="1161"/>
      <c r="L235" s="1637"/>
      <c r="M235" s="1637"/>
      <c r="N235" s="1161"/>
      <c r="O235" s="1161"/>
      <c r="P235" s="1161"/>
      <c r="Q235" s="1161"/>
      <c r="R235" s="1637"/>
      <c r="S235" s="1161"/>
      <c r="T235" s="1161"/>
      <c r="U235" s="545"/>
      <c r="V235" s="1161"/>
      <c r="W235" s="1161"/>
      <c r="X235" s="1161"/>
      <c r="Y235" s="1161"/>
      <c r="Z235" s="1161"/>
      <c r="AA235" s="1633"/>
      <c r="AB235" s="567"/>
      <c r="AC235" s="567"/>
      <c r="AD235" s="567"/>
      <c r="AE235" s="567"/>
      <c r="AF235" s="1642">
        <v>11</v>
      </c>
    </row>
    <row s="1642" customFormat="1" customHeight="1" ht="11.549999999999999">
      <c r="A236" s="988"/>
      <c r="B236" s="1637"/>
      <c r="C236" s="1637"/>
      <c r="D236" s="352"/>
      <c r="K236" s="1161"/>
      <c r="L236" s="1637"/>
      <c r="M236" s="1637"/>
      <c r="N236" s="1161"/>
      <c r="O236" s="1161"/>
      <c r="P236" s="1161"/>
      <c r="Q236" s="1161"/>
      <c r="R236" s="1637"/>
      <c r="S236" s="1161"/>
      <c r="T236" s="1161"/>
      <c r="U236" s="545"/>
      <c r="V236" s="1161"/>
      <c r="W236" s="1161"/>
      <c r="X236" s="1161"/>
      <c r="Y236" s="1161"/>
      <c r="Z236" s="1161"/>
      <c r="AA236" s="1633"/>
      <c r="AB236" s="567"/>
      <c r="AC236" s="567"/>
      <c r="AD236" s="567"/>
      <c r="AE236" s="567"/>
      <c r="AF236" s="1642">
        <v>11</v>
      </c>
    </row>
    <row s="1642" customFormat="1" customHeight="1" ht="11.549999999999999">
      <c r="A237" s="988"/>
      <c r="B237" s="1637"/>
      <c r="C237" s="1637"/>
      <c r="D237" s="352"/>
      <c r="K237" s="1161"/>
      <c r="L237" s="1637"/>
      <c r="M237" s="1637"/>
      <c r="N237" s="1161"/>
      <c r="O237" s="1161"/>
      <c r="P237" s="1161"/>
      <c r="Q237" s="1161"/>
      <c r="R237" s="1637"/>
      <c r="S237" s="1161"/>
      <c r="T237" s="1161"/>
      <c r="U237" s="545"/>
      <c r="V237" s="1161"/>
      <c r="W237" s="1161"/>
      <c r="X237" s="1161"/>
      <c r="Y237" s="1161"/>
      <c r="Z237" s="1161"/>
      <c r="AA237" s="1633"/>
      <c r="AB237" s="567"/>
      <c r="AC237" s="567"/>
      <c r="AD237" s="567"/>
      <c r="AE237" s="567"/>
      <c r="AF237" s="1642">
        <v>11</v>
      </c>
    </row>
    <row s="1642" customFormat="1" customHeight="1" ht="11.549999999999999">
      <c r="A238" s="988"/>
      <c r="B238" s="1637"/>
      <c r="C238" s="1637"/>
      <c r="D238" s="352"/>
      <c r="K238" s="1161"/>
      <c r="L238" s="1637"/>
      <c r="M238" s="1637"/>
      <c r="N238" s="1161"/>
      <c r="O238" s="1161"/>
      <c r="P238" s="1161"/>
      <c r="Q238" s="1161"/>
      <c r="R238" s="1637"/>
      <c r="S238" s="1161"/>
      <c r="T238" s="1161"/>
      <c r="U238" s="545"/>
      <c r="V238" s="1161"/>
      <c r="W238" s="1161"/>
      <c r="X238" s="1161"/>
      <c r="Y238" s="1161"/>
      <c r="Z238" s="1161"/>
      <c r="AA238" s="1633"/>
      <c r="AB238" s="567"/>
      <c r="AC238" s="567"/>
      <c r="AD238" s="567"/>
      <c r="AE238" s="567"/>
      <c r="AF238" s="1642">
        <v>11</v>
      </c>
    </row>
    <row s="1642" customFormat="1" customHeight="1" ht="11.549999999999999">
      <c r="A239" s="988"/>
      <c r="B239" s="1637"/>
      <c r="C239" s="1637"/>
      <c r="D239" s="352"/>
      <c r="K239" s="1161"/>
      <c r="L239" s="1637"/>
      <c r="M239" s="1637"/>
      <c r="N239" s="1161"/>
      <c r="O239" s="1161"/>
      <c r="P239" s="1161"/>
      <c r="Q239" s="1161"/>
      <c r="R239" s="1637"/>
      <c r="S239" s="1161"/>
      <c r="T239" s="1161"/>
      <c r="U239" s="545"/>
      <c r="V239" s="1161"/>
      <c r="W239" s="1161"/>
      <c r="X239" s="1161"/>
      <c r="Y239" s="1161"/>
      <c r="Z239" s="1161"/>
      <c r="AA239" s="1633"/>
      <c r="AB239" s="567"/>
      <c r="AC239" s="567"/>
      <c r="AD239" s="567"/>
      <c r="AE239" s="567"/>
      <c r="AF239" s="1642">
        <v>11</v>
      </c>
    </row>
    <row s="1642" customFormat="1" customHeight="1" ht="11.549999999999999">
      <c r="A240" s="988"/>
      <c r="B240" s="1637"/>
      <c r="C240" s="1637"/>
      <c r="D240" s="352"/>
      <c r="K240" s="1161"/>
      <c r="L240" s="1637"/>
      <c r="M240" s="1637"/>
      <c r="N240" s="1161"/>
      <c r="O240" s="1161"/>
      <c r="P240" s="1161"/>
      <c r="Q240" s="1161"/>
      <c r="R240" s="1637"/>
      <c r="S240" s="1161"/>
      <c r="T240" s="1161"/>
      <c r="U240" s="545"/>
      <c r="V240" s="1161"/>
      <c r="W240" s="1161"/>
      <c r="X240" s="1161"/>
      <c r="Y240" s="1161"/>
      <c r="Z240" s="1161"/>
      <c r="AA240" s="1633"/>
      <c r="AB240" s="567"/>
      <c r="AC240" s="567"/>
      <c r="AD240" s="567"/>
      <c r="AE240" s="567"/>
      <c r="AF240" s="1642">
        <v>11</v>
      </c>
    </row>
    <row s="1642" customFormat="1" customHeight="1" ht="11.549999999999999">
      <c r="A241" s="988"/>
      <c r="B241" s="1637"/>
      <c r="C241" s="1637"/>
      <c r="D241" s="352"/>
      <c r="K241" s="1161"/>
      <c r="L241" s="1637"/>
      <c r="M241" s="1637"/>
      <c r="N241" s="1161"/>
      <c r="O241" s="1161"/>
      <c r="P241" s="1161"/>
      <c r="Q241" s="1161"/>
      <c r="R241" s="1637"/>
      <c r="S241" s="1161"/>
      <c r="T241" s="1161"/>
      <c r="U241" s="545"/>
      <c r="V241" s="1161"/>
      <c r="W241" s="1161"/>
      <c r="X241" s="1161"/>
      <c r="Y241" s="1161"/>
      <c r="Z241" s="1161"/>
      <c r="AA241" s="1633"/>
      <c r="AB241" s="567"/>
      <c r="AC241" s="567"/>
      <c r="AD241" s="567"/>
      <c r="AE241" s="567"/>
      <c r="AF241" s="1642">
        <v>11</v>
      </c>
    </row>
    <row s="1642" customFormat="1" customHeight="1" ht="11.549999999999999">
      <c r="A242" s="988"/>
      <c r="B242" s="1637"/>
      <c r="C242" s="1637"/>
      <c r="D242" s="352"/>
      <c r="K242" s="1161"/>
      <c r="L242" s="1637"/>
      <c r="M242" s="1637"/>
      <c r="N242" s="1161"/>
      <c r="O242" s="1161"/>
      <c r="P242" s="1161"/>
      <c r="Q242" s="1161"/>
      <c r="R242" s="1637"/>
      <c r="S242" s="1161"/>
      <c r="T242" s="1161"/>
      <c r="U242" s="545"/>
      <c r="V242" s="1161"/>
      <c r="W242" s="1161"/>
      <c r="X242" s="1161"/>
      <c r="Y242" s="1161"/>
      <c r="Z242" s="1161"/>
      <c r="AA242" s="1633"/>
      <c r="AB242" s="567"/>
      <c r="AC242" s="567"/>
      <c r="AD242" s="567"/>
      <c r="AE242" s="567"/>
      <c r="AF242" s="1642">
        <v>11</v>
      </c>
    </row>
    <row s="1642" customFormat="1" customHeight="1" ht="11.549999999999999">
      <c r="A243" s="988"/>
      <c r="B243" s="1637"/>
      <c r="C243" s="1637"/>
      <c r="D243" s="352"/>
      <c r="K243" s="1161"/>
      <c r="L243" s="1637"/>
      <c r="M243" s="1637"/>
      <c r="N243" s="1161"/>
      <c r="O243" s="1161"/>
      <c r="P243" s="1161"/>
      <c r="Q243" s="1161"/>
      <c r="R243" s="1637"/>
      <c r="S243" s="1161"/>
      <c r="T243" s="1161"/>
      <c r="U243" s="545"/>
      <c r="V243" s="1161"/>
      <c r="W243" s="1161"/>
      <c r="X243" s="1161"/>
      <c r="Y243" s="1161"/>
      <c r="Z243" s="1161"/>
      <c r="AA243" s="1633"/>
      <c r="AB243" s="567"/>
      <c r="AC243" s="567"/>
      <c r="AD243" s="567"/>
      <c r="AE243" s="567"/>
      <c r="AF243" s="1642">
        <v>11</v>
      </c>
    </row>
    <row s="1642" customFormat="1" customHeight="1" ht="11.549999999999999">
      <c r="A244" s="988"/>
      <c r="B244" s="1637"/>
      <c r="C244" s="1637"/>
      <c r="D244" s="352"/>
      <c r="K244" s="1161"/>
      <c r="L244" s="1637"/>
      <c r="M244" s="1637"/>
      <c r="N244" s="1161"/>
      <c r="O244" s="1161"/>
      <c r="P244" s="1161"/>
      <c r="Q244" s="1161"/>
      <c r="R244" s="1637"/>
      <c r="S244" s="1161"/>
      <c r="T244" s="1161"/>
      <c r="U244" s="545"/>
      <c r="V244" s="1161"/>
      <c r="W244" s="1161"/>
      <c r="X244" s="1161"/>
      <c r="Y244" s="1161"/>
      <c r="Z244" s="1161"/>
      <c r="AA244" s="1633"/>
      <c r="AB244" s="567"/>
      <c r="AC244" s="567"/>
      <c r="AD244" s="567"/>
      <c r="AE244" s="567"/>
      <c r="AF244" s="1642">
        <v>11</v>
      </c>
    </row>
    <row s="1642" customFormat="1" customHeight="1" ht="11.549999999999999">
      <c r="A245" s="988"/>
      <c r="B245" s="1637"/>
      <c r="C245" s="1637"/>
      <c r="D245" s="352"/>
      <c r="K245" s="1161"/>
      <c r="L245" s="1637"/>
      <c r="M245" s="1637"/>
      <c r="N245" s="1161"/>
      <c r="O245" s="1161"/>
      <c r="P245" s="1161"/>
      <c r="Q245" s="1161"/>
      <c r="R245" s="1637"/>
      <c r="S245" s="1161"/>
      <c r="T245" s="1161"/>
      <c r="U245" s="545"/>
      <c r="V245" s="1161"/>
      <c r="W245" s="1161"/>
      <c r="X245" s="1161"/>
      <c r="Y245" s="1161"/>
      <c r="Z245" s="1161"/>
      <c r="AA245" s="1633"/>
      <c r="AB245" s="567"/>
      <c r="AC245" s="567"/>
      <c r="AD245" s="567"/>
      <c r="AE245" s="567"/>
      <c r="AF245" s="1642">
        <v>11</v>
      </c>
    </row>
    <row s="1642" customFormat="1" customHeight="1" ht="11.549999999999999">
      <c r="A246" s="988"/>
      <c r="B246" s="1637"/>
      <c r="C246" s="1637"/>
      <c r="D246" s="352"/>
      <c r="K246" s="1161"/>
      <c r="L246" s="1637"/>
      <c r="M246" s="1637"/>
      <c r="N246" s="1161"/>
      <c r="O246" s="1161"/>
      <c r="P246" s="1161"/>
      <c r="Q246" s="1161"/>
      <c r="R246" s="1637"/>
      <c r="S246" s="1161"/>
      <c r="T246" s="1161"/>
      <c r="U246" s="545"/>
      <c r="V246" s="1161"/>
      <c r="W246" s="1161"/>
      <c r="X246" s="1161"/>
      <c r="Y246" s="1161"/>
      <c r="Z246" s="1161"/>
      <c r="AA246" s="1633"/>
      <c r="AB246" s="567"/>
      <c r="AC246" s="567"/>
      <c r="AD246" s="567"/>
      <c r="AE246" s="567"/>
      <c r="AF246" s="1642">
        <v>11</v>
      </c>
    </row>
    <row s="1642" customFormat="1" customHeight="1" ht="11.549999999999999">
      <c r="A247" s="988"/>
      <c r="B247" s="1637"/>
      <c r="C247" s="1637"/>
      <c r="D247" s="352"/>
      <c r="K247" s="1161"/>
      <c r="L247" s="1637"/>
      <c r="M247" s="1637"/>
      <c r="N247" s="1161"/>
      <c r="O247" s="1161"/>
      <c r="P247" s="1161"/>
      <c r="Q247" s="1161"/>
      <c r="R247" s="1637"/>
      <c r="S247" s="1161"/>
      <c r="T247" s="1161"/>
      <c r="U247" s="545"/>
      <c r="V247" s="1161"/>
      <c r="W247" s="1161"/>
      <c r="X247" s="1161"/>
      <c r="Y247" s="1161"/>
      <c r="Z247" s="1161"/>
      <c r="AA247" s="1633"/>
      <c r="AB247" s="567"/>
      <c r="AC247" s="567"/>
      <c r="AD247" s="567"/>
      <c r="AE247" s="567"/>
      <c r="AF247" s="1642">
        <v>11</v>
      </c>
    </row>
    <row s="1642" customFormat="1" customHeight="1" ht="11.549999999999999">
      <c r="A248" s="988"/>
      <c r="B248" s="1637"/>
      <c r="C248" s="1637"/>
      <c r="D248" s="352"/>
      <c r="K248" s="1161"/>
      <c r="L248" s="1637"/>
      <c r="M248" s="1637"/>
      <c r="N248" s="1161"/>
      <c r="O248" s="1161"/>
      <c r="P248" s="1161"/>
      <c r="Q248" s="1161"/>
      <c r="R248" s="1637"/>
      <c r="S248" s="1161"/>
      <c r="T248" s="1161"/>
      <c r="U248" s="545"/>
      <c r="V248" s="1161"/>
      <c r="W248" s="1161"/>
      <c r="X248" s="1161"/>
      <c r="Y248" s="1161"/>
      <c r="Z248" s="1161"/>
      <c r="AA248" s="1633"/>
      <c r="AB248" s="567"/>
      <c r="AC248" s="567"/>
      <c r="AD248" s="567"/>
      <c r="AE248" s="567"/>
      <c r="AF248" s="1642">
        <v>11</v>
      </c>
    </row>
    <row s="1642" customFormat="1" customHeight="1" ht="11.549999999999999">
      <c r="A249" s="988"/>
      <c r="B249" s="1637"/>
      <c r="C249" s="1637"/>
      <c r="D249" s="352"/>
      <c r="K249" s="1161"/>
      <c r="L249" s="1637"/>
      <c r="M249" s="1637"/>
      <c r="N249" s="1161"/>
      <c r="O249" s="1161"/>
      <c r="P249" s="1161"/>
      <c r="Q249" s="1161"/>
      <c r="R249" s="1637"/>
      <c r="S249" s="1161"/>
      <c r="T249" s="1161"/>
      <c r="U249" s="545"/>
      <c r="V249" s="1161"/>
      <c r="W249" s="1161"/>
      <c r="X249" s="1161"/>
      <c r="Y249" s="1161"/>
      <c r="Z249" s="1161"/>
      <c r="AA249" s="1633"/>
      <c r="AB249" s="567"/>
      <c r="AC249" s="567"/>
      <c r="AD249" s="567"/>
      <c r="AE249" s="567"/>
      <c r="AF249" s="1642">
        <v>11</v>
      </c>
    </row>
    <row s="1642" customFormat="1" customHeight="1" ht="11.549999999999999">
      <c r="A250" s="988"/>
      <c r="B250" s="1637"/>
      <c r="C250" s="1637"/>
      <c r="D250" s="352"/>
      <c r="K250" s="1161"/>
      <c r="L250" s="1637"/>
      <c r="M250" s="1637"/>
      <c r="N250" s="1161"/>
      <c r="O250" s="1161"/>
      <c r="P250" s="1161"/>
      <c r="Q250" s="1161"/>
      <c r="R250" s="1637"/>
      <c r="S250" s="1161"/>
      <c r="T250" s="1161"/>
      <c r="U250" s="545"/>
      <c r="V250" s="1161"/>
      <c r="W250" s="1161"/>
      <c r="X250" s="1161"/>
      <c r="Y250" s="1161"/>
      <c r="Z250" s="1161"/>
      <c r="AA250" s="1633"/>
      <c r="AB250" s="567"/>
      <c r="AC250" s="567"/>
      <c r="AD250" s="567"/>
      <c r="AE250" s="567"/>
      <c r="AF250" s="1642">
        <v>11</v>
      </c>
    </row>
    <row s="1642" customFormat="1" customHeight="1" ht="11.549999999999999">
      <c r="A251" s="988"/>
      <c r="B251" s="1637"/>
      <c r="C251" s="1637"/>
      <c r="D251" s="352"/>
      <c r="K251" s="1161"/>
      <c r="L251" s="1637"/>
      <c r="M251" s="1637"/>
      <c r="N251" s="1161"/>
      <c r="O251" s="1161"/>
      <c r="P251" s="1161"/>
      <c r="Q251" s="1161"/>
      <c r="R251" s="1637"/>
      <c r="S251" s="1161"/>
      <c r="T251" s="1161"/>
      <c r="U251" s="545"/>
      <c r="V251" s="1161"/>
      <c r="W251" s="1161"/>
      <c r="X251" s="1161"/>
      <c r="Y251" s="1161"/>
      <c r="Z251" s="1161"/>
      <c r="AA251" s="1633"/>
      <c r="AB251" s="567"/>
      <c r="AC251" s="567"/>
      <c r="AD251" s="567"/>
      <c r="AE251" s="567"/>
      <c r="AF251" s="1642">
        <v>11</v>
      </c>
    </row>
    <row s="1642" customFormat="1" customHeight="1" ht="11.549999999999999">
      <c r="A252" s="988"/>
      <c r="B252" s="1637"/>
      <c r="C252" s="1637"/>
      <c r="D252" s="352"/>
      <c r="K252" s="1161"/>
      <c r="L252" s="1637"/>
      <c r="M252" s="1637"/>
      <c r="N252" s="1161"/>
      <c r="O252" s="1161"/>
      <c r="P252" s="1161"/>
      <c r="Q252" s="1161"/>
      <c r="R252" s="1637"/>
      <c r="S252" s="1161"/>
      <c r="T252" s="1161"/>
      <c r="U252" s="545"/>
      <c r="V252" s="1161"/>
      <c r="W252" s="1161"/>
      <c r="X252" s="1161"/>
      <c r="Y252" s="1161"/>
      <c r="Z252" s="1161"/>
      <c r="AA252" s="1633"/>
      <c r="AB252" s="567"/>
      <c r="AC252" s="567"/>
      <c r="AD252" s="567"/>
      <c r="AE252" s="567"/>
      <c r="AF252" s="1642">
        <v>11</v>
      </c>
    </row>
    <row s="1642" customFormat="1" customHeight="1" ht="11.549999999999999">
      <c r="A253" s="988"/>
      <c r="B253" s="1637"/>
      <c r="C253" s="1637"/>
      <c r="D253" s="352"/>
      <c r="K253" s="1161"/>
      <c r="L253" s="1637"/>
      <c r="M253" s="1637"/>
      <c r="N253" s="1161"/>
      <c r="O253" s="1161"/>
      <c r="P253" s="1161"/>
      <c r="Q253" s="1161"/>
      <c r="R253" s="1637"/>
      <c r="S253" s="1161"/>
      <c r="T253" s="1161"/>
      <c r="U253" s="545"/>
      <c r="V253" s="1161"/>
      <c r="W253" s="1161"/>
      <c r="X253" s="1161"/>
      <c r="Y253" s="1161"/>
      <c r="Z253" s="1161"/>
      <c r="AA253" s="1633"/>
      <c r="AB253" s="567"/>
      <c r="AC253" s="567"/>
      <c r="AD253" s="567"/>
      <c r="AE253" s="567"/>
      <c r="AF253" s="1642">
        <v>11</v>
      </c>
    </row>
    <row s="1642" customFormat="1" customHeight="1" ht="11.549999999999999">
      <c r="A254" s="988"/>
      <c r="B254" s="1637"/>
      <c r="C254" s="1637"/>
      <c r="D254" s="352"/>
      <c r="K254" s="1161"/>
      <c r="L254" s="1637"/>
      <c r="M254" s="1637"/>
      <c r="N254" s="1161"/>
      <c r="O254" s="1161"/>
      <c r="P254" s="1161"/>
      <c r="Q254" s="1161"/>
      <c r="R254" s="1637"/>
      <c r="S254" s="1161"/>
      <c r="T254" s="1161"/>
      <c r="U254" s="545"/>
      <c r="V254" s="1161"/>
      <c r="W254" s="1161"/>
      <c r="X254" s="1161"/>
      <c r="Y254" s="1161"/>
      <c r="Z254" s="1161"/>
      <c r="AA254" s="1633"/>
      <c r="AB254" s="567"/>
      <c r="AC254" s="567"/>
      <c r="AD254" s="567"/>
      <c r="AE254" s="567"/>
      <c r="AF254" s="1642">
        <v>11</v>
      </c>
    </row>
    <row s="1642" customFormat="1" customHeight="1" ht="11.549999999999999">
      <c r="A255" s="988"/>
      <c r="B255" s="1637"/>
      <c r="C255" s="1637"/>
      <c r="D255" s="352"/>
      <c r="K255" s="1161"/>
      <c r="L255" s="1637"/>
      <c r="M255" s="1637"/>
      <c r="N255" s="1161"/>
      <c r="O255" s="1161"/>
      <c r="P255" s="1161"/>
      <c r="Q255" s="1161"/>
      <c r="R255" s="1637"/>
      <c r="S255" s="1161"/>
      <c r="T255" s="1161"/>
      <c r="U255" s="545"/>
      <c r="V255" s="1161"/>
      <c r="W255" s="1161"/>
      <c r="X255" s="1161"/>
      <c r="Y255" s="1161"/>
      <c r="Z255" s="1161"/>
      <c r="AA255" s="1633"/>
      <c r="AB255" s="567"/>
      <c r="AC255" s="567"/>
      <c r="AD255" s="567"/>
      <c r="AE255" s="567"/>
      <c r="AF255" s="1642">
        <v>11</v>
      </c>
    </row>
    <row s="1642" customFormat="1" customHeight="1" ht="11.549999999999999">
      <c r="A256" s="988"/>
      <c r="B256" s="1637"/>
      <c r="C256" s="1637"/>
      <c r="D256" s="352"/>
      <c r="K256" s="1161"/>
      <c r="L256" s="1637"/>
      <c r="M256" s="1637"/>
      <c r="N256" s="1161"/>
      <c r="O256" s="1161"/>
      <c r="P256" s="1161"/>
      <c r="Q256" s="1161"/>
      <c r="R256" s="1637"/>
      <c r="S256" s="1161"/>
      <c r="T256" s="1161"/>
      <c r="U256" s="545"/>
      <c r="V256" s="1161"/>
      <c r="W256" s="1161"/>
      <c r="X256" s="1161"/>
      <c r="Y256" s="1161"/>
      <c r="Z256" s="1161"/>
      <c r="AA256" s="1633"/>
      <c r="AB256" s="567"/>
      <c r="AC256" s="567"/>
      <c r="AD256" s="567"/>
      <c r="AE256" s="567"/>
      <c r="AF256" s="1642">
        <v>11</v>
      </c>
    </row>
    <row s="1642" customFormat="1" customHeight="1" ht="11.549999999999999">
      <c r="A257" s="988"/>
      <c r="B257" s="1637"/>
      <c r="C257" s="1637"/>
      <c r="D257" s="352"/>
      <c r="K257" s="1161"/>
      <c r="L257" s="1637"/>
      <c r="M257" s="1637"/>
      <c r="N257" s="1161"/>
      <c r="O257" s="1161"/>
      <c r="P257" s="1161"/>
      <c r="Q257" s="1161"/>
      <c r="R257" s="1637"/>
      <c r="S257" s="1161"/>
      <c r="T257" s="1161"/>
      <c r="U257" s="545"/>
      <c r="V257" s="1161"/>
      <c r="W257" s="1161"/>
      <c r="X257" s="1161"/>
      <c r="Y257" s="1161"/>
      <c r="Z257" s="1161"/>
      <c r="AA257" s="1633"/>
      <c r="AB257" s="567"/>
      <c r="AC257" s="567"/>
      <c r="AD257" s="567"/>
      <c r="AE257" s="567"/>
      <c r="AF257" s="1642">
        <v>11</v>
      </c>
    </row>
    <row s="1642" customFormat="1" customHeight="1" ht="11.549999999999999">
      <c r="A258" s="988"/>
      <c r="B258" s="1637"/>
      <c r="C258" s="1637"/>
      <c r="D258" s="352"/>
      <c r="K258" s="1161"/>
      <c r="L258" s="1637"/>
      <c r="M258" s="1637"/>
      <c r="N258" s="1161"/>
      <c r="O258" s="1161"/>
      <c r="P258" s="1161"/>
      <c r="Q258" s="1161"/>
      <c r="R258" s="1637"/>
      <c r="S258" s="1161"/>
      <c r="T258" s="1161"/>
      <c r="U258" s="545"/>
      <c r="V258" s="1161"/>
      <c r="W258" s="1161"/>
      <c r="X258" s="1161"/>
      <c r="Y258" s="1161"/>
      <c r="Z258" s="1161"/>
      <c r="AA258" s="1633"/>
      <c r="AB258" s="567"/>
      <c r="AC258" s="567"/>
      <c r="AD258" s="567"/>
      <c r="AE258" s="567"/>
      <c r="AF258" s="1642">
        <v>11</v>
      </c>
    </row>
    <row s="1642" customFormat="1" customHeight="1" ht="11.549999999999999">
      <c r="A259" s="988"/>
      <c r="B259" s="1637"/>
      <c r="C259" s="1637"/>
      <c r="D259" s="352"/>
      <c r="K259" s="1161"/>
      <c r="L259" s="1637"/>
      <c r="M259" s="1637"/>
      <c r="N259" s="1161"/>
      <c r="O259" s="1161"/>
      <c r="P259" s="1161"/>
      <c r="Q259" s="1161"/>
      <c r="R259" s="1637"/>
      <c r="S259" s="1161"/>
      <c r="T259" s="1161"/>
      <c r="U259" s="545"/>
      <c r="V259" s="1161"/>
      <c r="W259" s="1161"/>
      <c r="X259" s="1161"/>
      <c r="Y259" s="1161"/>
      <c r="Z259" s="1161"/>
      <c r="AA259" s="1633"/>
      <c r="AB259" s="567"/>
      <c r="AC259" s="567"/>
      <c r="AD259" s="567"/>
      <c r="AE259" s="567"/>
      <c r="AF259" s="1642">
        <v>11</v>
      </c>
    </row>
    <row s="1642" customFormat="1" customHeight="1" ht="11.549999999999999">
      <c r="A260" s="988"/>
      <c r="B260" s="1637"/>
      <c r="C260" s="1637"/>
      <c r="D260" s="352"/>
      <c r="K260" s="1161"/>
      <c r="L260" s="1637"/>
      <c r="M260" s="1637"/>
      <c r="N260" s="1161"/>
      <c r="O260" s="1161"/>
      <c r="P260" s="1161"/>
      <c r="Q260" s="1161"/>
      <c r="R260" s="1637"/>
      <c r="S260" s="1161"/>
      <c r="T260" s="1161"/>
      <c r="U260" s="545"/>
      <c r="V260" s="1161"/>
      <c r="W260" s="1161"/>
      <c r="X260" s="1161"/>
      <c r="Y260" s="1161"/>
      <c r="Z260" s="1161"/>
      <c r="AA260" s="1633"/>
      <c r="AB260" s="567"/>
      <c r="AC260" s="567"/>
      <c r="AD260" s="567"/>
      <c r="AE260" s="567"/>
      <c r="AF260" s="1642">
        <v>11</v>
      </c>
    </row>
    <row s="1642" customFormat="1" customHeight="1" ht="11.549999999999999">
      <c r="A261" s="988"/>
      <c r="B261" s="1637"/>
      <c r="C261" s="1637"/>
      <c r="D261" s="352"/>
      <c r="K261" s="1161"/>
      <c r="L261" s="1637"/>
      <c r="M261" s="1637"/>
      <c r="N261" s="1161"/>
      <c r="O261" s="1161"/>
      <c r="P261" s="1161"/>
      <c r="Q261" s="1161"/>
      <c r="R261" s="1637"/>
      <c r="S261" s="1161"/>
      <c r="T261" s="1161"/>
      <c r="U261" s="545"/>
      <c r="V261" s="1161"/>
      <c r="W261" s="1161"/>
      <c r="X261" s="1161"/>
      <c r="Y261" s="1161"/>
      <c r="Z261" s="1161"/>
      <c r="AA261" s="1633"/>
      <c r="AB261" s="567"/>
      <c r="AC261" s="567"/>
      <c r="AD261" s="567"/>
      <c r="AE261" s="567"/>
      <c r="AF261" s="1642">
        <v>11</v>
      </c>
    </row>
    <row s="1642" customFormat="1" customHeight="1" ht="11.549999999999999">
      <c r="A262" s="988"/>
      <c r="B262" s="1637"/>
      <c r="C262" s="1637"/>
      <c r="D262" s="352"/>
      <c r="K262" s="1161"/>
      <c r="L262" s="1637"/>
      <c r="M262" s="1637"/>
      <c r="N262" s="1161"/>
      <c r="O262" s="1161"/>
      <c r="P262" s="1161"/>
      <c r="Q262" s="1161"/>
      <c r="R262" s="1637"/>
      <c r="S262" s="1161"/>
      <c r="T262" s="1161"/>
      <c r="U262" s="545"/>
      <c r="V262" s="1161"/>
      <c r="W262" s="1161"/>
      <c r="X262" s="1161"/>
      <c r="Y262" s="1161"/>
      <c r="Z262" s="1161"/>
      <c r="AA262" s="1633"/>
      <c r="AB262" s="567"/>
      <c r="AC262" s="567"/>
      <c r="AD262" s="567"/>
      <c r="AE262" s="567"/>
      <c r="AF262" s="1642">
        <v>11</v>
      </c>
    </row>
    <row s="1642" customFormat="1" customHeight="1" ht="11.549999999999999">
      <c r="A263" s="988"/>
      <c r="B263" s="1637"/>
      <c r="C263" s="1637"/>
      <c r="D263" s="352"/>
      <c r="K263" s="1161"/>
      <c r="L263" s="1637"/>
      <c r="M263" s="1637"/>
      <c r="N263" s="1161"/>
      <c r="O263" s="1161"/>
      <c r="P263" s="1161"/>
      <c r="Q263" s="1161"/>
      <c r="R263" s="1637"/>
      <c r="S263" s="1161"/>
      <c r="T263" s="1161"/>
      <c r="U263" s="545"/>
      <c r="V263" s="1161"/>
      <c r="W263" s="1161"/>
      <c r="X263" s="1161"/>
      <c r="Y263" s="1161"/>
      <c r="Z263" s="1161"/>
      <c r="AA263" s="1633"/>
      <c r="AB263" s="567"/>
      <c r="AC263" s="567"/>
      <c r="AD263" s="567"/>
      <c r="AE263" s="567"/>
      <c r="AF263" s="1642">
        <v>11</v>
      </c>
    </row>
    <row s="1642" customFormat="1" customHeight="1" ht="11.549999999999999">
      <c r="A264" s="988"/>
      <c r="B264" s="1637"/>
      <c r="C264" s="1637"/>
      <c r="D264" s="352"/>
      <c r="K264" s="1161"/>
      <c r="L264" s="1637"/>
      <c r="M264" s="1637"/>
      <c r="N264" s="1161"/>
      <c r="O264" s="1161"/>
      <c r="P264" s="1161"/>
      <c r="Q264" s="1161"/>
      <c r="R264" s="1637"/>
      <c r="S264" s="1161"/>
      <c r="T264" s="1161"/>
      <c r="U264" s="545"/>
      <c r="V264" s="1161"/>
      <c r="W264" s="1161"/>
      <c r="X264" s="1161"/>
      <c r="Y264" s="1161"/>
      <c r="Z264" s="1161"/>
      <c r="AA264" s="1633"/>
      <c r="AB264" s="567"/>
      <c r="AC264" s="567"/>
      <c r="AD264" s="567"/>
      <c r="AE264" s="567"/>
      <c r="AF264" s="1642">
        <v>11</v>
      </c>
    </row>
    <row s="1642" customFormat="1" customHeight="1" ht="11.549999999999999">
      <c r="A265" s="988"/>
      <c r="B265" s="1637"/>
      <c r="C265" s="1637"/>
      <c r="D265" s="352"/>
      <c r="K265" s="1161"/>
      <c r="L265" s="1637"/>
      <c r="M265" s="1637"/>
      <c r="N265" s="1161"/>
      <c r="O265" s="1161"/>
      <c r="P265" s="1161"/>
      <c r="Q265" s="1161"/>
      <c r="R265" s="1637"/>
      <c r="S265" s="1161"/>
      <c r="T265" s="1161"/>
      <c r="U265" s="545"/>
      <c r="V265" s="1161"/>
      <c r="W265" s="1161"/>
      <c r="X265" s="1161"/>
      <c r="Y265" s="1161"/>
      <c r="Z265" s="1161"/>
      <c r="AA265" s="1633"/>
      <c r="AB265" s="567"/>
      <c r="AC265" s="567"/>
      <c r="AD265" s="567"/>
      <c r="AE265" s="567"/>
      <c r="AF265" s="1642">
        <v>11</v>
      </c>
    </row>
    <row s="1642" customFormat="1" customHeight="1" ht="11.549999999999999">
      <c r="A266" s="988"/>
      <c r="B266" s="1637"/>
      <c r="C266" s="1637"/>
      <c r="D266" s="352"/>
      <c r="K266" s="1161"/>
      <c r="L266" s="1637"/>
      <c r="M266" s="1637"/>
      <c r="N266" s="1161"/>
      <c r="O266" s="1161"/>
      <c r="P266" s="1161"/>
      <c r="Q266" s="1161"/>
      <c r="R266" s="1637"/>
      <c r="S266" s="1161"/>
      <c r="T266" s="1161"/>
      <c r="U266" s="545"/>
      <c r="V266" s="1161"/>
      <c r="W266" s="1161"/>
      <c r="X266" s="1161"/>
      <c r="Y266" s="1161"/>
      <c r="Z266" s="1161"/>
      <c r="AA266" s="1633"/>
      <c r="AB266" s="567"/>
      <c r="AC266" s="567"/>
      <c r="AD266" s="567"/>
      <c r="AE266" s="567"/>
      <c r="AF266" s="1642">
        <v>11</v>
      </c>
    </row>
    <row s="1642" customFormat="1" customHeight="1" ht="11.549999999999999">
      <c r="A267" s="988"/>
      <c r="B267" s="1637"/>
      <c r="C267" s="1637"/>
      <c r="D267" s="352"/>
      <c r="K267" s="1161"/>
      <c r="L267" s="1637"/>
      <c r="M267" s="1637"/>
      <c r="N267" s="1161"/>
      <c r="O267" s="1161"/>
      <c r="P267" s="1161"/>
      <c r="Q267" s="1161"/>
      <c r="R267" s="1637"/>
      <c r="S267" s="1161"/>
      <c r="T267" s="1161"/>
      <c r="U267" s="545"/>
      <c r="V267" s="1161"/>
      <c r="W267" s="1161"/>
      <c r="X267" s="1161"/>
      <c r="Y267" s="1161"/>
      <c r="Z267" s="1161"/>
      <c r="AA267" s="1633"/>
      <c r="AB267" s="567"/>
      <c r="AC267" s="567"/>
      <c r="AD267" s="567"/>
      <c r="AE267" s="567"/>
      <c r="AF267" s="1642">
        <v>11</v>
      </c>
    </row>
    <row s="1642" customFormat="1" customHeight="1" ht="11.549999999999999">
      <c r="A268" s="988"/>
      <c r="B268" s="1637"/>
      <c r="C268" s="1637"/>
      <c r="D268" s="352"/>
      <c r="K268" s="1161"/>
      <c r="L268" s="1637"/>
      <c r="M268" s="1637"/>
      <c r="N268" s="1161"/>
      <c r="O268" s="1161"/>
      <c r="P268" s="1161"/>
      <c r="Q268" s="1161"/>
      <c r="R268" s="1637"/>
      <c r="S268" s="1161"/>
      <c r="T268" s="1161"/>
      <c r="U268" s="545"/>
      <c r="V268" s="1161"/>
      <c r="W268" s="1161"/>
      <c r="X268" s="1161"/>
      <c r="Y268" s="1161"/>
      <c r="Z268" s="1161"/>
      <c r="AA268" s="1633"/>
      <c r="AB268" s="567"/>
      <c r="AC268" s="567"/>
      <c r="AD268" s="567"/>
      <c r="AE268" s="567"/>
      <c r="AF268" s="1642">
        <v>11</v>
      </c>
    </row>
    <row s="1642" customFormat="1" customHeight="1" ht="11.549999999999999">
      <c r="A269" s="988"/>
      <c r="B269" s="1637"/>
      <c r="C269" s="1637"/>
      <c r="D269" s="352"/>
      <c r="K269" s="1161"/>
      <c r="L269" s="1637"/>
      <c r="M269" s="1637"/>
      <c r="N269" s="1161"/>
      <c r="O269" s="1161"/>
      <c r="P269" s="1161"/>
      <c r="Q269" s="1161"/>
      <c r="R269" s="1637"/>
      <c r="S269" s="1161"/>
      <c r="T269" s="1161"/>
      <c r="U269" s="545"/>
      <c r="V269" s="1161"/>
      <c r="W269" s="1161"/>
      <c r="X269" s="1161"/>
      <c r="Y269" s="1161"/>
      <c r="Z269" s="1161"/>
      <c r="AA269" s="1633"/>
      <c r="AB269" s="567"/>
      <c r="AC269" s="567"/>
      <c r="AD269" s="567"/>
      <c r="AE269" s="567"/>
      <c r="AF269" s="1642">
        <v>11</v>
      </c>
    </row>
    <row s="1642" customFormat="1" customHeight="1" ht="11.549999999999999">
      <c r="A270" s="988"/>
      <c r="B270" s="1637"/>
      <c r="C270" s="1637"/>
      <c r="D270" s="352"/>
      <c r="K270" s="1161"/>
      <c r="L270" s="1637"/>
      <c r="M270" s="1637"/>
      <c r="N270" s="1161"/>
      <c r="O270" s="1161"/>
      <c r="P270" s="1161"/>
      <c r="Q270" s="1161"/>
      <c r="R270" s="1637"/>
      <c r="S270" s="1161"/>
      <c r="T270" s="1161"/>
      <c r="U270" s="545"/>
      <c r="V270" s="1161"/>
      <c r="W270" s="1161"/>
      <c r="X270" s="1161"/>
      <c r="Y270" s="1161"/>
      <c r="Z270" s="1161"/>
      <c r="AA270" s="1633"/>
      <c r="AB270" s="567"/>
      <c r="AC270" s="567"/>
      <c r="AD270" s="567"/>
      <c r="AE270" s="567"/>
      <c r="AF270" s="1642">
        <v>11</v>
      </c>
    </row>
    <row s="1642" customFormat="1" customHeight="1" ht="11.549999999999999">
      <c r="A271" s="988"/>
      <c r="B271" s="1637"/>
      <c r="C271" s="1637"/>
      <c r="D271" s="352"/>
      <c r="K271" s="1161"/>
      <c r="L271" s="1637"/>
      <c r="M271" s="1637"/>
      <c r="N271" s="1161"/>
      <c r="O271" s="1161"/>
      <c r="P271" s="1161"/>
      <c r="Q271" s="1161"/>
      <c r="R271" s="1637"/>
      <c r="S271" s="1161"/>
      <c r="T271" s="1161"/>
      <c r="U271" s="545"/>
      <c r="V271" s="1161"/>
      <c r="W271" s="1161"/>
      <c r="X271" s="1161"/>
      <c r="Y271" s="1161"/>
      <c r="Z271" s="1161"/>
      <c r="AA271" s="1633"/>
      <c r="AB271" s="567"/>
      <c r="AC271" s="567"/>
      <c r="AD271" s="567"/>
      <c r="AE271" s="567"/>
      <c r="AF271" s="1642">
        <v>11</v>
      </c>
    </row>
    <row s="1642" customFormat="1" customHeight="1" ht="11.549999999999999">
      <c r="A272" s="988"/>
      <c r="B272" s="1637"/>
      <c r="C272" s="1637"/>
      <c r="D272" s="352"/>
      <c r="K272" s="1161"/>
      <c r="L272" s="1637"/>
      <c r="M272" s="1637"/>
      <c r="N272" s="1161"/>
      <c r="O272" s="1161"/>
      <c r="P272" s="1161"/>
      <c r="Q272" s="1161"/>
      <c r="R272" s="1637"/>
      <c r="S272" s="1161"/>
      <c r="T272" s="1161"/>
      <c r="U272" s="545"/>
      <c r="V272" s="1161"/>
      <c r="W272" s="1161"/>
      <c r="X272" s="1161"/>
      <c r="Y272" s="1161"/>
      <c r="Z272" s="1161"/>
      <c r="AA272" s="1633"/>
      <c r="AB272" s="567"/>
      <c r="AC272" s="567"/>
      <c r="AD272" s="567"/>
      <c r="AE272" s="567"/>
      <c r="AF272" s="1642">
        <v>11</v>
      </c>
    </row>
    <row s="1642" customFormat="1" customHeight="1" ht="11.549999999999999">
      <c r="A273" s="988"/>
      <c r="B273" s="1637"/>
      <c r="C273" s="1637"/>
      <c r="D273" s="352"/>
      <c r="K273" s="1161"/>
      <c r="L273" s="1637"/>
      <c r="M273" s="1637"/>
      <c r="N273" s="1161"/>
      <c r="O273" s="1161"/>
      <c r="P273" s="1161"/>
      <c r="Q273" s="1161"/>
      <c r="R273" s="1637"/>
      <c r="S273" s="1161"/>
      <c r="T273" s="1161"/>
      <c r="U273" s="545"/>
      <c r="V273" s="1161"/>
      <c r="W273" s="1161"/>
      <c r="X273" s="1161"/>
      <c r="Y273" s="1161"/>
      <c r="Z273" s="1161"/>
      <c r="AA273" s="1633"/>
      <c r="AB273" s="567"/>
      <c r="AC273" s="567"/>
      <c r="AD273" s="567"/>
      <c r="AE273" s="567"/>
      <c r="AF273" s="1642">
        <v>11</v>
      </c>
    </row>
    <row s="1642" customFormat="1" customHeight="1" ht="11.549999999999999">
      <c r="A274" s="988"/>
      <c r="B274" s="1637"/>
      <c r="C274" s="1637"/>
      <c r="D274" s="352"/>
      <c r="K274" s="1161"/>
      <c r="L274" s="1637"/>
      <c r="M274" s="1637"/>
      <c r="N274" s="1161"/>
      <c r="O274" s="1161"/>
      <c r="P274" s="1161"/>
      <c r="Q274" s="1161"/>
      <c r="R274" s="1637"/>
      <c r="S274" s="1161"/>
      <c r="T274" s="1161"/>
      <c r="U274" s="545"/>
      <c r="V274" s="1161"/>
      <c r="W274" s="1161"/>
      <c r="X274" s="1161"/>
      <c r="Y274" s="1161"/>
      <c r="Z274" s="1161"/>
      <c r="AA274" s="1633"/>
      <c r="AB274" s="567"/>
      <c r="AC274" s="567"/>
      <c r="AD274" s="567"/>
      <c r="AE274" s="567"/>
      <c r="AF274" s="1642">
        <v>11</v>
      </c>
    </row>
    <row s="1642" customFormat="1" customHeight="1" ht="11.549999999999999">
      <c r="A275" s="988"/>
      <c r="B275" s="1637"/>
      <c r="C275" s="1637"/>
      <c r="D275" s="352"/>
      <c r="K275" s="1161"/>
      <c r="L275" s="1637"/>
      <c r="M275" s="1637"/>
      <c r="N275" s="1161"/>
      <c r="O275" s="1161"/>
      <c r="P275" s="1161"/>
      <c r="Q275" s="1161"/>
      <c r="R275" s="1637"/>
      <c r="S275" s="1161"/>
      <c r="T275" s="1161"/>
      <c r="U275" s="545"/>
      <c r="V275" s="1161"/>
      <c r="W275" s="1161"/>
      <c r="X275" s="1161"/>
      <c r="Y275" s="1161"/>
      <c r="Z275" s="1161"/>
      <c r="AA275" s="1633"/>
      <c r="AB275" s="567"/>
      <c r="AC275" s="567"/>
      <c r="AD275" s="567"/>
      <c r="AE275" s="567"/>
      <c r="AF275" s="1642">
        <v>11</v>
      </c>
    </row>
    <row s="1642" customFormat="1" customHeight="1" ht="11.549999999999999">
      <c r="A276" s="988"/>
      <c r="B276" s="1637"/>
      <c r="C276" s="1637"/>
      <c r="D276" s="352"/>
      <c r="K276" s="1161"/>
      <c r="L276" s="1637"/>
      <c r="M276" s="1637"/>
      <c r="N276" s="1161"/>
      <c r="O276" s="1161"/>
      <c r="P276" s="1161"/>
      <c r="Q276" s="1161"/>
      <c r="R276" s="1637"/>
      <c r="S276" s="1161"/>
      <c r="T276" s="1161"/>
      <c r="U276" s="545"/>
      <c r="V276" s="1161"/>
      <c r="W276" s="1161"/>
      <c r="X276" s="1161"/>
      <c r="Y276" s="1161"/>
      <c r="Z276" s="1161"/>
      <c r="AA276" s="1633"/>
      <c r="AB276" s="567"/>
      <c r="AC276" s="567"/>
      <c r="AD276" s="567"/>
      <c r="AE276" s="567"/>
      <c r="AF276" s="1642">
        <v>11</v>
      </c>
    </row>
    <row s="1642" customFormat="1" customHeight="1" ht="11.549999999999999">
      <c r="A277" s="988"/>
      <c r="B277" s="1637"/>
      <c r="C277" s="1637"/>
      <c r="D277" s="352"/>
      <c r="K277" s="1161"/>
      <c r="L277" s="1637"/>
      <c r="M277" s="1637"/>
      <c r="N277" s="1161"/>
      <c r="O277" s="1161"/>
      <c r="P277" s="1161"/>
      <c r="Q277" s="1161"/>
      <c r="R277" s="1637"/>
      <c r="S277" s="1161"/>
      <c r="T277" s="1161"/>
      <c r="U277" s="545"/>
      <c r="V277" s="1161"/>
      <c r="W277" s="1161"/>
      <c r="X277" s="1161"/>
      <c r="Y277" s="1161"/>
      <c r="Z277" s="1161"/>
      <c r="AA277" s="1633"/>
      <c r="AB277" s="567"/>
      <c r="AC277" s="567"/>
      <c r="AD277" s="567"/>
      <c r="AE277" s="567"/>
      <c r="AF277" s="1642">
        <v>11</v>
      </c>
    </row>
    <row s="1642" customFormat="1" customHeight="1" ht="11.549999999999999">
      <c r="A278" s="988"/>
      <c r="B278" s="1637"/>
      <c r="C278" s="1637"/>
      <c r="D278" s="352"/>
      <c r="K278" s="1161"/>
      <c r="L278" s="1637"/>
      <c r="M278" s="1637"/>
      <c r="N278" s="1161"/>
      <c r="O278" s="1161"/>
      <c r="P278" s="1161"/>
      <c r="Q278" s="1161"/>
      <c r="R278" s="1637"/>
      <c r="S278" s="1161"/>
      <c r="T278" s="1161"/>
      <c r="U278" s="545"/>
      <c r="V278" s="1161"/>
      <c r="W278" s="1161"/>
      <c r="X278" s="1161"/>
      <c r="Y278" s="1161"/>
      <c r="Z278" s="1161"/>
      <c r="AA278" s="1633"/>
      <c r="AB278" s="567"/>
      <c r="AC278" s="567"/>
      <c r="AD278" s="567"/>
      <c r="AE278" s="567"/>
      <c r="AF278" s="1642">
        <v>11</v>
      </c>
    </row>
    <row s="1642" customFormat="1" customHeight="1" ht="11.549999999999999">
      <c r="A279" s="988"/>
      <c r="B279" s="1637"/>
      <c r="C279" s="1637"/>
      <c r="D279" s="352"/>
      <c r="K279" s="1161"/>
      <c r="L279" s="1637"/>
      <c r="M279" s="1637"/>
      <c r="N279" s="1161"/>
      <c r="O279" s="1161"/>
      <c r="P279" s="1161"/>
      <c r="Q279" s="1161"/>
      <c r="R279" s="1637"/>
      <c r="S279" s="1161"/>
      <c r="T279" s="1161"/>
      <c r="U279" s="545"/>
      <c r="V279" s="1161"/>
      <c r="W279" s="1161"/>
      <c r="X279" s="1161"/>
      <c r="Y279" s="1161"/>
      <c r="Z279" s="1161"/>
      <c r="AA279" s="1633"/>
      <c r="AB279" s="567"/>
      <c r="AC279" s="567"/>
      <c r="AD279" s="567"/>
      <c r="AE279" s="567"/>
      <c r="AF279" s="1642">
        <v>11</v>
      </c>
    </row>
    <row s="1642" customFormat="1" customHeight="1" ht="11.549999999999999">
      <c r="A280" s="988"/>
      <c r="B280" s="1637"/>
      <c r="C280" s="1637"/>
      <c r="D280" s="352"/>
      <c r="K280" s="1161"/>
      <c r="L280" s="1637"/>
      <c r="M280" s="1637"/>
      <c r="N280" s="1161"/>
      <c r="O280" s="1161"/>
      <c r="P280" s="1161"/>
      <c r="Q280" s="1161"/>
      <c r="R280" s="1637"/>
      <c r="S280" s="1161"/>
      <c r="T280" s="1161"/>
      <c r="U280" s="545"/>
      <c r="V280" s="1161"/>
      <c r="W280" s="1161"/>
      <c r="X280" s="1161"/>
      <c r="Y280" s="1161"/>
      <c r="Z280" s="1161"/>
      <c r="AA280" s="1633"/>
      <c r="AB280" s="567"/>
      <c r="AC280" s="567"/>
      <c r="AD280" s="567"/>
      <c r="AE280" s="567"/>
      <c r="AF280" s="1642">
        <v>11</v>
      </c>
    </row>
    <row s="1642" customFormat="1" customHeight="1" ht="11.549999999999999">
      <c r="A281" s="988"/>
      <c r="B281" s="1637"/>
      <c r="C281" s="1637"/>
      <c r="D281" s="352"/>
      <c r="K281" s="1161"/>
      <c r="L281" s="1637"/>
      <c r="M281" s="1637"/>
      <c r="N281" s="1161"/>
      <c r="O281" s="1161"/>
      <c r="P281" s="1161"/>
      <c r="Q281" s="1161"/>
      <c r="R281" s="1637"/>
      <c r="S281" s="1161"/>
      <c r="T281" s="1161"/>
      <c r="U281" s="545"/>
      <c r="V281" s="1161"/>
      <c r="W281" s="1161"/>
      <c r="X281" s="1161"/>
      <c r="Y281" s="1161"/>
      <c r="Z281" s="1161"/>
      <c r="AA281" s="1633"/>
      <c r="AB281" s="567"/>
      <c r="AC281" s="567"/>
      <c r="AD281" s="567"/>
      <c r="AE281" s="567"/>
      <c r="AF281" s="1642">
        <v>11</v>
      </c>
    </row>
    <row s="1642" customFormat="1" customHeight="1" ht="11.549999999999999">
      <c r="A282" s="988"/>
      <c r="B282" s="1637"/>
      <c r="C282" s="1637"/>
      <c r="D282" s="352"/>
      <c r="K282" s="1161"/>
      <c r="L282" s="1637"/>
      <c r="M282" s="1637"/>
      <c r="N282" s="1161"/>
      <c r="O282" s="1161"/>
      <c r="P282" s="1161"/>
      <c r="Q282" s="1161"/>
      <c r="R282" s="1637"/>
      <c r="S282" s="1161"/>
      <c r="T282" s="1161"/>
      <c r="U282" s="545"/>
      <c r="V282" s="1161"/>
      <c r="W282" s="1161"/>
      <c r="X282" s="1161"/>
      <c r="Y282" s="1161"/>
      <c r="Z282" s="1161"/>
      <c r="AA282" s="1633"/>
      <c r="AB282" s="567"/>
      <c r="AC282" s="567"/>
      <c r="AD282" s="567"/>
      <c r="AE282" s="567"/>
      <c r="AF282" s="1642">
        <v>11</v>
      </c>
    </row>
    <row s="1642" customFormat="1" customHeight="1" ht="11.549999999999999">
      <c r="A283" s="988"/>
      <c r="B283" s="1637"/>
      <c r="C283" s="1637"/>
      <c r="D283" s="352"/>
      <c r="K283" s="1161"/>
      <c r="L283" s="1637"/>
      <c r="M283" s="1637"/>
      <c r="N283" s="1161"/>
      <c r="O283" s="1161"/>
      <c r="P283" s="1161"/>
      <c r="Q283" s="1161"/>
      <c r="R283" s="1637"/>
      <c r="S283" s="1161"/>
      <c r="T283" s="1161"/>
      <c r="U283" s="545"/>
      <c r="V283" s="1161"/>
      <c r="W283" s="1161"/>
      <c r="X283" s="1161"/>
      <c r="Y283" s="1161"/>
      <c r="Z283" s="1161"/>
      <c r="AA283" s="1633"/>
      <c r="AB283" s="567"/>
      <c r="AC283" s="567"/>
      <c r="AD283" s="567"/>
      <c r="AE283" s="567"/>
      <c r="AF283" s="1642">
        <v>11</v>
      </c>
    </row>
    <row s="1642" customFormat="1" customHeight="1" ht="11.549999999999999">
      <c r="A284" s="988"/>
      <c r="B284" s="1637"/>
      <c r="C284" s="1637"/>
      <c r="D284" s="352"/>
      <c r="K284" s="1161"/>
      <c r="L284" s="1637"/>
      <c r="M284" s="1637"/>
      <c r="N284" s="1161"/>
      <c r="O284" s="1161"/>
      <c r="P284" s="1161"/>
      <c r="Q284" s="1161"/>
      <c r="R284" s="1637"/>
      <c r="S284" s="1161"/>
      <c r="T284" s="1161"/>
      <c r="U284" s="545"/>
      <c r="V284" s="1161"/>
      <c r="W284" s="1161"/>
      <c r="X284" s="1161"/>
      <c r="Y284" s="1161"/>
      <c r="Z284" s="1161"/>
      <c r="AA284" s="1633"/>
      <c r="AB284" s="567"/>
      <c r="AC284" s="567"/>
      <c r="AD284" s="567"/>
      <c r="AE284" s="567"/>
      <c r="AF284" s="1642">
        <v>11</v>
      </c>
    </row>
    <row s="1642" customFormat="1" customHeight="1" ht="11.549999999999999">
      <c r="A285" s="988"/>
      <c r="B285" s="1637"/>
      <c r="C285" s="1637"/>
      <c r="D285" s="352"/>
      <c r="K285" s="1161"/>
      <c r="L285" s="1637"/>
      <c r="M285" s="1637"/>
      <c r="N285" s="1161"/>
      <c r="O285" s="1161"/>
      <c r="P285" s="1161"/>
      <c r="Q285" s="1161"/>
      <c r="R285" s="1637"/>
      <c r="S285" s="1161"/>
      <c r="T285" s="1161"/>
      <c r="U285" s="545"/>
      <c r="V285" s="1161"/>
      <c r="W285" s="1161"/>
      <c r="X285" s="1161"/>
      <c r="Y285" s="1161"/>
      <c r="Z285" s="1161"/>
      <c r="AA285" s="1633"/>
      <c r="AB285" s="567"/>
      <c r="AC285" s="567"/>
      <c r="AD285" s="567"/>
      <c r="AE285" s="567"/>
      <c r="AF285" s="1642">
        <v>11</v>
      </c>
    </row>
    <row s="1642" customFormat="1" customHeight="1" ht="11.549999999999999">
      <c r="A286" s="988"/>
      <c r="B286" s="1637"/>
      <c r="C286" s="1637"/>
      <c r="D286" s="352"/>
      <c r="K286" s="1161"/>
      <c r="L286" s="1637"/>
      <c r="M286" s="1637"/>
      <c r="N286" s="1161"/>
      <c r="O286" s="1161"/>
      <c r="P286" s="1161"/>
      <c r="Q286" s="1161"/>
      <c r="R286" s="1637"/>
      <c r="S286" s="1161"/>
      <c r="T286" s="1161"/>
      <c r="U286" s="545"/>
      <c r="V286" s="1161"/>
      <c r="W286" s="1161"/>
      <c r="X286" s="1161"/>
      <c r="Y286" s="1161"/>
      <c r="Z286" s="1161"/>
      <c r="AA286" s="1633"/>
      <c r="AB286" s="567"/>
      <c r="AC286" s="567"/>
      <c r="AD286" s="567"/>
      <c r="AE286" s="567"/>
      <c r="AF286" s="1642">
        <v>11</v>
      </c>
    </row>
    <row s="1642" customFormat="1" customHeight="1" ht="11.549999999999999">
      <c r="A287" s="988"/>
      <c r="B287" s="1637"/>
      <c r="C287" s="1637"/>
      <c r="D287" s="352"/>
      <c r="K287" s="1161"/>
      <c r="L287" s="1637"/>
      <c r="M287" s="1637"/>
      <c r="N287" s="1161"/>
      <c r="O287" s="1161"/>
      <c r="P287" s="1161"/>
      <c r="Q287" s="1161"/>
      <c r="R287" s="1637"/>
      <c r="S287" s="1161"/>
      <c r="T287" s="1161"/>
      <c r="U287" s="545"/>
      <c r="V287" s="1161"/>
      <c r="W287" s="1161"/>
      <c r="X287" s="1161"/>
      <c r="Y287" s="1161"/>
      <c r="Z287" s="1161"/>
      <c r="AA287" s="1633"/>
      <c r="AB287" s="567"/>
      <c r="AC287" s="567"/>
      <c r="AD287" s="567"/>
      <c r="AE287" s="567"/>
      <c r="AF287" s="1642">
        <v>11</v>
      </c>
    </row>
    <row s="1642" customFormat="1" customHeight="1" ht="11.549999999999999">
      <c r="A288" s="988"/>
      <c r="B288" s="1637"/>
      <c r="C288" s="1637"/>
      <c r="D288" s="352"/>
      <c r="K288" s="1161"/>
      <c r="L288" s="1637"/>
      <c r="M288" s="1637"/>
      <c r="N288" s="1161"/>
      <c r="O288" s="1161"/>
      <c r="P288" s="1161"/>
      <c r="Q288" s="1161"/>
      <c r="R288" s="1637"/>
      <c r="S288" s="1161"/>
      <c r="T288" s="1161"/>
      <c r="U288" s="545"/>
      <c r="V288" s="1161"/>
      <c r="W288" s="1161"/>
      <c r="X288" s="1161"/>
      <c r="Y288" s="1161"/>
      <c r="Z288" s="1161"/>
      <c r="AA288" s="1633"/>
      <c r="AB288" s="567"/>
      <c r="AC288" s="567"/>
      <c r="AD288" s="567"/>
      <c r="AE288" s="567"/>
      <c r="AF288" s="1642">
        <v>11</v>
      </c>
    </row>
    <row customHeight="1" ht="11.549999999999999">
      <c r="AF289" s="1632">
        <v>11</v>
      </c>
    </row>
    <row customHeight="1" ht="11.549999999999999">
      <c r="AF290" s="1632">
        <v>11</v>
      </c>
    </row>
    <row customHeight="1" ht="11.549999999999999">
      <c r="AF291" s="1632">
        <v>11</v>
      </c>
    </row>
    <row customHeight="1" ht="11.549999999999999">
      <c r="A292" s="991"/>
      <c r="B292" s="1632"/>
      <c r="D292" s="1632"/>
      <c r="K292" s="1632"/>
      <c r="N292" s="1632"/>
      <c r="O292" s="1632"/>
      <c r="P292" s="1632"/>
      <c r="Q292" s="1632"/>
      <c r="S292" s="1632"/>
      <c r="T292" s="1632"/>
      <c r="U292" s="1632"/>
      <c r="V292" s="1632"/>
      <c r="W292" s="1632"/>
      <c r="X292" s="1632"/>
      <c r="Y292" s="1632"/>
      <c r="Z292" s="1632"/>
      <c r="AA292" s="1632"/>
      <c r="AB292" s="1632"/>
      <c r="AC292" s="1632"/>
      <c r="AD292" s="1632"/>
      <c r="AE292" s="1632"/>
      <c r="AF292" s="1632">
        <v>11</v>
      </c>
    </row>
    <row customHeight="1" ht="11.549999999999999">
      <c r="A293" s="991"/>
      <c r="B293" s="1632"/>
      <c r="D293" s="1632"/>
      <c r="K293" s="1632"/>
      <c r="N293" s="1632"/>
      <c r="O293" s="1632"/>
      <c r="P293" s="1632"/>
      <c r="Q293" s="1632"/>
      <c r="S293" s="1632"/>
      <c r="T293" s="1632"/>
      <c r="U293" s="1632"/>
      <c r="V293" s="1632"/>
      <c r="W293" s="1632"/>
      <c r="X293" s="1632"/>
      <c r="Y293" s="1632"/>
      <c r="Z293" s="1632"/>
      <c r="AA293" s="1632"/>
      <c r="AB293" s="1632"/>
      <c r="AC293" s="1632"/>
      <c r="AD293" s="1632"/>
      <c r="AE293" s="1632"/>
      <c r="AF293" s="1632">
        <v>11</v>
      </c>
    </row>
    <row customHeight="1" ht="11.549999999999999">
      <c r="A294" s="991"/>
      <c r="B294" s="1632"/>
      <c r="D294" s="1632"/>
      <c r="K294" s="1632"/>
      <c r="N294" s="1632"/>
      <c r="O294" s="1632"/>
      <c r="P294" s="1632"/>
      <c r="Q294" s="1632"/>
      <c r="S294" s="1632"/>
      <c r="T294" s="1632"/>
      <c r="U294" s="1632"/>
      <c r="V294" s="1632"/>
      <c r="W294" s="1632"/>
      <c r="X294" s="1632"/>
      <c r="Y294" s="1632"/>
      <c r="Z294" s="1632"/>
      <c r="AA294" s="1632"/>
      <c r="AB294" s="1632"/>
      <c r="AC294" s="1632"/>
      <c r="AD294" s="1632"/>
      <c r="AE294" s="1632"/>
      <c r="AF294" s="1632">
        <v>11</v>
      </c>
    </row>
    <row customHeight="1" ht="11.549999999999999">
      <c r="A295" s="991"/>
      <c r="B295" s="1632"/>
      <c r="D295" s="1632"/>
      <c r="K295" s="1632"/>
      <c r="N295" s="1632"/>
      <c r="O295" s="1632"/>
      <c r="P295" s="1632"/>
      <c r="Q295" s="1632"/>
      <c r="S295" s="1632"/>
      <c r="T295" s="1632"/>
      <c r="U295" s="1632"/>
      <c r="V295" s="1632"/>
      <c r="W295" s="1632"/>
      <c r="X295" s="1632"/>
      <c r="Y295" s="1632"/>
      <c r="Z295" s="1632"/>
      <c r="AA295" s="1632"/>
      <c r="AB295" s="1632"/>
      <c r="AC295" s="1632"/>
      <c r="AD295" s="1632"/>
      <c r="AE295" s="1632"/>
      <c r="AF295" s="1632">
        <v>11</v>
      </c>
    </row>
    <row customHeight="1" ht="11.549999999999999">
      <c r="A296" s="991"/>
      <c r="B296" s="1632"/>
      <c r="D296" s="1632"/>
      <c r="K296" s="1632"/>
      <c r="N296" s="1632"/>
      <c r="O296" s="1632"/>
      <c r="P296" s="1632"/>
      <c r="Q296" s="1632"/>
      <c r="S296" s="1632"/>
      <c r="T296" s="1632"/>
      <c r="U296" s="1632"/>
      <c r="V296" s="1632"/>
      <c r="W296" s="1632"/>
      <c r="X296" s="1632"/>
      <c r="Y296" s="1632"/>
      <c r="Z296" s="1632"/>
      <c r="AA296" s="1632"/>
      <c r="AB296" s="1632"/>
      <c r="AC296" s="1632"/>
      <c r="AD296" s="1632"/>
      <c r="AE296" s="1632"/>
      <c r="AF296" s="1632">
        <v>11</v>
      </c>
    </row>
    <row customHeight="1" ht="11.549999999999999">
      <c r="A297" s="991"/>
      <c r="B297" s="1632"/>
      <c r="D297" s="1632"/>
      <c r="K297" s="1632"/>
      <c r="N297" s="1632"/>
      <c r="O297" s="1632"/>
      <c r="P297" s="1632"/>
      <c r="Q297" s="1632"/>
      <c r="S297" s="1632"/>
      <c r="T297" s="1632"/>
      <c r="U297" s="1632"/>
      <c r="V297" s="1632"/>
      <c r="W297" s="1632"/>
      <c r="X297" s="1632"/>
      <c r="Y297" s="1632"/>
      <c r="Z297" s="1632"/>
      <c r="AA297" s="1632"/>
      <c r="AB297" s="1632"/>
      <c r="AC297" s="1632"/>
      <c r="AD297" s="1632"/>
      <c r="AE297" s="1632"/>
      <c r="AF297" s="1632">
        <v>11</v>
      </c>
    </row>
    <row customHeight="1" ht="11.549999999999999">
      <c r="A298" s="991"/>
      <c r="B298" s="1632"/>
      <c r="D298" s="1632"/>
      <c r="K298" s="1632"/>
      <c r="N298" s="1632"/>
      <c r="O298" s="1632"/>
      <c r="P298" s="1632"/>
      <c r="Q298" s="1632"/>
      <c r="S298" s="1632"/>
      <c r="T298" s="1632"/>
      <c r="U298" s="1632"/>
      <c r="V298" s="1632"/>
      <c r="W298" s="1632"/>
      <c r="X298" s="1632"/>
      <c r="Y298" s="1632"/>
      <c r="Z298" s="1632"/>
      <c r="AA298" s="1632"/>
      <c r="AB298" s="1632"/>
      <c r="AC298" s="1632"/>
      <c r="AD298" s="1632"/>
      <c r="AE298" s="1632"/>
      <c r="AF298" s="1632">
        <v>11</v>
      </c>
    </row>
    <row customHeight="1" ht="11.549999999999999">
      <c r="A299" s="991"/>
      <c r="B299" s="1632"/>
      <c r="D299" s="1632"/>
      <c r="K299" s="1632"/>
      <c r="N299" s="1632"/>
      <c r="O299" s="1632"/>
      <c r="P299" s="1632"/>
      <c r="Q299" s="1632"/>
      <c r="S299" s="1632"/>
      <c r="T299" s="1632"/>
      <c r="U299" s="1632"/>
      <c r="V299" s="1632"/>
      <c r="W299" s="1632"/>
      <c r="X299" s="1632"/>
      <c r="Y299" s="1632"/>
      <c r="Z299" s="1632"/>
      <c r="AA299" s="1632"/>
      <c r="AB299" s="1632"/>
      <c r="AC299" s="1632"/>
      <c r="AD299" s="1632"/>
      <c r="AE299" s="1632"/>
      <c r="AF299" s="1632">
        <v>11</v>
      </c>
    </row>
    <row customHeight="1" ht="11.549999999999999">
      <c r="A300" s="991"/>
      <c r="B300" s="1632"/>
      <c r="D300" s="1632"/>
      <c r="K300" s="1632"/>
      <c r="N300" s="1632"/>
      <c r="O300" s="1632"/>
      <c r="P300" s="1632"/>
      <c r="Q300" s="1632"/>
      <c r="S300" s="1632"/>
      <c r="T300" s="1632"/>
      <c r="U300" s="1632"/>
      <c r="V300" s="1632"/>
      <c r="W300" s="1632"/>
      <c r="X300" s="1632"/>
      <c r="Y300" s="1632"/>
      <c r="Z300" s="1632"/>
      <c r="AA300" s="1632"/>
      <c r="AB300" s="1632"/>
      <c r="AC300" s="1632"/>
      <c r="AD300" s="1632"/>
      <c r="AE300" s="1632"/>
      <c r="AF300" s="1632">
        <v>11</v>
      </c>
    </row>
    <row customHeight="1" ht="11.549999999999999">
      <c r="A301" s="991"/>
      <c r="B301" s="1632"/>
      <c r="D301" s="1632"/>
      <c r="K301" s="1632"/>
      <c r="N301" s="1632"/>
      <c r="O301" s="1632"/>
      <c r="P301" s="1632"/>
      <c r="Q301" s="1632"/>
      <c r="S301" s="1632"/>
      <c r="T301" s="1632"/>
      <c r="U301" s="1632"/>
      <c r="V301" s="1632"/>
      <c r="W301" s="1632"/>
      <c r="X301" s="1632"/>
      <c r="Y301" s="1632"/>
      <c r="Z301" s="1632"/>
      <c r="AA301" s="1632"/>
      <c r="AB301" s="1632"/>
      <c r="AC301" s="1632"/>
      <c r="AD301" s="1632"/>
      <c r="AE301" s="1632"/>
      <c r="AF301" s="1632">
        <v>11</v>
      </c>
    </row>
    <row customHeight="1" ht="11.549999999999999">
      <c r="A302" s="991"/>
      <c r="B302" s="1632"/>
      <c r="D302" s="1632"/>
      <c r="K302" s="1632"/>
      <c r="N302" s="1632"/>
      <c r="O302" s="1632"/>
      <c r="P302" s="1632"/>
      <c r="Q302" s="1632"/>
      <c r="S302" s="1632"/>
      <c r="T302" s="1632"/>
      <c r="U302" s="1632"/>
      <c r="V302" s="1632"/>
      <c r="W302" s="1632"/>
      <c r="X302" s="1632"/>
      <c r="Y302" s="1632"/>
      <c r="Z302" s="1632"/>
      <c r="AA302" s="1632"/>
      <c r="AB302" s="1632"/>
      <c r="AC302" s="1632"/>
      <c r="AD302" s="1632"/>
      <c r="AE302" s="1632"/>
      <c r="AF302" s="1632">
        <v>11</v>
      </c>
    </row>
    <row customHeight="1" ht="11.25" hidden="1">
      <c r="A303" s="988" t="s">
        <v>84</v>
      </c>
      <c r="B303" s="1161">
        <v>0</v>
      </c>
      <c r="C303" s="1637">
        <v>0</v>
      </c>
      <c r="D303" s="1636">
        <v>3</v>
      </c>
      <c r="E303" s="1632">
        <v>7</v>
      </c>
      <c r="F303" s="1632">
        <v>54</v>
      </c>
      <c r="G303" s="1632">
        <v>10</v>
      </c>
      <c r="H303" s="1632">
        <v>0</v>
      </c>
      <c r="I303" s="1632">
        <v>40</v>
      </c>
      <c r="J303" s="1632">
        <v>102</v>
      </c>
      <c r="K303" s="1161">
        <v>9</v>
      </c>
      <c r="L303" s="1637">
        <v>5</v>
      </c>
      <c r="M303" s="1637">
        <v>3</v>
      </c>
      <c r="N303" s="1161">
        <v>3</v>
      </c>
      <c r="O303" s="1161">
        <v>3</v>
      </c>
      <c r="P303" s="1161">
        <v>3</v>
      </c>
      <c r="Q303" s="1161">
        <v>3</v>
      </c>
      <c r="R303" s="1637">
        <v>10</v>
      </c>
      <c r="S303" s="1161">
        <v>34</v>
      </c>
      <c r="T303" s="1161">
        <v>9</v>
      </c>
      <c r="U303" s="545">
        <v>8</v>
      </c>
      <c r="V303" s="1161">
        <v>8</v>
      </c>
      <c r="W303" s="1161">
        <v>8</v>
      </c>
      <c r="X303" s="1161">
        <v>8</v>
      </c>
      <c r="Y303" s="1161">
        <v>8</v>
      </c>
      <c r="Z303" s="1161">
        <v>8</v>
      </c>
      <c r="AA303" s="1633">
        <v>8</v>
      </c>
      <c r="AB303" s="1633">
        <v>8</v>
      </c>
      <c r="AC303" s="1633">
        <v>8</v>
      </c>
      <c r="AD303" s="1633">
        <v>8</v>
      </c>
      <c r="AE303" s="1633">
        <v>8</v>
      </c>
      <c r="AF303" s="1632">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allowBlank="1" showInputMessage="1" showErrorMessage="1" prompt="Для выбора выполните двойной щелчок левой клавиши мыши по соответствующей ячейке." sqref="H68:I68 H66:I66"/>
    <dataValidation type="decimal" allowBlank="1" showErrorMessage="1" errorTitle="Ошибка" error="Введите значение от 0 до 100%" sqref="H90:I90 H95:I95">
      <formula1>0</formula1>
      <formula2>100</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6D35FCE-30BC-5355-A59B-0.350D7F74}" mc:Ignorable="x14ac xr xr2 xr3">
  <sheetPr>
    <tabColor theme="9" tint="-0.25"/>
  </sheetPr>
  <dimension ref="A1:CF29"/>
  <sheetViews>
    <sheetView topLeftCell="A1" showGridLines="0" zoomScale="90" workbookViewId="0">
      <selection activeCell="A1" sqref="A1"/>
    </sheetView>
  </sheetViews>
  <sheetFormatPr defaultColWidth="9.140625" customHeight="1" defaultRowHeight="11.25"/>
  <cols>
    <col min="1" max="1" style="944" width="14.7109375" hidden="1" customWidth="1"/>
    <col min="2" max="2" style="1633" width="17.00390625" hidden="1" customWidth="1"/>
    <col min="3" max="3" style="1636" width="3.00390625" customWidth="1"/>
    <col min="4" max="4" style="1636" width="1.8515625" hidden="1" customWidth="1"/>
    <col min="5" max="6" style="1636" width="7.00390625" customWidth="1"/>
    <col min="7" max="7" style="1636" width="29.00390625" customWidth="1"/>
    <col min="8" max="8" style="1636" width="3.7109375" customWidth="1"/>
    <col min="9" max="9" style="1636" width="5.00390625" customWidth="1"/>
    <col min="10" max="11" style="1636" width="24.00390625" customWidth="1"/>
    <col min="12" max="12" style="1636" width="3.00390625" customWidth="1"/>
    <col min="13" max="13" style="1636" width="6.00390625" customWidth="1"/>
    <col min="14" max="14" style="1636" width="25.00390625" customWidth="1"/>
    <col min="15" max="18" style="1636" width="18.00390625" customWidth="1"/>
    <col min="19" max="19" style="1636" width="93.00390625" customWidth="1"/>
    <col min="20" max="20" style="1636" width="10.00390625" customWidth="1"/>
    <col min="21" max="21" style="1643" width="10.00390625" customWidth="1"/>
    <col min="22" max="22" style="1643" width="11.00390625" customWidth="1"/>
    <col min="23" max="27" style="1633" width="10.00390625" customWidth="1"/>
    <col min="28" max="83" style="1636" width="8.00390625" customWidth="1"/>
    <col min="84" max="84" style="1636" width="9.140625" hidden="1"/>
  </cols>
  <sheetData>
    <row customHeight="1" ht="22.5" hidden="1">
      <c r="CF1" s="506" t="s">
        <v>14</v>
      </c>
    </row>
    <row customHeight="1" ht="11.25" hidden="1">
      <c r="CF2" s="506">
        <v>0</v>
      </c>
    </row>
    <row customHeight="1" ht="11.25" hidden="1">
      <c r="CF3" s="506">
        <v>0</v>
      </c>
    </row>
    <row customHeight="1" ht="3">
      <c r="C4" s="510"/>
      <c r="D4" s="510"/>
      <c r="E4" s="510"/>
      <c r="F4" s="510"/>
      <c r="G4" s="510"/>
      <c r="H4" s="510"/>
      <c r="I4" s="510"/>
      <c r="J4" s="510"/>
      <c r="K4" s="167"/>
      <c r="L4" s="167"/>
      <c r="M4" s="167"/>
      <c r="CF4" s="506">
        <v>3</v>
      </c>
    </row>
    <row customHeight="1" ht="29.25">
      <c r="C5" s="510"/>
      <c r="D5" s="1058"/>
      <c r="E5" s="2238"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238"/>
      <c r="G5" s="2238"/>
      <c r="H5" s="2238"/>
      <c r="I5" s="2238"/>
      <c r="J5" s="2238"/>
      <c r="K5" s="2238"/>
      <c r="L5" s="614"/>
      <c r="M5" s="614"/>
      <c r="CF5" s="506">
        <v>28</v>
      </c>
    </row>
    <row s="1636" customFormat="1" customHeight="1" ht="16.8">
      <c r="A6" s="611"/>
      <c r="B6" s="760"/>
      <c r="C6" s="510"/>
      <c r="D6" s="1059"/>
      <c r="E6" s="2177" t="str">
        <f>IF(org=0,"Не определено",org)</f>
        <v>ИМУП «ПОСЖИЛКОМСЕРВИС»</v>
      </c>
      <c r="F6" s="2177"/>
      <c r="G6" s="2177"/>
      <c r="H6" s="2177"/>
      <c r="I6" s="2177"/>
      <c r="J6" s="2177"/>
      <c r="K6" s="2177"/>
      <c r="L6" s="614"/>
      <c r="M6" s="614"/>
      <c r="U6" s="612"/>
      <c r="V6" s="612"/>
      <c r="W6" s="613"/>
      <c r="X6" s="760"/>
      <c r="Y6" s="760"/>
      <c r="Z6" s="760"/>
      <c r="AA6" s="760"/>
      <c r="CF6" s="759">
        <v>16</v>
      </c>
    </row>
    <row customHeight="1" ht="11.549999999999999">
      <c r="C7" s="510"/>
      <c r="D7" s="510"/>
      <c r="E7" s="510"/>
      <c r="F7" s="510"/>
      <c r="G7" s="523"/>
      <c r="H7" s="523"/>
      <c r="I7" s="523"/>
      <c r="J7" s="523"/>
      <c r="K7" s="615"/>
      <c r="L7" s="615"/>
      <c r="M7" s="615"/>
      <c r="R7" s="753"/>
      <c r="CF7" s="506">
        <v>11</v>
      </c>
    </row>
    <row s="1642" customFormat="1" customHeight="1" ht="4.2">
      <c r="A8" s="622"/>
      <c r="B8" s="567"/>
      <c r="C8" s="352"/>
      <c r="D8" s="352"/>
      <c r="E8" s="352"/>
      <c r="F8" s="352"/>
      <c r="G8" s="976"/>
      <c r="H8" s="976"/>
      <c r="I8" s="976"/>
      <c r="J8" s="976"/>
      <c r="K8" s="1019"/>
      <c r="L8" s="1019"/>
      <c r="M8" s="1019"/>
      <c r="R8" s="1020"/>
      <c r="U8" s="612"/>
      <c r="V8" s="612"/>
      <c r="W8" s="623"/>
      <c r="X8" s="567"/>
      <c r="Y8" s="567"/>
      <c r="Z8" s="567"/>
      <c r="AA8" s="567"/>
      <c r="CF8" s="497">
        <v>4</v>
      </c>
    </row>
    <row customHeight="1" ht="19.95">
      <c r="D9" s="290"/>
      <c r="E9" s="2102" t="s">
        <v>312</v>
      </c>
      <c r="F9" s="2103"/>
      <c r="G9" s="2103"/>
      <c r="H9" s="2103"/>
      <c r="I9" s="2103"/>
      <c r="J9" s="2103"/>
      <c r="K9" s="2103"/>
      <c r="L9" s="2103"/>
      <c r="M9" s="2103"/>
      <c r="N9" s="2103"/>
      <c r="O9" s="2103"/>
      <c r="P9" s="2103"/>
      <c r="Q9" s="2103"/>
      <c r="R9" s="2104"/>
      <c r="S9" s="2128" t="s">
        <v>313</v>
      </c>
      <c r="T9" s="335"/>
      <c r="CF9" s="506">
        <v>19</v>
      </c>
    </row>
    <row customHeight="1" ht="48.29999999999999">
      <c r="D10" s="552" t="s">
        <v>90</v>
      </c>
      <c r="E10" s="2128" t="s">
        <v>90</v>
      </c>
      <c r="F10" s="2128"/>
      <c r="G10" s="522" t="s">
        <v>314</v>
      </c>
      <c r="H10" s="2128" t="s">
        <v>90</v>
      </c>
      <c r="I10" s="2128"/>
      <c r="J10" s="522" t="s">
        <v>613</v>
      </c>
      <c r="K10" s="522" t="s">
        <v>614</v>
      </c>
      <c r="L10" s="2128" t="s">
        <v>90</v>
      </c>
      <c r="M10" s="2128"/>
      <c r="N10" s="522" t="s">
        <v>615</v>
      </c>
      <c r="O10" s="522" t="s">
        <v>616</v>
      </c>
      <c r="P10" s="522" t="s">
        <v>617</v>
      </c>
      <c r="Q10" s="522" t="s">
        <v>618</v>
      </c>
      <c r="R10" s="522" t="s">
        <v>619</v>
      </c>
      <c r="S10" s="2128"/>
      <c r="T10" s="335"/>
      <c r="CF10" s="506">
        <v>46</v>
      </c>
    </row>
    <row s="1643" customFormat="1" customHeight="1" ht="15" hidden="1">
      <c r="A11" s="1053"/>
      <c r="D11" s="1026" t="s">
        <v>112</v>
      </c>
      <c r="E11" s="1026"/>
      <c r="F11" s="1026" t="s">
        <v>113</v>
      </c>
      <c r="G11" s="1026" t="s">
        <v>92</v>
      </c>
      <c r="H11" s="1026"/>
      <c r="I11" s="1026" t="s">
        <v>93</v>
      </c>
      <c r="J11" s="1026" t="s">
        <v>114</v>
      </c>
      <c r="K11" s="1026" t="s">
        <v>94</v>
      </c>
      <c r="L11" s="1026"/>
      <c r="M11" s="1026" t="s">
        <v>95</v>
      </c>
      <c r="N11" s="1026" t="s">
        <v>115</v>
      </c>
      <c r="O11" s="1026" t="s">
        <v>151</v>
      </c>
      <c r="P11" s="1026" t="s">
        <v>152</v>
      </c>
      <c r="Q11" s="1026" t="s">
        <v>153</v>
      </c>
      <c r="R11" s="1026" t="s">
        <v>154</v>
      </c>
      <c r="S11" s="1026" t="s">
        <v>155</v>
      </c>
      <c r="U11" s="612"/>
      <c r="V11" s="612"/>
      <c r="W11" s="612"/>
      <c r="CF11" s="512">
        <v>0</v>
      </c>
    </row>
    <row s="1636" customFormat="1" customHeight="1" ht="1.05">
      <c r="A12" s="616"/>
      <c r="B12" s="363"/>
      <c r="D12" s="549"/>
      <c r="E12" s="347"/>
      <c r="F12" s="347"/>
      <c r="Q12" s="617"/>
      <c r="R12" s="618"/>
      <c r="T12" s="619"/>
      <c r="U12" s="620"/>
      <c r="V12" s="620"/>
      <c r="W12" s="621"/>
      <c r="X12" s="363"/>
      <c r="Y12" s="363"/>
      <c r="Z12" s="363"/>
      <c r="AA12" s="363"/>
      <c r="CF12" s="510">
        <v>1</v>
      </c>
    </row>
    <row s="1642" customFormat="1" customHeight="1" ht="1.05">
      <c r="A13" s="622"/>
      <c r="B13" s="567"/>
      <c r="D13" s="549" t="s">
        <v>388</v>
      </c>
      <c r="E13" s="561"/>
      <c r="F13" s="561"/>
      <c r="G13" s="561"/>
      <c r="H13" s="561"/>
      <c r="I13" s="561"/>
      <c r="J13" s="561"/>
      <c r="K13" s="561"/>
      <c r="L13" s="561"/>
      <c r="M13" s="561"/>
      <c r="N13" s="561"/>
      <c r="O13" s="561"/>
      <c r="P13" s="561"/>
      <c r="Q13" s="561"/>
      <c r="R13" s="561"/>
      <c r="T13" s="335"/>
      <c r="U13" s="612"/>
      <c r="V13" s="612"/>
      <c r="W13" s="623"/>
      <c r="X13" s="567"/>
      <c r="Y13" s="567"/>
      <c r="Z13" s="567"/>
      <c r="AA13" s="567"/>
      <c r="CF13" s="497">
        <v>1</v>
      </c>
    </row>
    <row s="1851" customFormat="1" customHeight="1" ht="15" hidden="1">
      <c r="A14" s="624" t="s">
        <v>120</v>
      </c>
      <c r="B14" s="625"/>
      <c r="C14" s="625"/>
      <c r="D14" s="2381" t="s">
        <v>112</v>
      </c>
      <c r="E14" s="2378" t="s">
        <v>108</v>
      </c>
      <c r="F14" s="2379"/>
      <c r="G14" s="2380"/>
      <c r="H14" s="2384">
        <f>IF(A14="","",INDEX(DIFFERENTIATION_UNMERGE_VD,MATCH(A14,DIFFERENTIATION_ID_DIFF,0)))</f>
        <v>0</v>
      </c>
      <c r="I14" s="2384"/>
      <c r="J14" s="2384"/>
      <c r="K14" s="2384"/>
      <c r="L14" s="2384"/>
      <c r="M14" s="2384"/>
      <c r="N14" s="2384"/>
      <c r="O14" s="2384"/>
      <c r="P14" s="2384"/>
      <c r="Q14" s="2384"/>
      <c r="R14" s="2384"/>
      <c r="S14" s="720"/>
      <c r="T14" s="717"/>
      <c r="U14" s="626"/>
      <c r="V14" s="626"/>
      <c r="W14" s="627"/>
      <c r="X14" s="627"/>
      <c r="Y14" s="627"/>
      <c r="Z14" s="627"/>
      <c r="AA14" s="628"/>
      <c r="AB14" s="629"/>
      <c r="AC14" s="2376"/>
      <c r="AD14" s="630"/>
      <c r="AE14" s="631" t="s">
        <v>28</v>
      </c>
      <c r="AF14" s="631"/>
      <c r="AG14" s="632" t="s">
        <v>620</v>
      </c>
      <c r="AH14" s="633">
        <v>3</v>
      </c>
      <c r="AI14" s="626"/>
      <c r="AJ14" s="626"/>
      <c r="AK14" s="626"/>
      <c r="AL14" s="626"/>
      <c r="AM14" s="626"/>
      <c r="AN14" s="626"/>
      <c r="AO14" s="626"/>
      <c r="AP14" s="626"/>
      <c r="AQ14" s="626"/>
      <c r="AR14" s="626"/>
      <c r="AS14" s="626"/>
      <c r="AT14" s="626"/>
      <c r="AU14" s="626"/>
      <c r="AV14" s="626"/>
      <c r="AW14" s="626"/>
      <c r="AX14" s="626"/>
      <c r="AY14" s="626"/>
      <c r="AZ14" s="626"/>
      <c r="BA14" s="626"/>
      <c r="BB14" s="626"/>
      <c r="BC14" s="626"/>
      <c r="BD14" s="626"/>
      <c r="BE14" s="626"/>
      <c r="BF14" s="626"/>
      <c r="BG14" s="626"/>
      <c r="BH14" s="626"/>
      <c r="BI14" s="626"/>
      <c r="BJ14" s="626"/>
      <c r="BK14" s="626"/>
      <c r="BL14" s="626"/>
      <c r="BM14" s="626"/>
      <c r="BN14" s="626"/>
      <c r="BO14" s="626"/>
      <c r="BP14" s="626"/>
      <c r="BQ14" s="626"/>
      <c r="BR14" s="626"/>
      <c r="BS14" s="626"/>
      <c r="BT14" s="626"/>
      <c r="BU14" s="626"/>
      <c r="BV14" s="627"/>
      <c r="BW14" s="627"/>
      <c r="BX14" s="627"/>
      <c r="BY14" s="627"/>
      <c r="BZ14" s="627"/>
      <c r="CA14" s="627"/>
      <c r="CB14" s="627"/>
      <c r="CC14" s="627"/>
      <c r="CD14" s="627"/>
      <c r="CE14" s="627"/>
      <c r="CF14" s="294">
        <v>0</v>
      </c>
    </row>
    <row s="1851" customFormat="1" customHeight="1" ht="15" hidden="1">
      <c r="A15" s="624"/>
      <c r="B15" s="625"/>
      <c r="C15" s="625"/>
      <c r="D15" s="2382"/>
      <c r="E15" s="2378" t="s">
        <v>575</v>
      </c>
      <c r="F15" s="2379"/>
      <c r="G15" s="2380"/>
      <c r="H15" s="2384" t="str">
        <f>IF(A14="","",INDEX(DIFFERENTIATION_UNMERGE_AREA,MATCH(A14,DIFFERENTIATION_ID_DIFF,0)))</f>
        <v/>
      </c>
      <c r="I15" s="2384"/>
      <c r="J15" s="2384"/>
      <c r="K15" s="2384"/>
      <c r="L15" s="2384"/>
      <c r="M15" s="2384"/>
      <c r="N15" s="2384"/>
      <c r="O15" s="2384"/>
      <c r="P15" s="2384"/>
      <c r="Q15" s="2384"/>
      <c r="R15" s="2384"/>
      <c r="S15" s="720"/>
      <c r="T15" s="717"/>
      <c r="U15" s="626"/>
      <c r="V15" s="626"/>
      <c r="W15" s="627"/>
      <c r="X15" s="627"/>
      <c r="Y15" s="627"/>
      <c r="Z15" s="627"/>
      <c r="AA15" s="628"/>
      <c r="AB15" s="629"/>
      <c r="AC15" s="2376"/>
      <c r="AD15" s="630"/>
      <c r="AE15" s="631"/>
      <c r="AF15" s="631"/>
      <c r="AG15" s="632"/>
      <c r="AH15" s="633"/>
      <c r="AI15" s="626"/>
      <c r="AJ15" s="626"/>
      <c r="AK15" s="626"/>
      <c r="AL15" s="626"/>
      <c r="AM15" s="626"/>
      <c r="AN15" s="626"/>
      <c r="AO15" s="626"/>
      <c r="AP15" s="626"/>
      <c r="AQ15" s="626"/>
      <c r="AR15" s="626"/>
      <c r="AS15" s="626"/>
      <c r="AT15" s="626"/>
      <c r="AU15" s="626"/>
      <c r="AV15" s="626"/>
      <c r="AW15" s="626"/>
      <c r="AX15" s="626"/>
      <c r="AY15" s="626"/>
      <c r="AZ15" s="626"/>
      <c r="BA15" s="626"/>
      <c r="BB15" s="626"/>
      <c r="BC15" s="626"/>
      <c r="BD15" s="626"/>
      <c r="BE15" s="626"/>
      <c r="BF15" s="626"/>
      <c r="BG15" s="626"/>
      <c r="BH15" s="626"/>
      <c r="BI15" s="626"/>
      <c r="BJ15" s="626"/>
      <c r="BK15" s="626"/>
      <c r="BL15" s="626"/>
      <c r="BM15" s="626"/>
      <c r="BN15" s="626"/>
      <c r="BO15" s="626"/>
      <c r="BP15" s="626"/>
      <c r="BQ15" s="626"/>
      <c r="BR15" s="626"/>
      <c r="BS15" s="626"/>
      <c r="BT15" s="626"/>
      <c r="BU15" s="626"/>
      <c r="BV15" s="627"/>
      <c r="BW15" s="627"/>
      <c r="BX15" s="627"/>
      <c r="BY15" s="627"/>
      <c r="BZ15" s="627"/>
      <c r="CA15" s="627"/>
      <c r="CB15" s="627"/>
      <c r="CC15" s="627"/>
      <c r="CD15" s="627"/>
      <c r="CE15" s="627"/>
      <c r="CF15" s="294">
        <v>0</v>
      </c>
    </row>
    <row s="1851" customFormat="1" customHeight="1" ht="15" hidden="1">
      <c r="A16" s="624"/>
      <c r="B16" s="625"/>
      <c r="C16" s="625"/>
      <c r="D16" s="2382"/>
      <c r="E16" s="2378" t="s">
        <v>576</v>
      </c>
      <c r="F16" s="2379"/>
      <c r="G16" s="2380"/>
      <c r="H16" s="2384" t="str">
        <f>IF(A14="","",INDEX(DIFFERENTIATION_UNMERGE_SYSTEM,MATCH(A14,DIFFERENTIATION_ID_DIFF,0)))</f>
        <v>без дифференциации</v>
      </c>
      <c r="I16" s="2384"/>
      <c r="J16" s="2384"/>
      <c r="K16" s="2384"/>
      <c r="L16" s="2384"/>
      <c r="M16" s="2384"/>
      <c r="N16" s="2384"/>
      <c r="O16" s="2384"/>
      <c r="P16" s="2384"/>
      <c r="Q16" s="2384"/>
      <c r="R16" s="2384"/>
      <c r="S16" s="720"/>
      <c r="T16" s="717"/>
      <c r="U16" s="626"/>
      <c r="V16" s="626"/>
      <c r="W16" s="627"/>
      <c r="X16" s="627"/>
      <c r="Y16" s="627"/>
      <c r="Z16" s="627"/>
      <c r="AA16" s="628"/>
      <c r="AB16" s="629"/>
      <c r="AC16" s="2376"/>
      <c r="AD16" s="630"/>
      <c r="AE16" s="631"/>
      <c r="AF16" s="631"/>
      <c r="AG16" s="632"/>
      <c r="AH16" s="633"/>
      <c r="AI16" s="626"/>
      <c r="AJ16" s="626"/>
      <c r="AK16" s="626"/>
      <c r="AL16" s="626"/>
      <c r="AM16" s="626"/>
      <c r="AN16" s="626"/>
      <c r="AO16" s="626"/>
      <c r="AP16" s="626"/>
      <c r="AQ16" s="626"/>
      <c r="AR16" s="626"/>
      <c r="AS16" s="626"/>
      <c r="AT16" s="626"/>
      <c r="AU16" s="626"/>
      <c r="AV16" s="626"/>
      <c r="AW16" s="626"/>
      <c r="AX16" s="626"/>
      <c r="AY16" s="626"/>
      <c r="AZ16" s="626"/>
      <c r="BA16" s="626"/>
      <c r="BB16" s="626"/>
      <c r="BC16" s="626"/>
      <c r="BD16" s="626"/>
      <c r="BE16" s="626"/>
      <c r="BF16" s="626"/>
      <c r="BG16" s="626"/>
      <c r="BH16" s="626"/>
      <c r="BI16" s="626"/>
      <c r="BJ16" s="626"/>
      <c r="BK16" s="626"/>
      <c r="BL16" s="626"/>
      <c r="BM16" s="626"/>
      <c r="BN16" s="626"/>
      <c r="BO16" s="626"/>
      <c r="BP16" s="626"/>
      <c r="BQ16" s="626"/>
      <c r="BR16" s="626"/>
      <c r="BS16" s="626"/>
      <c r="BT16" s="626"/>
      <c r="BU16" s="626"/>
      <c r="BV16" s="627"/>
      <c r="BW16" s="627"/>
      <c r="BX16" s="627"/>
      <c r="BY16" s="627"/>
      <c r="BZ16" s="627"/>
      <c r="CA16" s="627"/>
      <c r="CB16" s="627"/>
      <c r="CC16" s="627"/>
      <c r="CD16" s="627"/>
      <c r="CE16" s="627"/>
      <c r="CF16" s="294">
        <v>0</v>
      </c>
    </row>
    <row s="1851" customFormat="1" customHeight="1" ht="22.5" hidden="1">
      <c r="A17" s="634"/>
      <c r="B17" s="418"/>
      <c r="C17" s="413"/>
      <c r="D17" s="2382"/>
      <c r="E17" s="2377" t="s">
        <v>621</v>
      </c>
      <c r="F17" s="2377"/>
      <c r="G17" s="2377"/>
      <c r="H17" s="2377"/>
      <c r="I17" s="2377"/>
      <c r="J17" s="2377"/>
      <c r="K17" s="2377"/>
      <c r="L17" s="2377"/>
      <c r="M17" s="2377"/>
      <c r="N17" s="2377"/>
      <c r="O17" s="2377"/>
      <c r="P17" s="2377"/>
      <c r="Q17" s="559">
        <f>SUMIF(T18:T19,"i",Q18:Q19)</f>
        <v>0</v>
      </c>
      <c r="R17" s="1018"/>
      <c r="S17" s="898" t="s">
        <v>622</v>
      </c>
      <c r="T17" s="718" t="s">
        <v>623</v>
      </c>
      <c r="U17" s="2375">
        <v>1</v>
      </c>
      <c r="V17" s="2375" t="str">
        <f>INDEX(B_FHD_FLAG_INDEX_1,1,MATCH(A14,B_FHD_FLAG_DIFFERENTIATION,0))</f>
        <v>отсутствует</v>
      </c>
      <c r="W17" s="418"/>
      <c r="X17" s="418"/>
      <c r="Y17" s="418"/>
      <c r="Z17" s="418"/>
      <c r="AA17" s="512"/>
      <c r="AB17" s="418"/>
      <c r="AC17" s="2376"/>
      <c r="AD17" s="630"/>
      <c r="AE17" s="418"/>
      <c r="AF17" s="418"/>
      <c r="AG17" s="512"/>
      <c r="AH17" s="512"/>
      <c r="AI17" s="512"/>
      <c r="AJ17" s="512"/>
      <c r="AK17" s="512"/>
      <c r="AL17" s="512"/>
      <c r="AM17" s="512"/>
      <c r="AN17" s="512"/>
      <c r="AO17" s="512"/>
      <c r="AP17" s="512"/>
      <c r="AQ17" s="512"/>
      <c r="AR17" s="512"/>
      <c r="AS17" s="512"/>
      <c r="AT17" s="512"/>
      <c r="AU17" s="512"/>
      <c r="AV17" s="512"/>
      <c r="AW17" s="512"/>
      <c r="AX17" s="512"/>
      <c r="AY17" s="512"/>
      <c r="AZ17" s="512"/>
      <c r="BA17" s="512"/>
      <c r="BB17" s="512"/>
      <c r="BC17" s="512"/>
      <c r="BD17" s="512"/>
      <c r="BE17" s="512"/>
      <c r="BF17" s="512"/>
      <c r="BG17" s="512"/>
      <c r="BH17" s="512"/>
      <c r="BI17" s="512"/>
      <c r="BJ17" s="512"/>
      <c r="BK17" s="512"/>
      <c r="BL17" s="512"/>
      <c r="BM17" s="512"/>
      <c r="BN17" s="512"/>
      <c r="BO17" s="512"/>
      <c r="BP17" s="512"/>
      <c r="BQ17" s="512"/>
      <c r="BR17" s="512"/>
      <c r="BS17" s="512"/>
      <c r="BT17" s="512"/>
      <c r="BU17" s="512"/>
      <c r="BV17" s="418"/>
      <c r="BW17" s="418"/>
      <c r="BX17" s="418"/>
      <c r="BY17" s="418"/>
      <c r="BZ17" s="418"/>
      <c r="CA17" s="418"/>
      <c r="CB17" s="418"/>
      <c r="CC17" s="418"/>
      <c r="CD17" s="418"/>
      <c r="CE17" s="418"/>
      <c r="CF17" s="294">
        <v>0</v>
      </c>
    </row>
    <row s="1851" customFormat="1" customHeight="1" ht="11.25" hidden="1">
      <c r="A18" s="635"/>
      <c r="B18" s="512"/>
      <c r="C18" s="512"/>
      <c r="D18" s="2382"/>
      <c r="E18" s="636"/>
      <c r="F18" s="636">
        <v>0</v>
      </c>
      <c r="G18" s="636"/>
      <c r="H18" s="636"/>
      <c r="I18" s="636"/>
      <c r="J18" s="636"/>
      <c r="K18" s="636"/>
      <c r="L18" s="636"/>
      <c r="M18" s="636"/>
      <c r="N18" s="636"/>
      <c r="O18" s="636"/>
      <c r="P18" s="636"/>
      <c r="Q18" s="636"/>
      <c r="R18" s="636"/>
      <c r="S18" s="637"/>
      <c r="T18" s="719"/>
      <c r="U18" s="2375"/>
      <c r="V18" s="2375"/>
      <c r="W18" s="512"/>
      <c r="X18" s="512"/>
      <c r="Y18" s="512"/>
      <c r="Z18" s="512"/>
      <c r="AA18" s="512"/>
      <c r="AB18" s="418"/>
      <c r="AC18" s="2376"/>
      <c r="AD18" s="630"/>
      <c r="AE18" s="418"/>
      <c r="AF18" s="418"/>
      <c r="AG18" s="512"/>
      <c r="AH18" s="512"/>
      <c r="AI18" s="512"/>
      <c r="AJ18" s="512"/>
      <c r="AK18" s="512"/>
      <c r="AL18" s="512"/>
      <c r="AM18" s="512"/>
      <c r="AN18" s="512"/>
      <c r="AO18" s="512"/>
      <c r="AP18" s="512"/>
      <c r="AQ18" s="512"/>
      <c r="AR18" s="512"/>
      <c r="AS18" s="512"/>
      <c r="AT18" s="512"/>
      <c r="AU18" s="512"/>
      <c r="AV18" s="512"/>
      <c r="AW18" s="512"/>
      <c r="AX18" s="512"/>
      <c r="AY18" s="512"/>
      <c r="AZ18" s="512"/>
      <c r="BA18" s="512"/>
      <c r="BB18" s="512"/>
      <c r="BC18" s="512"/>
      <c r="BD18" s="512"/>
      <c r="BE18" s="512"/>
      <c r="BF18" s="512"/>
      <c r="BG18" s="512"/>
      <c r="BH18" s="512"/>
      <c r="BI18" s="512"/>
      <c r="BJ18" s="512"/>
      <c r="BK18" s="512"/>
      <c r="BL18" s="512"/>
      <c r="BM18" s="512"/>
      <c r="BN18" s="512"/>
      <c r="BO18" s="512"/>
      <c r="BP18" s="512"/>
      <c r="BQ18" s="512"/>
      <c r="BR18" s="512"/>
      <c r="BS18" s="512"/>
      <c r="BT18" s="512"/>
      <c r="BU18" s="512"/>
      <c r="BV18" s="512"/>
      <c r="BW18" s="512"/>
      <c r="BX18" s="512"/>
      <c r="BY18" s="512"/>
      <c r="BZ18" s="512"/>
      <c r="CA18" s="512"/>
      <c r="CB18" s="512"/>
      <c r="CC18" s="512"/>
      <c r="CD18" s="512"/>
      <c r="CE18" s="512"/>
      <c r="CF18" s="294">
        <v>0</v>
      </c>
    </row>
    <row s="1851" customFormat="1" customHeight="1" ht="11.25" hidden="1">
      <c r="A19" s="634"/>
      <c r="B19" s="418"/>
      <c r="C19" s="413"/>
      <c r="D19" s="2382"/>
      <c r="E19" s="650" t="s">
        <v>28</v>
      </c>
      <c r="F19" s="651" t="s">
        <v>28</v>
      </c>
      <c r="G19" s="651" t="s">
        <v>28</v>
      </c>
      <c r="H19" s="652" t="s">
        <v>28</v>
      </c>
      <c r="I19" s="652"/>
      <c r="J19" s="652"/>
      <c r="K19" s="652"/>
      <c r="L19" s="652"/>
      <c r="M19" s="652"/>
      <c r="N19" s="652"/>
      <c r="O19" s="652"/>
      <c r="P19" s="652"/>
      <c r="Q19" s="652"/>
      <c r="R19" s="653"/>
      <c r="S19" s="1021"/>
      <c r="T19" s="719"/>
      <c r="U19" s="2375"/>
      <c r="V19" s="2375"/>
      <c r="W19" s="418"/>
      <c r="X19" s="418"/>
      <c r="Y19" s="418"/>
      <c r="Z19" s="418"/>
      <c r="AA19" s="512"/>
      <c r="AB19" s="418"/>
      <c r="AC19" s="2376"/>
      <c r="AD19" s="630"/>
      <c r="AE19" s="418"/>
      <c r="AF19" s="418"/>
      <c r="AG19" s="512"/>
      <c r="AH19" s="512"/>
      <c r="AI19" s="512"/>
      <c r="AJ19" s="512"/>
      <c r="AK19" s="512"/>
      <c r="AL19" s="512"/>
      <c r="AM19" s="512"/>
      <c r="AN19" s="512"/>
      <c r="AO19" s="512"/>
      <c r="AP19" s="512"/>
      <c r="AQ19" s="512"/>
      <c r="AR19" s="512"/>
      <c r="AS19" s="512"/>
      <c r="AT19" s="512"/>
      <c r="AU19" s="512"/>
      <c r="AV19" s="512"/>
      <c r="AW19" s="512"/>
      <c r="AX19" s="512"/>
      <c r="AY19" s="512"/>
      <c r="AZ19" s="512"/>
      <c r="BA19" s="512"/>
      <c r="BB19" s="512"/>
      <c r="BC19" s="512"/>
      <c r="BD19" s="512"/>
      <c r="BE19" s="512"/>
      <c r="BF19" s="512"/>
      <c r="BG19" s="512"/>
      <c r="BH19" s="512"/>
      <c r="BI19" s="512"/>
      <c r="BJ19" s="512"/>
      <c r="BK19" s="512"/>
      <c r="BL19" s="512"/>
      <c r="BM19" s="512"/>
      <c r="BN19" s="512"/>
      <c r="BO19" s="512"/>
      <c r="BP19" s="512"/>
      <c r="BQ19" s="512"/>
      <c r="BR19" s="512"/>
      <c r="BS19" s="512"/>
      <c r="BT19" s="512"/>
      <c r="BU19" s="512"/>
      <c r="BV19" s="418"/>
      <c r="BW19" s="418"/>
      <c r="BX19" s="418"/>
      <c r="BY19" s="418"/>
      <c r="BZ19" s="418"/>
      <c r="CA19" s="418"/>
      <c r="CB19" s="418"/>
      <c r="CC19" s="418"/>
      <c r="CD19" s="418"/>
      <c r="CE19" s="418"/>
      <c r="CF19" s="294">
        <v>0</v>
      </c>
    </row>
    <row s="1851" customFormat="1" customHeight="1" ht="22.5" hidden="1">
      <c r="A20" s="634"/>
      <c r="B20" s="418"/>
      <c r="C20" s="413"/>
      <c r="D20" s="2382"/>
      <c r="E20" s="2377" t="s">
        <v>624</v>
      </c>
      <c r="F20" s="2377"/>
      <c r="G20" s="2377"/>
      <c r="H20" s="2377"/>
      <c r="I20" s="2377"/>
      <c r="J20" s="2377"/>
      <c r="K20" s="2377"/>
      <c r="L20" s="2377"/>
      <c r="M20" s="2377"/>
      <c r="N20" s="2377"/>
      <c r="O20" s="2377"/>
      <c r="P20" s="2377"/>
      <c r="Q20" s="559">
        <f>SUMIF(T21:T22,"i",Q21:Q22)</f>
        <v>0</v>
      </c>
      <c r="R20" s="1018"/>
      <c r="S20" s="710" t="s">
        <v>625</v>
      </c>
      <c r="T20" s="718" t="s">
        <v>623</v>
      </c>
      <c r="U20" s="2375">
        <v>2</v>
      </c>
      <c r="V20" s="2375" t="str">
        <f>INDEX(B_FHD_FLAG_INDEX_2,1,MATCH(A14,B_FHD_FLAG_DIFFERENTIATION,0))</f>
        <v>отсутствует</v>
      </c>
      <c r="W20" s="418"/>
      <c r="X20" s="418"/>
      <c r="Y20" s="418"/>
      <c r="Z20" s="418"/>
      <c r="AA20" s="512"/>
      <c r="AB20" s="418"/>
      <c r="AC20" s="707"/>
      <c r="AD20" s="630"/>
      <c r="AE20" s="418"/>
      <c r="AF20" s="418"/>
      <c r="AG20" s="512"/>
      <c r="AH20" s="512"/>
      <c r="AI20" s="512"/>
      <c r="AJ20" s="512"/>
      <c r="AK20" s="512"/>
      <c r="AL20" s="512"/>
      <c r="AM20" s="512"/>
      <c r="AN20" s="512"/>
      <c r="AO20" s="512"/>
      <c r="AP20" s="512"/>
      <c r="AQ20" s="512"/>
      <c r="AR20" s="512"/>
      <c r="AS20" s="512"/>
      <c r="AT20" s="512"/>
      <c r="AU20" s="512"/>
      <c r="AV20" s="512"/>
      <c r="AW20" s="512"/>
      <c r="AX20" s="512"/>
      <c r="AY20" s="512"/>
      <c r="AZ20" s="512"/>
      <c r="BA20" s="512"/>
      <c r="BB20" s="512"/>
      <c r="BC20" s="512"/>
      <c r="BD20" s="512"/>
      <c r="BE20" s="512"/>
      <c r="BF20" s="512"/>
      <c r="BG20" s="512"/>
      <c r="BH20" s="512"/>
      <c r="BI20" s="512"/>
      <c r="BJ20" s="512"/>
      <c r="BK20" s="512"/>
      <c r="BL20" s="512"/>
      <c r="BM20" s="512"/>
      <c r="BN20" s="512"/>
      <c r="BO20" s="512"/>
      <c r="BP20" s="512"/>
      <c r="BQ20" s="512"/>
      <c r="BR20" s="512"/>
      <c r="BS20" s="512"/>
      <c r="BT20" s="512"/>
      <c r="BU20" s="512"/>
      <c r="BV20" s="418"/>
      <c r="BW20" s="418"/>
      <c r="BX20" s="418"/>
      <c r="BY20" s="418"/>
      <c r="BZ20" s="418"/>
      <c r="CA20" s="418"/>
      <c r="CB20" s="418"/>
      <c r="CC20" s="418"/>
      <c r="CD20" s="418"/>
      <c r="CE20" s="418"/>
      <c r="CF20" s="294">
        <v>0</v>
      </c>
    </row>
    <row s="1851" customFormat="1" customHeight="1" ht="11.25" hidden="1">
      <c r="A21" s="709"/>
      <c r="B21" s="512"/>
      <c r="C21" s="512"/>
      <c r="D21" s="2382"/>
      <c r="E21" s="636"/>
      <c r="F21" s="636">
        <v>0</v>
      </c>
      <c r="G21" s="636"/>
      <c r="H21" s="636"/>
      <c r="I21" s="636"/>
      <c r="J21" s="636"/>
      <c r="K21" s="636"/>
      <c r="L21" s="636"/>
      <c r="M21" s="636"/>
      <c r="N21" s="636"/>
      <c r="O21" s="636"/>
      <c r="P21" s="636"/>
      <c r="Q21" s="636"/>
      <c r="R21" s="636"/>
      <c r="S21" s="637"/>
      <c r="T21" s="719"/>
      <c r="U21" s="2375"/>
      <c r="V21" s="2375"/>
      <c r="W21" s="512"/>
      <c r="X21" s="512"/>
      <c r="Y21" s="512"/>
      <c r="Z21" s="512"/>
      <c r="AA21" s="512"/>
      <c r="AB21" s="418"/>
      <c r="AC21" s="707"/>
      <c r="AD21" s="630"/>
      <c r="AE21" s="418"/>
      <c r="AF21" s="418"/>
      <c r="AG21" s="512"/>
      <c r="AH21" s="512"/>
      <c r="AI21" s="512"/>
      <c r="AJ21" s="512"/>
      <c r="AK21" s="512"/>
      <c r="AL21" s="512"/>
      <c r="AM21" s="512"/>
      <c r="AN21" s="512"/>
      <c r="AO21" s="512"/>
      <c r="AP21" s="512"/>
      <c r="AQ21" s="512"/>
      <c r="AR21" s="512"/>
      <c r="AS21" s="512"/>
      <c r="AT21" s="512"/>
      <c r="AU21" s="512"/>
      <c r="AV21" s="512"/>
      <c r="AW21" s="512"/>
      <c r="AX21" s="512"/>
      <c r="AY21" s="512"/>
      <c r="AZ21" s="512"/>
      <c r="BA21" s="512"/>
      <c r="BB21" s="512"/>
      <c r="BC21" s="512"/>
      <c r="BD21" s="512"/>
      <c r="BE21" s="512"/>
      <c r="BF21" s="512"/>
      <c r="BG21" s="512"/>
      <c r="BH21" s="512"/>
      <c r="BI21" s="512"/>
      <c r="BJ21" s="512"/>
      <c r="BK21" s="512"/>
      <c r="BL21" s="512"/>
      <c r="BM21" s="512"/>
      <c r="BN21" s="512"/>
      <c r="BO21" s="512"/>
      <c r="BP21" s="512"/>
      <c r="BQ21" s="512"/>
      <c r="BR21" s="512"/>
      <c r="BS21" s="512"/>
      <c r="BT21" s="512"/>
      <c r="BU21" s="512"/>
      <c r="BV21" s="512"/>
      <c r="BW21" s="512"/>
      <c r="BX21" s="512"/>
      <c r="BY21" s="512"/>
      <c r="BZ21" s="512"/>
      <c r="CA21" s="512"/>
      <c r="CB21" s="512"/>
      <c r="CC21" s="512"/>
      <c r="CD21" s="512"/>
      <c r="CE21" s="512"/>
      <c r="CF21" s="294">
        <v>0</v>
      </c>
    </row>
    <row s="1851" customFormat="1" customHeight="1" ht="11.25" hidden="1">
      <c r="A22" s="634"/>
      <c r="B22" s="418"/>
      <c r="C22" s="413"/>
      <c r="D22" s="2383"/>
      <c r="E22" s="650" t="s">
        <v>28</v>
      </c>
      <c r="F22" s="651" t="s">
        <v>28</v>
      </c>
      <c r="G22" s="651" t="s">
        <v>28</v>
      </c>
      <c r="H22" s="652" t="s">
        <v>28</v>
      </c>
      <c r="I22" s="652"/>
      <c r="J22" s="652"/>
      <c r="K22" s="652"/>
      <c r="L22" s="652"/>
      <c r="M22" s="652"/>
      <c r="N22" s="652"/>
      <c r="O22" s="652"/>
      <c r="P22" s="652"/>
      <c r="Q22" s="652"/>
      <c r="R22" s="653"/>
      <c r="S22" s="1021"/>
      <c r="T22" s="719"/>
      <c r="U22" s="2375"/>
      <c r="V22" s="2375"/>
      <c r="W22" s="418"/>
      <c r="X22" s="418"/>
      <c r="Y22" s="418"/>
      <c r="Z22" s="418"/>
      <c r="AA22" s="512"/>
      <c r="AB22" s="418"/>
      <c r="AC22" s="707"/>
      <c r="AD22" s="630"/>
      <c r="AE22" s="418"/>
      <c r="AF22" s="418"/>
      <c r="AG22" s="512"/>
      <c r="AH22" s="512"/>
      <c r="AI22" s="512"/>
      <c r="AJ22" s="512"/>
      <c r="AK22" s="512"/>
      <c r="AL22" s="512"/>
      <c r="AM22" s="512"/>
      <c r="AN22" s="512"/>
      <c r="AO22" s="512"/>
      <c r="AP22" s="512"/>
      <c r="AQ22" s="512"/>
      <c r="AR22" s="512"/>
      <c r="AS22" s="512"/>
      <c r="AT22" s="512"/>
      <c r="AU22" s="512"/>
      <c r="AV22" s="512"/>
      <c r="AW22" s="512"/>
      <c r="AX22" s="512"/>
      <c r="AY22" s="512"/>
      <c r="AZ22" s="512"/>
      <c r="BA22" s="512"/>
      <c r="BB22" s="512"/>
      <c r="BC22" s="512"/>
      <c r="BD22" s="512"/>
      <c r="BE22" s="512"/>
      <c r="BF22" s="512"/>
      <c r="BG22" s="512"/>
      <c r="BH22" s="512"/>
      <c r="BI22" s="512"/>
      <c r="BJ22" s="512"/>
      <c r="BK22" s="512"/>
      <c r="BL22" s="512"/>
      <c r="BM22" s="512"/>
      <c r="BN22" s="512"/>
      <c r="BO22" s="512"/>
      <c r="BP22" s="512"/>
      <c r="BQ22" s="512"/>
      <c r="BR22" s="512"/>
      <c r="BS22" s="512"/>
      <c r="BT22" s="512"/>
      <c r="BU22" s="512"/>
      <c r="BV22" s="418"/>
      <c r="BW22" s="418"/>
      <c r="BX22" s="418"/>
      <c r="BY22" s="418"/>
      <c r="BZ22" s="418"/>
      <c r="CA22" s="418"/>
      <c r="CB22" s="418"/>
      <c r="CC22" s="418"/>
      <c r="CD22" s="418"/>
      <c r="CE22" s="418"/>
      <c r="CF22" s="294">
        <v>0</v>
      </c>
    </row>
    <row customHeight="1" ht="19.95">
      <c r="D23" s="1048"/>
      <c r="E23" s="1048"/>
      <c r="F23" s="1048"/>
      <c r="G23" s="1048"/>
      <c r="H23" s="1048"/>
      <c r="I23" s="1048"/>
      <c r="J23" s="1048"/>
      <c r="K23" s="1048"/>
      <c r="L23" s="1048"/>
      <c r="M23" s="1048"/>
      <c r="N23" s="1048"/>
      <c r="O23" s="1048"/>
      <c r="P23" s="1048"/>
      <c r="Q23" s="1048"/>
      <c r="R23" s="1048"/>
      <c r="S23" s="1048"/>
      <c r="T23" s="335"/>
      <c r="CF23" s="506">
        <v>19</v>
      </c>
    </row>
    <row customHeight="1" ht="11.549999999999999">
      <c r="D24" s="510"/>
      <c r="CF24" s="506">
        <v>11</v>
      </c>
    </row>
    <row customHeight="1" ht="11.549999999999999">
      <c r="D25" s="655"/>
      <c r="E25" s="655"/>
      <c r="F25" s="655"/>
      <c r="G25" s="656"/>
      <c r="CF25" s="506">
        <v>11</v>
      </c>
    </row>
    <row customHeight="1" ht="11.549999999999999">
      <c r="CF26" s="506">
        <v>11</v>
      </c>
    </row>
    <row customHeight="1" ht="11.549999999999999">
      <c r="D27" s="657"/>
      <c r="E27" s="2385"/>
      <c r="F27" s="2385"/>
      <c r="G27" s="2385"/>
      <c r="H27" s="2385"/>
      <c r="I27" s="2385"/>
      <c r="J27" s="2385"/>
      <c r="K27" s="2385"/>
      <c r="L27" s="2385"/>
      <c r="M27" s="2385"/>
      <c r="N27" s="2385"/>
      <c r="O27" s="2385"/>
      <c r="P27" s="2385"/>
      <c r="Q27" s="2385"/>
      <c r="R27" s="2385"/>
      <c r="CF27" s="506">
        <v>11</v>
      </c>
    </row>
    <row customHeight="1" ht="11.549999999999999">
      <c r="F28" s="759"/>
      <c r="G28" s="759"/>
      <c r="CF28" s="506">
        <v>11</v>
      </c>
    </row>
    <row customHeight="1" ht="11.25" hidden="1">
      <c r="A29" s="611" t="s">
        <v>84</v>
      </c>
      <c r="B29" s="450">
        <v>0</v>
      </c>
      <c r="C29" s="506">
        <v>3</v>
      </c>
      <c r="D29" s="506">
        <v>0</v>
      </c>
      <c r="E29" s="506">
        <v>7</v>
      </c>
      <c r="F29" s="506">
        <v>7</v>
      </c>
      <c r="G29" s="506">
        <v>29</v>
      </c>
      <c r="H29" s="506">
        <v>3</v>
      </c>
      <c r="I29" s="506">
        <v>5</v>
      </c>
      <c r="J29" s="506">
        <v>24</v>
      </c>
      <c r="K29" s="506">
        <v>24</v>
      </c>
      <c r="L29" s="506">
        <v>3</v>
      </c>
      <c r="M29" s="506">
        <v>6</v>
      </c>
      <c r="N29" s="506">
        <v>25</v>
      </c>
      <c r="O29" s="506">
        <v>18</v>
      </c>
      <c r="P29" s="506">
        <v>18</v>
      </c>
      <c r="Q29" s="506">
        <v>18</v>
      </c>
      <c r="R29" s="506">
        <v>18</v>
      </c>
      <c r="S29" s="506">
        <v>93</v>
      </c>
      <c r="T29" s="506">
        <v>10</v>
      </c>
      <c r="U29" s="612">
        <v>10</v>
      </c>
      <c r="V29" s="612">
        <v>11</v>
      </c>
      <c r="W29" s="613">
        <v>10</v>
      </c>
      <c r="X29" s="450">
        <v>10</v>
      </c>
      <c r="Y29" s="450">
        <v>10</v>
      </c>
      <c r="Z29" s="450">
        <v>10</v>
      </c>
      <c r="AA29" s="450">
        <v>10</v>
      </c>
      <c r="AB29" s="506">
        <v>8</v>
      </c>
      <c r="AC29" s="506">
        <v>8</v>
      </c>
      <c r="AD29" s="506">
        <v>8</v>
      </c>
      <c r="AE29" s="506">
        <v>8</v>
      </c>
      <c r="AF29" s="506">
        <v>8</v>
      </c>
      <c r="AG29" s="506">
        <v>8</v>
      </c>
      <c r="AH29" s="506">
        <v>8</v>
      </c>
      <c r="AI29" s="506">
        <v>8</v>
      </c>
      <c r="AJ29" s="506">
        <v>8</v>
      </c>
      <c r="AK29" s="506">
        <v>8</v>
      </c>
      <c r="AL29" s="506">
        <v>8</v>
      </c>
      <c r="AM29" s="506">
        <v>8</v>
      </c>
      <c r="AN29" s="506">
        <v>8</v>
      </c>
      <c r="AO29" s="506">
        <v>8</v>
      </c>
      <c r="AP29" s="506">
        <v>8</v>
      </c>
      <c r="AQ29" s="506">
        <v>8</v>
      </c>
      <c r="AR29" s="506">
        <v>8</v>
      </c>
      <c r="AS29" s="506">
        <v>8</v>
      </c>
      <c r="AT29" s="506">
        <v>8</v>
      </c>
      <c r="AU29" s="506">
        <v>8</v>
      </c>
      <c r="AV29" s="506">
        <v>8</v>
      </c>
      <c r="AW29" s="506">
        <v>8</v>
      </c>
      <c r="AX29" s="506">
        <v>8</v>
      </c>
      <c r="AY29" s="506">
        <v>8</v>
      </c>
      <c r="AZ29" s="506">
        <v>8</v>
      </c>
      <c r="BA29" s="506">
        <v>8</v>
      </c>
      <c r="BB29" s="506">
        <v>8</v>
      </c>
      <c r="BC29" s="506">
        <v>8</v>
      </c>
      <c r="BD29" s="506">
        <v>8</v>
      </c>
      <c r="BE29" s="506">
        <v>8</v>
      </c>
      <c r="BF29" s="506">
        <v>8</v>
      </c>
      <c r="BG29" s="506">
        <v>8</v>
      </c>
      <c r="BH29" s="506">
        <v>8</v>
      </c>
      <c r="BI29" s="506">
        <v>8</v>
      </c>
      <c r="BJ29" s="506">
        <v>8</v>
      </c>
      <c r="BK29" s="506">
        <v>8</v>
      </c>
      <c r="BL29" s="506">
        <v>8</v>
      </c>
      <c r="BM29" s="506">
        <v>8</v>
      </c>
      <c r="BN29" s="506">
        <v>8</v>
      </c>
      <c r="BO29" s="506">
        <v>8</v>
      </c>
      <c r="BP29" s="506">
        <v>8</v>
      </c>
      <c r="BQ29" s="506">
        <v>8</v>
      </c>
      <c r="BR29" s="506">
        <v>8</v>
      </c>
      <c r="BS29" s="506">
        <v>8</v>
      </c>
      <c r="BT29" s="506">
        <v>8</v>
      </c>
      <c r="BU29" s="506">
        <v>8</v>
      </c>
      <c r="BV29" s="506">
        <v>8</v>
      </c>
      <c r="BW29" s="506">
        <v>8</v>
      </c>
      <c r="BX29" s="506">
        <v>8</v>
      </c>
      <c r="BY29" s="506">
        <v>8</v>
      </c>
      <c r="BZ29" s="506">
        <v>8</v>
      </c>
      <c r="CA29" s="506">
        <v>8</v>
      </c>
      <c r="CB29" s="506">
        <v>8</v>
      </c>
      <c r="CC29" s="506">
        <v>8</v>
      </c>
      <c r="CD29" s="506">
        <v>8</v>
      </c>
      <c r="CE29" s="506">
        <v>8</v>
      </c>
      <c r="CF29" s="506">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CF8F504-4C66-AB2D-A1B3-0.FF402C3D}" mc:Ignorable="x14ac xr xr2 xr3">
  <sheetPr>
    <tabColor theme="9" tint="-0.25"/>
  </sheetPr>
  <dimension ref="A1:AK204"/>
  <sheetViews>
    <sheetView topLeftCell="A1" showGridLines="0" zoomScale="90" workbookViewId="0">
      <selection activeCell="A1" sqref="A1"/>
    </sheetView>
  </sheetViews>
  <sheetFormatPr defaultColWidth="9.140625" customHeight="1" defaultRowHeight="11.25"/>
  <cols>
    <col min="1" max="5" style="988" width="10.7109375" hidden="1" customWidth="1"/>
    <col min="6" max="6" style="1367" width="16.8515625" hidden="1" customWidth="1"/>
    <col min="7" max="7" style="1643" width="5.57421875" hidden="1" customWidth="1"/>
    <col min="8" max="8" style="1636" width="3.00390625" customWidth="1"/>
    <col min="9" max="9" style="1636" width="7.00390625" customWidth="1"/>
    <col min="10" max="10" style="1636" width="56.00390625" customWidth="1"/>
    <col min="11" max="11" style="1636" width="10.00390625" customWidth="1"/>
    <col min="12" max="12" style="1636" width="40.57421875" hidden="1" customWidth="1"/>
    <col min="13" max="13" style="1636" width="40.7109375" customWidth="1"/>
    <col min="14" max="14" style="1367" width="9.7109375" hidden="1" customWidth="1"/>
    <col min="15" max="15" style="1636" width="102.00390625" customWidth="1"/>
    <col min="16" max="16" style="1367" width="9.00390625" customWidth="1"/>
    <col min="17" max="17" style="1643" width="5.00390625" customWidth="1"/>
    <col min="18" max="18" style="1643" width="3.00390625" customWidth="1"/>
    <col min="19" max="22" style="1367" width="3.00390625" customWidth="1"/>
    <col min="23" max="23" style="1643" width="10.00390625" customWidth="1"/>
    <col min="24" max="24" style="1367" width="34.00390625" customWidth="1"/>
    <col min="25" max="25" style="1367" width="9.00390625" customWidth="1"/>
    <col min="26" max="26" style="737" width="8.00390625" customWidth="1"/>
    <col min="27" max="31" style="1367" width="8.00390625" customWidth="1"/>
    <col min="32" max="36" style="1633" width="8.00390625" customWidth="1"/>
    <col min="37" max="37" style="1636" width="5.421875" hidden="1" customWidth="1"/>
  </cols>
  <sheetData>
    <row s="1367" customFormat="1" customHeight="1" ht="33.75" hidden="1">
      <c r="A1" s="988"/>
      <c r="B1" s="988"/>
      <c r="C1" s="988"/>
      <c r="D1" s="988"/>
      <c r="E1" s="988"/>
      <c r="G1" s="1637"/>
      <c r="H1" s="879"/>
      <c r="L1" s="1367">
        <v>4</v>
      </c>
      <c r="M1" s="1367">
        <v>4</v>
      </c>
      <c r="Q1" s="1637"/>
      <c r="R1" s="1637"/>
      <c r="W1" s="1637"/>
      <c r="AK1" s="1367" t="s">
        <v>14</v>
      </c>
    </row>
    <row s="1367" customFormat="1" customHeight="1" ht="78.75" hidden="1">
      <c r="A2" s="988"/>
      <c r="B2" s="2054" t="s">
        <v>626</v>
      </c>
      <c r="C2" s="2054" t="s">
        <v>627</v>
      </c>
      <c r="D2" s="2053" t="s">
        <v>628</v>
      </c>
      <c r="E2" s="2057">
        <f>RIGHT(I2,LEN(I2)-SEARCH("#",SUBSTITUTE(I2,".","#",LEN(I2)-LEN(SUBSTITUTE(I2,".","")))))</f>
      </c>
      <c r="F2" s="2059">
        <f>J2</f>
        <v>0</v>
      </c>
      <c r="G2" s="1637"/>
      <c r="H2" s="2060"/>
      <c r="I2" s="2050"/>
      <c r="J2" s="541"/>
      <c r="K2" s="2020" t="s">
        <v>567</v>
      </c>
      <c r="L2" s="752"/>
      <c r="M2" s="752"/>
      <c r="N2" s="544"/>
      <c r="O2" s="1526" t="s">
        <v>568</v>
      </c>
      <c r="P2" s="544"/>
      <c r="Q2" s="1637"/>
      <c r="R2" s="1637"/>
      <c r="W2" s="1637"/>
      <c r="Z2" s="545"/>
      <c r="AF2" s="1633"/>
      <c r="AG2" s="1633"/>
      <c r="AH2" s="1633"/>
      <c r="AI2" s="1633"/>
      <c r="AJ2" s="1633"/>
      <c r="AK2" s="1367">
        <v>0</v>
      </c>
    </row>
    <row customHeight="1" ht="11.25" hidden="1">
      <c r="E3" s="2052" t="s">
        <v>629</v>
      </c>
      <c r="L3" s="1632">
        <f>0</f>
        <v>0</v>
      </c>
      <c r="M3" s="1632">
        <v>1</v>
      </c>
      <c r="AK3" s="1632">
        <v>0</v>
      </c>
    </row>
    <row s="1633" customFormat="1" customHeight="1" ht="11.25" hidden="1">
      <c r="A4" s="988"/>
      <c r="B4" s="988"/>
      <c r="C4" s="988"/>
      <c r="E4" s="988"/>
      <c r="F4" s="1367"/>
      <c r="G4" s="1637"/>
      <c r="H4" s="621"/>
      <c r="N4" s="1367"/>
      <c r="O4" s="1633">
        <v>4</v>
      </c>
      <c r="P4" s="1367"/>
      <c r="Q4" s="1637"/>
      <c r="R4" s="1637"/>
      <c r="S4" s="1367"/>
      <c r="T4" s="1367"/>
      <c r="U4" s="1367"/>
      <c r="V4" s="1367"/>
      <c r="W4" s="1637"/>
      <c r="X4" s="1367"/>
      <c r="Y4" s="1367"/>
      <c r="Z4" s="545"/>
      <c r="AA4" s="1367"/>
      <c r="AB4" s="1367"/>
      <c r="AC4" s="1367"/>
      <c r="AD4" s="1367"/>
      <c r="AE4" s="1367"/>
      <c r="AK4" s="1633">
        <v>0</v>
      </c>
    </row>
    <row customHeight="1" ht="11.549999999999999">
      <c r="AK5" s="1632">
        <v>11</v>
      </c>
    </row>
    <row customHeight="1" ht="57.75">
      <c r="I6" s="2308" t="s">
        <v>630</v>
      </c>
      <c r="J6" s="2308"/>
      <c r="K6" s="2308"/>
      <c r="L6" s="2308"/>
      <c r="M6" s="2308"/>
      <c r="O6" s="557"/>
      <c r="AK6" s="1632">
        <v>55</v>
      </c>
    </row>
    <row customHeight="1" ht="25.2">
      <c r="I7" s="2250" t="str">
        <f>IF(org=0,"Не определено",org)</f>
        <v>ИМУП «ПОСЖИЛКОМСЕРВИС»</v>
      </c>
      <c r="J7" s="2250"/>
      <c r="K7" s="2250"/>
      <c r="L7" s="2250"/>
      <c r="M7" s="2250"/>
      <c r="AK7" s="1632">
        <v>24</v>
      </c>
    </row>
    <row customHeight="1" ht="11.549999999999999">
      <c r="I8" s="1136"/>
      <c r="J8" s="1136"/>
      <c r="K8" s="1136"/>
      <c r="L8" s="1136"/>
      <c r="M8" s="1136"/>
      <c r="AK8" s="1632">
        <v>11</v>
      </c>
    </row>
    <row s="1643" customFormat="1" customHeight="1" ht="30" hidden="1">
      <c r="A9" s="1168"/>
      <c r="B9" s="1168"/>
      <c r="C9" s="1168"/>
      <c r="E9" s="1168"/>
      <c r="H9" s="1643"/>
      <c r="L9" s="890"/>
      <c r="M9" s="890" t="s">
        <v>120</v>
      </c>
      <c r="AK9" s="1637">
        <v>1</v>
      </c>
    </row>
    <row customHeight="1" ht="11.549999999999999">
      <c r="E10" s="2051" t="s">
        <v>631</v>
      </c>
      <c r="I10" s="712"/>
      <c r="J10" s="2368" t="s">
        <v>108</v>
      </c>
      <c r="K10" s="2369"/>
      <c r="L10" s="2030" t="str">
        <f>IF(L9="","",INDEX(DIFFERENTIATION_UNMERGE_VD,MATCH(L9,DIFFERENTIATION_ID_DIFF,0)))</f>
        <v/>
      </c>
      <c r="M10" s="2030">
        <f>IF(M9="","",INDEX(DIFFERENTIATION_UNMERGE_VD,MATCH(M9,DIFFERENTIATION_ID_DIFF,0)))</f>
        <v>0</v>
      </c>
      <c r="O10" s="2128" t="s">
        <v>313</v>
      </c>
      <c r="AK10" s="1632">
        <v>11</v>
      </c>
    </row>
    <row customHeight="1" ht="11.549999999999999">
      <c r="E11" s="2051" t="s">
        <v>632</v>
      </c>
      <c r="I11" s="712"/>
      <c r="J11" s="2368" t="s">
        <v>575</v>
      </c>
      <c r="K11" s="2369"/>
      <c r="L11" s="2030" t="str">
        <f>IF(L9="","",INDEX(DIFFERENTIATION_UNMERGE_AREA,MATCH(L9,DIFFERENTIATION_ID_DIFF,0)))</f>
        <v/>
      </c>
      <c r="M11" s="2030" t="str">
        <f>IF(M9="","",INDEX(DIFFERENTIATION_UNMERGE_AREA,MATCH(M9,DIFFERENTIATION_ID_DIFF,0)))</f>
        <v/>
      </c>
      <c r="O11" s="2128"/>
      <c r="AK11" s="1632">
        <v>11</v>
      </c>
    </row>
    <row customHeight="1" ht="11.549999999999999">
      <c r="E12" s="2051" t="s">
        <v>633</v>
      </c>
      <c r="I12" s="1663"/>
      <c r="J12" s="2368" t="s">
        <v>576</v>
      </c>
      <c r="K12" s="2369"/>
      <c r="L12" s="2030" t="str">
        <f>IF(L9="","",INDEX(DIFFERENTIATION_UNMERGE_SYSTEM,MATCH(L9,DIFFERENTIATION_ID_DIFF,0)))</f>
        <v/>
      </c>
      <c r="M12" s="2030" t="str">
        <f>IF(M9="","",INDEX(DIFFERENTIATION_UNMERGE_SYSTEM,MATCH(M9,DIFFERENTIATION_ID_DIFF,0)))</f>
        <v>без дифференциации</v>
      </c>
      <c r="O12" s="2128"/>
      <c r="AK12" s="1632">
        <v>11</v>
      </c>
    </row>
    <row customHeight="1" ht="11.549999999999999">
      <c r="E13" s="2051" t="s">
        <v>634</v>
      </c>
      <c r="F13" s="2051" t="s">
        <v>635</v>
      </c>
      <c r="I13" s="2370" t="s">
        <v>312</v>
      </c>
      <c r="J13" s="2371"/>
      <c r="K13" s="2371"/>
      <c r="L13" s="2028"/>
      <c r="M13" s="2068"/>
      <c r="O13" s="2128"/>
      <c r="AK13" s="1632">
        <v>11</v>
      </c>
    </row>
    <row customHeight="1" ht="24">
      <c r="I14" s="2021" t="s">
        <v>90</v>
      </c>
      <c r="J14" s="2021" t="s">
        <v>314</v>
      </c>
      <c r="K14" s="2021" t="s">
        <v>577</v>
      </c>
      <c r="L14" s="2061" t="s">
        <v>315</v>
      </c>
      <c r="M14" s="2062" t="s">
        <v>315</v>
      </c>
      <c r="O14" s="2128"/>
      <c r="AK14" s="1632">
        <v>23</v>
      </c>
    </row>
    <row customHeight="1" ht="24">
      <c r="A15" s="2055"/>
      <c r="B15" s="2054" t="s">
        <v>636</v>
      </c>
      <c r="C15" s="2054" t="s">
        <v>637</v>
      </c>
      <c r="D15" s="2053" t="s">
        <v>638</v>
      </c>
      <c r="E15" s="2057" t="s">
        <v>639</v>
      </c>
      <c r="F15" s="2057" t="s">
        <v>639</v>
      </c>
      <c r="G15" s="1637" t="s">
        <v>599</v>
      </c>
      <c r="H15" s="2022"/>
      <c r="I15" s="1631">
        <v>1</v>
      </c>
      <c r="J15" s="2023" t="s">
        <v>640</v>
      </c>
      <c r="K15" s="2021" t="s">
        <v>318</v>
      </c>
      <c r="L15" s="663"/>
      <c r="M15" s="819"/>
      <c r="N15" s="544" t="s">
        <v>641</v>
      </c>
      <c r="O15" s="1526" t="s">
        <v>642</v>
      </c>
      <c r="P15" s="544" t="s">
        <v>641</v>
      </c>
      <c r="AK15" s="1632">
        <v>23</v>
      </c>
    </row>
    <row customHeight="1" ht="35.699999999999996">
      <c r="A16" s="2055"/>
      <c r="B16" s="2054" t="s">
        <v>643</v>
      </c>
      <c r="C16" s="2054" t="s">
        <v>644</v>
      </c>
      <c r="D16" s="2053" t="s">
        <v>628</v>
      </c>
      <c r="E16" s="2057" t="s">
        <v>639</v>
      </c>
      <c r="F16" s="2057" t="s">
        <v>639</v>
      </c>
      <c r="H16" s="2022"/>
      <c r="I16" s="1630">
        <v>2</v>
      </c>
      <c r="J16" s="2064" t="s">
        <v>645</v>
      </c>
      <c r="K16" s="2063" t="s">
        <v>567</v>
      </c>
      <c r="L16" s="2069"/>
      <c r="M16" s="1677"/>
      <c r="N16" s="544" t="s">
        <v>641</v>
      </c>
      <c r="O16" s="1526" t="s">
        <v>646</v>
      </c>
      <c r="P16" s="544" t="s">
        <v>641</v>
      </c>
      <c r="AK16" s="1632">
        <v>34</v>
      </c>
    </row>
    <row s="1643" customFormat="1" customHeight="1" ht="17.25" hidden="1">
      <c r="A17" s="1168"/>
      <c r="B17" s="1168"/>
      <c r="C17" s="1168"/>
      <c r="D17" s="1168"/>
      <c r="E17" s="1168"/>
      <c r="H17" s="1325"/>
      <c r="I17" s="1014" t="s">
        <v>647</v>
      </c>
      <c r="J17" s="992"/>
      <c r="K17" s="1014"/>
      <c r="L17" s="993"/>
      <c r="M17" s="993"/>
      <c r="O17" s="1386"/>
      <c r="AK17" s="1637">
        <v>1</v>
      </c>
    </row>
    <row s="1367" customFormat="1" customHeight="1" ht="24">
      <c r="A18" s="988"/>
      <c r="B18" s="988"/>
      <c r="C18" s="988"/>
      <c r="D18" s="988"/>
      <c r="E18" s="988"/>
      <c r="G18" s="1637"/>
      <c r="H18" s="1634"/>
      <c r="I18" s="571"/>
      <c r="J18" s="572" t="s">
        <v>597</v>
      </c>
      <c r="K18" s="573"/>
      <c r="L18" s="2071"/>
      <c r="M18" s="574"/>
      <c r="N18" s="544"/>
      <c r="O18" s="1526" t="s">
        <v>598</v>
      </c>
      <c r="P18" s="544"/>
      <c r="Q18" s="1637"/>
      <c r="R18" s="1637"/>
      <c r="W18" s="1637"/>
      <c r="Z18" s="545"/>
      <c r="AF18" s="1633"/>
      <c r="AG18" s="1633"/>
      <c r="AH18" s="1633"/>
      <c r="AI18" s="1633"/>
      <c r="AJ18" s="1633"/>
      <c r="AK18" s="1367">
        <v>23</v>
      </c>
    </row>
    <row customHeight="1" ht="19.95">
      <c r="A19" s="2055"/>
      <c r="B19" s="2054" t="s">
        <v>648</v>
      </c>
      <c r="C19" s="2054" t="s">
        <v>649</v>
      </c>
      <c r="D19" s="2053" t="s">
        <v>628</v>
      </c>
      <c r="E19" s="2057" t="s">
        <v>639</v>
      </c>
      <c r="F19" s="2057" t="s">
        <v>639</v>
      </c>
      <c r="H19" s="2022"/>
      <c r="I19" s="1665">
        <v>3</v>
      </c>
      <c r="J19" s="2023" t="s">
        <v>649</v>
      </c>
      <c r="K19" s="2019" t="s">
        <v>567</v>
      </c>
      <c r="L19" s="728"/>
      <c r="M19" s="558"/>
      <c r="N19" s="544"/>
      <c r="O19" s="1526" t="s">
        <v>650</v>
      </c>
      <c r="P19" s="544"/>
      <c r="AK19" s="1632">
        <v>19</v>
      </c>
    </row>
    <row customHeight="1" ht="77.7">
      <c r="A20" s="2055"/>
      <c r="B20" s="2054" t="s">
        <v>651</v>
      </c>
      <c r="C20" s="2054" t="s">
        <v>652</v>
      </c>
      <c r="D20" s="2053" t="s">
        <v>628</v>
      </c>
      <c r="E20" s="2057" t="s">
        <v>639</v>
      </c>
      <c r="F20" s="2057" t="s">
        <v>639</v>
      </c>
      <c r="H20" s="2022"/>
      <c r="I20" s="1665">
        <v>4</v>
      </c>
      <c r="J20" s="2023" t="s">
        <v>653</v>
      </c>
      <c r="K20" s="2019" t="s">
        <v>594</v>
      </c>
      <c r="L20" s="728"/>
      <c r="M20" s="558"/>
      <c r="N20" s="544"/>
      <c r="O20" s="1526"/>
      <c r="P20" s="544"/>
      <c r="AK20" s="1632">
        <v>74</v>
      </c>
    </row>
    <row customHeight="1" ht="35.699999999999996">
      <c r="A21" s="2055"/>
      <c r="B21" s="2054" t="s">
        <v>654</v>
      </c>
      <c r="C21" s="2054" t="s">
        <v>655</v>
      </c>
      <c r="D21" s="2053" t="s">
        <v>628</v>
      </c>
      <c r="E21" s="2057" t="s">
        <v>639</v>
      </c>
      <c r="F21" s="2057" t="s">
        <v>639</v>
      </c>
      <c r="H21" s="2022"/>
      <c r="I21" s="1665">
        <v>5</v>
      </c>
      <c r="J21" s="2023" t="s">
        <v>656</v>
      </c>
      <c r="K21" s="2019" t="s">
        <v>594</v>
      </c>
      <c r="L21" s="728"/>
      <c r="M21" s="558"/>
      <c r="N21" s="544"/>
      <c r="O21" s="1526" t="s">
        <v>650</v>
      </c>
      <c r="P21" s="544"/>
      <c r="AK21" s="1632">
        <v>34</v>
      </c>
    </row>
    <row customHeight="1" ht="48.29999999999999">
      <c r="A22" s="2055"/>
      <c r="B22" s="2054" t="s">
        <v>657</v>
      </c>
      <c r="C22" s="2054" t="s">
        <v>658</v>
      </c>
      <c r="D22" s="2053" t="s">
        <v>628</v>
      </c>
      <c r="E22" s="2057" t="s">
        <v>639</v>
      </c>
      <c r="F22" s="2057" t="s">
        <v>639</v>
      </c>
      <c r="H22" s="2022"/>
      <c r="I22" s="1665">
        <v>6</v>
      </c>
      <c r="J22" s="2023" t="s">
        <v>659</v>
      </c>
      <c r="K22" s="2019" t="s">
        <v>594</v>
      </c>
      <c r="L22" s="728"/>
      <c r="M22" s="558"/>
      <c r="N22" s="544"/>
      <c r="O22" s="1526" t="s">
        <v>660</v>
      </c>
      <c r="P22" s="544"/>
      <c r="AK22" s="1632">
        <v>46</v>
      </c>
    </row>
    <row customHeight="1" ht="19.95">
      <c r="A23" s="2055"/>
      <c r="B23" s="2054" t="s">
        <v>661</v>
      </c>
      <c r="C23" s="2054" t="s">
        <v>662</v>
      </c>
      <c r="D23" s="2053" t="s">
        <v>628</v>
      </c>
      <c r="E23" s="2057" t="s">
        <v>639</v>
      </c>
      <c r="F23" s="2057" t="s">
        <v>639</v>
      </c>
      <c r="H23" s="2022"/>
      <c r="I23" s="1665" t="s">
        <v>663</v>
      </c>
      <c r="J23" s="1525" t="s">
        <v>664</v>
      </c>
      <c r="K23" s="2019" t="s">
        <v>594</v>
      </c>
      <c r="L23" s="728"/>
      <c r="M23" s="558"/>
      <c r="N23" s="544"/>
      <c r="O23" s="1526" t="s">
        <v>650</v>
      </c>
      <c r="P23" s="544"/>
      <c r="AK23" s="1632">
        <v>19</v>
      </c>
    </row>
    <row customHeight="1" ht="19.95">
      <c r="A24" s="2055"/>
      <c r="B24" s="2054" t="s">
        <v>665</v>
      </c>
      <c r="C24" s="2054" t="s">
        <v>666</v>
      </c>
      <c r="D24" s="2053" t="s">
        <v>628</v>
      </c>
      <c r="E24" s="2057" t="s">
        <v>639</v>
      </c>
      <c r="F24" s="2057" t="s">
        <v>639</v>
      </c>
      <c r="H24" s="2022"/>
      <c r="I24" s="1665" t="s">
        <v>667</v>
      </c>
      <c r="J24" s="1525" t="s">
        <v>668</v>
      </c>
      <c r="K24" s="2019" t="s">
        <v>594</v>
      </c>
      <c r="L24" s="728"/>
      <c r="M24" s="558"/>
      <c r="N24" s="544"/>
      <c r="O24" s="1526"/>
      <c r="P24" s="544"/>
      <c r="AK24" s="1632">
        <v>19</v>
      </c>
    </row>
    <row customHeight="1" ht="24">
      <c r="A25" s="2055"/>
      <c r="B25" s="2054" t="s">
        <v>669</v>
      </c>
      <c r="C25" s="2054" t="s">
        <v>670</v>
      </c>
      <c r="D25" s="2053" t="s">
        <v>628</v>
      </c>
      <c r="E25" s="2057" t="s">
        <v>639</v>
      </c>
      <c r="F25" s="2057" t="s">
        <v>639</v>
      </c>
      <c r="H25" s="2022"/>
      <c r="I25" s="1665" t="s">
        <v>671</v>
      </c>
      <c r="J25" s="1525" t="s">
        <v>672</v>
      </c>
      <c r="K25" s="2019" t="s">
        <v>594</v>
      </c>
      <c r="L25" s="728"/>
      <c r="M25" s="558"/>
      <c r="N25" s="544"/>
      <c r="O25" s="1526"/>
      <c r="P25" s="544"/>
      <c r="AK25" s="1632">
        <v>23</v>
      </c>
    </row>
    <row customHeight="1" ht="24">
      <c r="A26" s="2055"/>
      <c r="B26" s="2054" t="s">
        <v>673</v>
      </c>
      <c r="C26" s="2054" t="s">
        <v>674</v>
      </c>
      <c r="D26" s="2053" t="s">
        <v>628</v>
      </c>
      <c r="E26" s="2057" t="s">
        <v>639</v>
      </c>
      <c r="F26" s="2057" t="s">
        <v>639</v>
      </c>
      <c r="H26" s="2022"/>
      <c r="I26" s="1665">
        <v>7</v>
      </c>
      <c r="J26" s="2023" t="s">
        <v>674</v>
      </c>
      <c r="K26" s="2019" t="s">
        <v>675</v>
      </c>
      <c r="L26" s="728"/>
      <c r="M26" s="558"/>
      <c r="N26" s="544"/>
      <c r="O26" s="1526"/>
      <c r="P26" s="544"/>
      <c r="AK26" s="1632">
        <v>23</v>
      </c>
    </row>
    <row customHeight="1" ht="24">
      <c r="A27" s="2055"/>
      <c r="B27" s="2054" t="s">
        <v>676</v>
      </c>
      <c r="C27" s="2054" t="s">
        <v>677</v>
      </c>
      <c r="D27" s="2053" t="s">
        <v>628</v>
      </c>
      <c r="E27" s="2057" t="s">
        <v>639</v>
      </c>
      <c r="F27" s="2057" t="s">
        <v>639</v>
      </c>
      <c r="H27" s="2022"/>
      <c r="I27" s="1665">
        <v>8</v>
      </c>
      <c r="J27" s="2023" t="s">
        <v>677</v>
      </c>
      <c r="K27" s="2019" t="s">
        <v>600</v>
      </c>
      <c r="L27" s="728"/>
      <c r="M27" s="558"/>
      <c r="N27" s="544"/>
      <c r="O27" s="1526"/>
      <c r="P27" s="544"/>
      <c r="AK27" s="1632">
        <v>23</v>
      </c>
    </row>
    <row customHeight="1" ht="35.699999999999996">
      <c r="A28" s="2055"/>
      <c r="B28" s="2054" t="s">
        <v>678</v>
      </c>
      <c r="C28" s="2054" t="s">
        <v>679</v>
      </c>
      <c r="D28" s="2053" t="s">
        <v>628</v>
      </c>
      <c r="E28" s="2057" t="s">
        <v>639</v>
      </c>
      <c r="F28" s="2057" t="s">
        <v>639</v>
      </c>
      <c r="H28" s="2022"/>
      <c r="I28" s="1676">
        <v>9</v>
      </c>
      <c r="J28" s="2023" t="s">
        <v>680</v>
      </c>
      <c r="K28" s="2019" t="s">
        <v>571</v>
      </c>
      <c r="L28" s="728"/>
      <c r="M28" s="558"/>
      <c r="N28" s="544"/>
      <c r="O28" s="1526"/>
      <c r="P28" s="544"/>
      <c r="AK28" s="1632">
        <v>34</v>
      </c>
    </row>
    <row customHeight="1" ht="35.699999999999996">
      <c r="A29" s="2055"/>
      <c r="B29" s="2054" t="s">
        <v>681</v>
      </c>
      <c r="C29" s="2054" t="s">
        <v>682</v>
      </c>
      <c r="D29" s="2053" t="s">
        <v>628</v>
      </c>
      <c r="E29" s="2057" t="s">
        <v>639</v>
      </c>
      <c r="F29" s="2057" t="s">
        <v>639</v>
      </c>
      <c r="H29" s="2022"/>
      <c r="I29" s="1676">
        <v>10</v>
      </c>
      <c r="J29" s="2023" t="s">
        <v>683</v>
      </c>
      <c r="K29" s="2019" t="s">
        <v>571</v>
      </c>
      <c r="L29" s="728"/>
      <c r="M29" s="558"/>
      <c r="N29" s="544"/>
      <c r="O29" s="1526"/>
      <c r="P29" s="544"/>
      <c r="AK29" s="1632">
        <v>34</v>
      </c>
    </row>
    <row customHeight="1" ht="24">
      <c r="A30" s="2055"/>
      <c r="B30" s="2054" t="s">
        <v>684</v>
      </c>
      <c r="C30" s="2054" t="s">
        <v>685</v>
      </c>
      <c r="D30" s="2053" t="s">
        <v>628</v>
      </c>
      <c r="E30" s="2057" t="s">
        <v>639</v>
      </c>
      <c r="F30" s="2057" t="s">
        <v>639</v>
      </c>
      <c r="H30" s="2022"/>
      <c r="I30" s="1676">
        <v>11</v>
      </c>
      <c r="J30" s="2023" t="s">
        <v>685</v>
      </c>
      <c r="K30" s="2019" t="s">
        <v>601</v>
      </c>
      <c r="L30" s="2070"/>
      <c r="M30" s="1622"/>
      <c r="N30" s="544"/>
      <c r="O30" s="1526"/>
      <c r="P30" s="544"/>
      <c r="AK30" s="1632">
        <v>23</v>
      </c>
    </row>
    <row customHeight="1" ht="24">
      <c r="A31" s="2055"/>
      <c r="B31" s="2054" t="s">
        <v>686</v>
      </c>
      <c r="C31" s="2054" t="s">
        <v>687</v>
      </c>
      <c r="D31" s="2053" t="s">
        <v>628</v>
      </c>
      <c r="E31" s="2057" t="s">
        <v>639</v>
      </c>
      <c r="F31" s="2057" t="s">
        <v>639</v>
      </c>
      <c r="H31" s="2022"/>
      <c r="I31" s="1676">
        <v>12</v>
      </c>
      <c r="J31" s="2023" t="s">
        <v>687</v>
      </c>
      <c r="K31" s="2019" t="s">
        <v>601</v>
      </c>
      <c r="L31" s="2070"/>
      <c r="M31" s="1622"/>
      <c r="N31" s="544"/>
      <c r="O31" s="1526"/>
      <c r="P31" s="544"/>
      <c r="AK31" s="1632">
        <v>23</v>
      </c>
    </row>
    <row customHeight="1" ht="48.29999999999999">
      <c r="A32" s="2055"/>
      <c r="B32" s="2054" t="s">
        <v>688</v>
      </c>
      <c r="C32" s="2054" t="s">
        <v>689</v>
      </c>
      <c r="D32" s="2053" t="s">
        <v>628</v>
      </c>
      <c r="E32" s="2057" t="s">
        <v>639</v>
      </c>
      <c r="F32" s="2057" t="s">
        <v>639</v>
      </c>
      <c r="H32" s="2022"/>
      <c r="I32" s="1676">
        <v>13</v>
      </c>
      <c r="J32" s="2023" t="s">
        <v>690</v>
      </c>
      <c r="K32" s="2019" t="s">
        <v>611</v>
      </c>
      <c r="L32" s="728"/>
      <c r="M32" s="558"/>
      <c r="N32" s="544"/>
      <c r="O32" s="1526" t="s">
        <v>650</v>
      </c>
      <c r="P32" s="544"/>
      <c r="AK32" s="1632">
        <v>46</v>
      </c>
    </row>
    <row s="1367" customFormat="1" customHeight="1" ht="48.29999999999999">
      <c r="A33" s="2055"/>
      <c r="B33" s="2054" t="s">
        <v>691</v>
      </c>
      <c r="C33" s="2054" t="s">
        <v>692</v>
      </c>
      <c r="D33" s="2053" t="s">
        <v>628</v>
      </c>
      <c r="E33" s="2057" t="s">
        <v>639</v>
      </c>
      <c r="F33" s="2057" t="s">
        <v>639</v>
      </c>
      <c r="G33" s="1637"/>
      <c r="H33" s="2022"/>
      <c r="I33" s="1676">
        <v>14</v>
      </c>
      <c r="J33" s="2035" t="s">
        <v>693</v>
      </c>
      <c r="K33" s="2024" t="s">
        <v>694</v>
      </c>
      <c r="L33" s="728"/>
      <c r="M33" s="558"/>
      <c r="N33" s="544"/>
      <c r="O33" s="1526" t="s">
        <v>650</v>
      </c>
      <c r="P33" s="544"/>
      <c r="Q33" s="1637"/>
      <c r="R33" s="1637"/>
      <c r="W33" s="1637"/>
      <c r="Z33" s="545"/>
      <c r="AF33" s="1633"/>
      <c r="AG33" s="1633"/>
      <c r="AH33" s="1633"/>
      <c r="AI33" s="1633"/>
      <c r="AJ33" s="1633"/>
      <c r="AK33" s="1367">
        <v>46</v>
      </c>
    </row>
    <row customHeight="1" ht="108">
      <c r="A34" s="2055"/>
      <c r="B34" s="2054" t="s">
        <v>695</v>
      </c>
      <c r="C34" s="2054" t="s">
        <v>696</v>
      </c>
      <c r="D34" s="2053" t="s">
        <v>638</v>
      </c>
      <c r="E34" s="2057" t="s">
        <v>639</v>
      </c>
      <c r="F34" s="2057" t="s">
        <v>639</v>
      </c>
      <c r="G34" s="1637" t="s">
        <v>599</v>
      </c>
      <c r="H34" s="2022"/>
      <c r="I34" s="2033">
        <v>15</v>
      </c>
      <c r="J34" s="2034" t="s">
        <v>697</v>
      </c>
      <c r="K34" s="2019" t="s">
        <v>318</v>
      </c>
      <c r="L34" s="386"/>
      <c r="M34" s="1165"/>
      <c r="N34" s="544"/>
      <c r="O34" s="1526" t="s">
        <v>642</v>
      </c>
      <c r="P34" s="544"/>
      <c r="AK34" s="1632">
        <v>103</v>
      </c>
    </row>
    <row s="1642" customFormat="1" customHeight="1" ht="11.549999999999999">
      <c r="A35" s="988"/>
      <c r="B35" s="988"/>
      <c r="C35" s="988"/>
      <c r="D35" s="988"/>
      <c r="E35" s="988"/>
      <c r="F35" s="1637"/>
      <c r="G35" s="1637"/>
      <c r="H35" s="352"/>
      <c r="N35" s="1367"/>
      <c r="P35" s="1367"/>
      <c r="Q35" s="1637"/>
      <c r="R35" s="1637"/>
      <c r="S35" s="1367"/>
      <c r="T35" s="1367"/>
      <c r="U35" s="1367"/>
      <c r="V35" s="1367"/>
      <c r="W35" s="1637"/>
      <c r="X35" s="1367"/>
      <c r="Y35" s="1367"/>
      <c r="Z35" s="545"/>
      <c r="AA35" s="1367"/>
      <c r="AB35" s="1367"/>
      <c r="AC35" s="1367"/>
      <c r="AD35" s="1367"/>
      <c r="AE35" s="1367"/>
      <c r="AF35" s="1633"/>
      <c r="AG35" s="623"/>
      <c r="AH35" s="623"/>
      <c r="AI35" s="623"/>
      <c r="AJ35" s="623"/>
      <c r="AK35" s="1642">
        <v>11</v>
      </c>
    </row>
    <row s="1642" customFormat="1" customHeight="1" ht="11.549999999999999">
      <c r="A36" s="988"/>
      <c r="B36" s="988"/>
      <c r="C36" s="988"/>
      <c r="D36" s="988"/>
      <c r="E36" s="988"/>
      <c r="F36" s="1637"/>
      <c r="G36" s="1637"/>
      <c r="H36" s="352"/>
      <c r="N36" s="1367"/>
      <c r="P36" s="1367"/>
      <c r="Q36" s="1637"/>
      <c r="R36" s="1637"/>
      <c r="S36" s="1367"/>
      <c r="T36" s="1367"/>
      <c r="U36" s="1367"/>
      <c r="V36" s="1367"/>
      <c r="W36" s="1637"/>
      <c r="X36" s="1367"/>
      <c r="Y36" s="1367"/>
      <c r="Z36" s="545"/>
      <c r="AA36" s="1367"/>
      <c r="AB36" s="1367"/>
      <c r="AC36" s="1367"/>
      <c r="AD36" s="1367"/>
      <c r="AE36" s="1367"/>
      <c r="AF36" s="1633"/>
      <c r="AG36" s="623"/>
      <c r="AH36" s="623"/>
      <c r="AI36" s="623"/>
      <c r="AJ36" s="623"/>
      <c r="AK36" s="1642">
        <v>11</v>
      </c>
    </row>
    <row s="1642" customFormat="1" customHeight="1" ht="11.549999999999999">
      <c r="A37" s="988"/>
      <c r="B37" s="988"/>
      <c r="C37" s="988"/>
      <c r="D37" s="988"/>
      <c r="E37" s="988"/>
      <c r="F37" s="1637"/>
      <c r="G37" s="1637"/>
      <c r="H37" s="352"/>
      <c r="L37" s="623"/>
      <c r="M37" s="623"/>
      <c r="N37" s="1367"/>
      <c r="P37" s="1367"/>
      <c r="Q37" s="1637"/>
      <c r="R37" s="1637"/>
      <c r="S37" s="1367"/>
      <c r="T37" s="1367"/>
      <c r="U37" s="1367"/>
      <c r="V37" s="1367"/>
      <c r="W37" s="1637"/>
      <c r="X37" s="1367"/>
      <c r="Y37" s="1367"/>
      <c r="Z37" s="545"/>
      <c r="AA37" s="1367"/>
      <c r="AB37" s="1367"/>
      <c r="AC37" s="1367"/>
      <c r="AD37" s="1367"/>
      <c r="AE37" s="1367"/>
      <c r="AF37" s="1633"/>
      <c r="AG37" s="623"/>
      <c r="AH37" s="623"/>
      <c r="AI37" s="623"/>
      <c r="AJ37" s="623"/>
      <c r="AK37" s="1642">
        <v>11</v>
      </c>
    </row>
    <row s="1642" customFormat="1" customHeight="1" ht="11.549999999999999">
      <c r="A38" s="988"/>
      <c r="B38" s="988"/>
      <c r="C38" s="988"/>
      <c r="D38" s="988"/>
      <c r="E38" s="988"/>
      <c r="F38" s="1637"/>
      <c r="G38" s="1637"/>
      <c r="H38" s="352"/>
      <c r="N38" s="1367"/>
      <c r="P38" s="1367"/>
      <c r="Q38" s="1637"/>
      <c r="R38" s="1637"/>
      <c r="S38" s="1367"/>
      <c r="T38" s="1367"/>
      <c r="U38" s="1367"/>
      <c r="V38" s="1367"/>
      <c r="W38" s="1637"/>
      <c r="X38" s="1367"/>
      <c r="Y38" s="1367"/>
      <c r="Z38" s="545"/>
      <c r="AA38" s="1367"/>
      <c r="AB38" s="1367"/>
      <c r="AC38" s="1367"/>
      <c r="AD38" s="1367"/>
      <c r="AE38" s="1367"/>
      <c r="AF38" s="1633"/>
      <c r="AG38" s="623"/>
      <c r="AH38" s="623"/>
      <c r="AI38" s="623"/>
      <c r="AJ38" s="623"/>
      <c r="AK38" s="1642">
        <v>11</v>
      </c>
    </row>
    <row s="1642" customFormat="1" customHeight="1" ht="11.549999999999999">
      <c r="A39" s="988"/>
      <c r="B39" s="988"/>
      <c r="C39" s="988"/>
      <c r="D39" s="988"/>
      <c r="E39" s="988"/>
      <c r="F39" s="1637"/>
      <c r="G39" s="1637"/>
      <c r="H39" s="352"/>
      <c r="N39" s="1367"/>
      <c r="P39" s="1367"/>
      <c r="Q39" s="1637"/>
      <c r="R39" s="1637"/>
      <c r="S39" s="1367"/>
      <c r="T39" s="1367"/>
      <c r="U39" s="1367"/>
      <c r="V39" s="1367"/>
      <c r="W39" s="1637"/>
      <c r="X39" s="1367"/>
      <c r="Y39" s="1367"/>
      <c r="Z39" s="545"/>
      <c r="AA39" s="1367"/>
      <c r="AB39" s="1367"/>
      <c r="AC39" s="1367"/>
      <c r="AD39" s="1367"/>
      <c r="AE39" s="1367"/>
      <c r="AF39" s="1633"/>
      <c r="AG39" s="623"/>
      <c r="AH39" s="623"/>
      <c r="AI39" s="623"/>
      <c r="AJ39" s="623"/>
      <c r="AK39" s="1642">
        <v>11</v>
      </c>
    </row>
    <row s="1642" customFormat="1" customHeight="1" ht="11.549999999999999">
      <c r="A40" s="988"/>
      <c r="B40" s="988"/>
      <c r="C40" s="988"/>
      <c r="D40" s="988"/>
      <c r="E40" s="988"/>
      <c r="F40" s="1637"/>
      <c r="G40" s="1637"/>
      <c r="H40" s="352"/>
      <c r="N40" s="1367"/>
      <c r="P40" s="1367"/>
      <c r="Q40" s="1637"/>
      <c r="R40" s="1637"/>
      <c r="S40" s="1367"/>
      <c r="T40" s="1367"/>
      <c r="U40" s="1367"/>
      <c r="V40" s="1367"/>
      <c r="W40" s="1637"/>
      <c r="X40" s="1367"/>
      <c r="Y40" s="1367"/>
      <c r="Z40" s="545"/>
      <c r="AA40" s="1367"/>
      <c r="AB40" s="1367"/>
      <c r="AC40" s="1367"/>
      <c r="AD40" s="1367"/>
      <c r="AE40" s="1367"/>
      <c r="AF40" s="1633"/>
      <c r="AG40" s="623"/>
      <c r="AH40" s="623"/>
      <c r="AI40" s="623"/>
      <c r="AJ40" s="623"/>
      <c r="AK40" s="1642">
        <v>11</v>
      </c>
    </row>
    <row s="1642" customFormat="1" customHeight="1" ht="11.549999999999999">
      <c r="A41" s="988"/>
      <c r="B41" s="988"/>
      <c r="C41" s="988"/>
      <c r="D41" s="988"/>
      <c r="E41" s="988"/>
      <c r="F41" s="1637"/>
      <c r="G41" s="1637"/>
      <c r="H41" s="352"/>
      <c r="N41" s="1367"/>
      <c r="P41" s="1367"/>
      <c r="Q41" s="1637"/>
      <c r="R41" s="1637"/>
      <c r="S41" s="1367"/>
      <c r="T41" s="1367"/>
      <c r="U41" s="1367"/>
      <c r="V41" s="1367"/>
      <c r="W41" s="1637"/>
      <c r="X41" s="1367"/>
      <c r="Y41" s="1367"/>
      <c r="Z41" s="545"/>
      <c r="AA41" s="1367"/>
      <c r="AB41" s="1367"/>
      <c r="AC41" s="1367"/>
      <c r="AD41" s="1367"/>
      <c r="AE41" s="1367"/>
      <c r="AF41" s="1633"/>
      <c r="AG41" s="623"/>
      <c r="AH41" s="623"/>
      <c r="AI41" s="623"/>
      <c r="AJ41" s="623"/>
      <c r="AK41" s="1642">
        <v>11</v>
      </c>
    </row>
    <row s="1642" customFormat="1" customHeight="1" ht="11.549999999999999">
      <c r="A42" s="988"/>
      <c r="B42" s="988"/>
      <c r="C42" s="988"/>
      <c r="D42" s="988"/>
      <c r="E42" s="988"/>
      <c r="F42" s="1637"/>
      <c r="G42" s="1637"/>
      <c r="H42" s="352"/>
      <c r="N42" s="1367"/>
      <c r="P42" s="1367"/>
      <c r="Q42" s="1637"/>
      <c r="R42" s="1637"/>
      <c r="S42" s="1367"/>
      <c r="T42" s="1367"/>
      <c r="U42" s="1367"/>
      <c r="V42" s="1367"/>
      <c r="W42" s="1637"/>
      <c r="X42" s="1367"/>
      <c r="Y42" s="1367"/>
      <c r="Z42" s="545"/>
      <c r="AA42" s="1367"/>
      <c r="AB42" s="1367"/>
      <c r="AC42" s="1367"/>
      <c r="AD42" s="1367"/>
      <c r="AE42" s="1367"/>
      <c r="AF42" s="1633"/>
      <c r="AG42" s="623"/>
      <c r="AH42" s="623"/>
      <c r="AI42" s="623"/>
      <c r="AJ42" s="623"/>
      <c r="AK42" s="1642">
        <v>11</v>
      </c>
    </row>
    <row s="1642" customFormat="1" customHeight="1" ht="11.549999999999999">
      <c r="A43" s="988"/>
      <c r="B43" s="988"/>
      <c r="C43" s="988"/>
      <c r="D43" s="988"/>
      <c r="E43" s="988"/>
      <c r="F43" s="1637"/>
      <c r="G43" s="1637"/>
      <c r="H43" s="352"/>
      <c r="N43" s="1367"/>
      <c r="P43" s="1367"/>
      <c r="Q43" s="1637"/>
      <c r="R43" s="1637"/>
      <c r="S43" s="1367"/>
      <c r="T43" s="1367"/>
      <c r="U43" s="1367"/>
      <c r="V43" s="1367"/>
      <c r="W43" s="1637"/>
      <c r="X43" s="1367"/>
      <c r="Y43" s="1367"/>
      <c r="Z43" s="545"/>
      <c r="AA43" s="1367"/>
      <c r="AB43" s="1367"/>
      <c r="AC43" s="1367"/>
      <c r="AD43" s="1367"/>
      <c r="AE43" s="1367"/>
      <c r="AF43" s="1633"/>
      <c r="AG43" s="623"/>
      <c r="AH43" s="623"/>
      <c r="AI43" s="623"/>
      <c r="AJ43" s="623"/>
      <c r="AK43" s="1642">
        <v>11</v>
      </c>
    </row>
    <row s="1642" customFormat="1" customHeight="1" ht="11.549999999999999">
      <c r="A44" s="988"/>
      <c r="B44" s="988"/>
      <c r="C44" s="988"/>
      <c r="D44" s="988"/>
      <c r="E44" s="988"/>
      <c r="F44" s="1637"/>
      <c r="G44" s="1637"/>
      <c r="H44" s="352"/>
      <c r="N44" s="1367"/>
      <c r="P44" s="1367"/>
      <c r="Q44" s="1637"/>
      <c r="R44" s="1637"/>
      <c r="S44" s="1367"/>
      <c r="T44" s="1367"/>
      <c r="U44" s="1367"/>
      <c r="V44" s="1367"/>
      <c r="W44" s="1637"/>
      <c r="X44" s="1367"/>
      <c r="Y44" s="1367"/>
      <c r="Z44" s="545"/>
      <c r="AA44" s="1367"/>
      <c r="AB44" s="1367"/>
      <c r="AC44" s="1367"/>
      <c r="AD44" s="1367"/>
      <c r="AE44" s="1367"/>
      <c r="AF44" s="1633"/>
      <c r="AG44" s="623"/>
      <c r="AH44" s="623"/>
      <c r="AI44" s="623"/>
      <c r="AJ44" s="623"/>
      <c r="AK44" s="1642">
        <v>11</v>
      </c>
    </row>
    <row s="1642" customFormat="1" customHeight="1" ht="11.549999999999999">
      <c r="A45" s="988"/>
      <c r="B45" s="988"/>
      <c r="C45" s="988"/>
      <c r="D45" s="988"/>
      <c r="E45" s="988"/>
      <c r="F45" s="1637"/>
      <c r="G45" s="1637"/>
      <c r="H45" s="352"/>
      <c r="N45" s="1367"/>
      <c r="P45" s="1367"/>
      <c r="Q45" s="1637"/>
      <c r="R45" s="1637"/>
      <c r="S45" s="1367"/>
      <c r="T45" s="1367"/>
      <c r="U45" s="1367"/>
      <c r="V45" s="1367"/>
      <c r="W45" s="1637"/>
      <c r="X45" s="1367"/>
      <c r="Y45" s="1367"/>
      <c r="Z45" s="545"/>
      <c r="AA45" s="1367"/>
      <c r="AB45" s="1367"/>
      <c r="AC45" s="1367"/>
      <c r="AD45" s="1367"/>
      <c r="AE45" s="1367"/>
      <c r="AF45" s="1633"/>
      <c r="AG45" s="623"/>
      <c r="AH45" s="623"/>
      <c r="AI45" s="623"/>
      <c r="AJ45" s="623"/>
      <c r="AK45" s="1642">
        <v>11</v>
      </c>
    </row>
    <row s="1642" customFormat="1" customHeight="1" ht="11.549999999999999">
      <c r="A46" s="988"/>
      <c r="B46" s="988"/>
      <c r="C46" s="988"/>
      <c r="D46" s="988"/>
      <c r="E46" s="988"/>
      <c r="F46" s="1637"/>
      <c r="G46" s="1637"/>
      <c r="H46" s="352"/>
      <c r="N46" s="1367"/>
      <c r="P46" s="1367"/>
      <c r="Q46" s="1637"/>
      <c r="R46" s="1637"/>
      <c r="S46" s="1367"/>
      <c r="T46" s="1367"/>
      <c r="U46" s="1367"/>
      <c r="V46" s="1367"/>
      <c r="W46" s="1637"/>
      <c r="X46" s="1367"/>
      <c r="Y46" s="1367"/>
      <c r="Z46" s="545"/>
      <c r="AA46" s="1367"/>
      <c r="AB46" s="1367"/>
      <c r="AC46" s="1367"/>
      <c r="AD46" s="1367"/>
      <c r="AE46" s="1367"/>
      <c r="AF46" s="1633"/>
      <c r="AG46" s="623"/>
      <c r="AH46" s="623"/>
      <c r="AI46" s="623"/>
      <c r="AJ46" s="623"/>
      <c r="AK46" s="1642">
        <v>11</v>
      </c>
    </row>
    <row s="1642" customFormat="1" customHeight="1" ht="11.549999999999999">
      <c r="A47" s="988"/>
      <c r="B47" s="988"/>
      <c r="C47" s="988"/>
      <c r="D47" s="988"/>
      <c r="E47" s="988"/>
      <c r="F47" s="1637"/>
      <c r="G47" s="1637"/>
      <c r="H47" s="352"/>
      <c r="N47" s="1367"/>
      <c r="P47" s="1367"/>
      <c r="Q47" s="1637"/>
      <c r="R47" s="1637"/>
      <c r="S47" s="1367"/>
      <c r="T47" s="1367"/>
      <c r="U47" s="1367"/>
      <c r="V47" s="1367"/>
      <c r="W47" s="1637"/>
      <c r="X47" s="1367"/>
      <c r="Y47" s="1367"/>
      <c r="Z47" s="545"/>
      <c r="AA47" s="1367"/>
      <c r="AB47" s="1367"/>
      <c r="AC47" s="1367"/>
      <c r="AD47" s="1367"/>
      <c r="AE47" s="1367"/>
      <c r="AF47" s="1633"/>
      <c r="AG47" s="623"/>
      <c r="AH47" s="623"/>
      <c r="AI47" s="623"/>
      <c r="AJ47" s="623"/>
      <c r="AK47" s="1642">
        <v>11</v>
      </c>
    </row>
    <row s="1642" customFormat="1" customHeight="1" ht="11.549999999999999">
      <c r="A48" s="988"/>
      <c r="B48" s="988"/>
      <c r="C48" s="988"/>
      <c r="D48" s="988"/>
      <c r="E48" s="988"/>
      <c r="F48" s="1637"/>
      <c r="G48" s="1637"/>
      <c r="H48" s="352"/>
      <c r="N48" s="1367"/>
      <c r="P48" s="1367"/>
      <c r="Q48" s="1637"/>
      <c r="R48" s="1637"/>
      <c r="S48" s="1367"/>
      <c r="T48" s="1367"/>
      <c r="U48" s="1367"/>
      <c r="V48" s="1367"/>
      <c r="W48" s="1637"/>
      <c r="X48" s="1367"/>
      <c r="Y48" s="1367"/>
      <c r="Z48" s="545"/>
      <c r="AA48" s="1367"/>
      <c r="AB48" s="1367"/>
      <c r="AC48" s="1367"/>
      <c r="AD48" s="1367"/>
      <c r="AE48" s="1367"/>
      <c r="AF48" s="1633"/>
      <c r="AG48" s="623"/>
      <c r="AH48" s="623"/>
      <c r="AI48" s="623"/>
      <c r="AJ48" s="623"/>
      <c r="AK48" s="1642">
        <v>11</v>
      </c>
    </row>
    <row s="1642" customFormat="1" customHeight="1" ht="11.549999999999999">
      <c r="A49" s="988"/>
      <c r="B49" s="988"/>
      <c r="C49" s="988"/>
      <c r="D49" s="988"/>
      <c r="E49" s="988"/>
      <c r="F49" s="1637"/>
      <c r="G49" s="1637"/>
      <c r="H49" s="352"/>
      <c r="N49" s="1367"/>
      <c r="P49" s="1367"/>
      <c r="Q49" s="1637"/>
      <c r="R49" s="1637"/>
      <c r="S49" s="1367"/>
      <c r="T49" s="1367"/>
      <c r="U49" s="1367"/>
      <c r="V49" s="1367"/>
      <c r="W49" s="1637"/>
      <c r="X49" s="1367"/>
      <c r="Y49" s="1367"/>
      <c r="Z49" s="545"/>
      <c r="AA49" s="1367"/>
      <c r="AB49" s="1367"/>
      <c r="AC49" s="1367"/>
      <c r="AD49" s="1367"/>
      <c r="AE49" s="1367"/>
      <c r="AF49" s="1633"/>
      <c r="AG49" s="623"/>
      <c r="AH49" s="623"/>
      <c r="AI49" s="623"/>
      <c r="AJ49" s="623"/>
      <c r="AK49" s="1642">
        <v>11</v>
      </c>
    </row>
    <row s="1642" customFormat="1" customHeight="1" ht="11.549999999999999">
      <c r="A50" s="988"/>
      <c r="B50" s="988"/>
      <c r="C50" s="988"/>
      <c r="D50" s="988"/>
      <c r="E50" s="988"/>
      <c r="F50" s="1637"/>
      <c r="G50" s="1637"/>
      <c r="H50" s="352"/>
      <c r="N50" s="1367"/>
      <c r="P50" s="1367"/>
      <c r="Q50" s="1637"/>
      <c r="R50" s="1637"/>
      <c r="S50" s="1367"/>
      <c r="T50" s="1367"/>
      <c r="U50" s="1367"/>
      <c r="V50" s="1367"/>
      <c r="W50" s="1637"/>
      <c r="X50" s="1367"/>
      <c r="Y50" s="1367"/>
      <c r="Z50" s="545"/>
      <c r="AA50" s="1367"/>
      <c r="AB50" s="1367"/>
      <c r="AC50" s="1367"/>
      <c r="AD50" s="1367"/>
      <c r="AE50" s="1367"/>
      <c r="AF50" s="1633"/>
      <c r="AG50" s="623"/>
      <c r="AH50" s="623"/>
      <c r="AI50" s="623"/>
      <c r="AJ50" s="623"/>
      <c r="AK50" s="1642">
        <v>11</v>
      </c>
    </row>
    <row s="1642" customFormat="1" customHeight="1" ht="11.549999999999999">
      <c r="A51" s="988"/>
      <c r="B51" s="988"/>
      <c r="C51" s="988"/>
      <c r="D51" s="988"/>
      <c r="E51" s="988"/>
      <c r="F51" s="1637"/>
      <c r="G51" s="1637"/>
      <c r="H51" s="352"/>
      <c r="N51" s="1367"/>
      <c r="P51" s="1367"/>
      <c r="Q51" s="1637"/>
      <c r="R51" s="1637"/>
      <c r="S51" s="1367"/>
      <c r="T51" s="1367"/>
      <c r="U51" s="1367"/>
      <c r="V51" s="1367"/>
      <c r="W51" s="1637"/>
      <c r="X51" s="1367"/>
      <c r="Y51" s="1367"/>
      <c r="Z51" s="545"/>
      <c r="AA51" s="1367"/>
      <c r="AB51" s="1367"/>
      <c r="AC51" s="1367"/>
      <c r="AD51" s="1367"/>
      <c r="AE51" s="1367"/>
      <c r="AF51" s="1633"/>
      <c r="AG51" s="623"/>
      <c r="AH51" s="623"/>
      <c r="AI51" s="623"/>
      <c r="AJ51" s="623"/>
      <c r="AK51" s="1642">
        <v>11</v>
      </c>
    </row>
    <row s="1642" customFormat="1" customHeight="1" ht="11.549999999999999">
      <c r="A52" s="988"/>
      <c r="B52" s="988"/>
      <c r="C52" s="988"/>
      <c r="D52" s="988"/>
      <c r="E52" s="988"/>
      <c r="F52" s="1637"/>
      <c r="G52" s="1637"/>
      <c r="H52" s="352"/>
      <c r="N52" s="1367"/>
      <c r="P52" s="1367"/>
      <c r="Q52" s="1637"/>
      <c r="R52" s="1637"/>
      <c r="S52" s="1367"/>
      <c r="T52" s="1367"/>
      <c r="U52" s="1367"/>
      <c r="V52" s="1367"/>
      <c r="W52" s="1637"/>
      <c r="X52" s="1367"/>
      <c r="Y52" s="1367"/>
      <c r="Z52" s="545"/>
      <c r="AA52" s="1367"/>
      <c r="AB52" s="1367"/>
      <c r="AC52" s="1367"/>
      <c r="AD52" s="1367"/>
      <c r="AE52" s="1367"/>
      <c r="AF52" s="1633"/>
      <c r="AG52" s="623"/>
      <c r="AH52" s="623"/>
      <c r="AI52" s="623"/>
      <c r="AJ52" s="623"/>
      <c r="AK52" s="1642">
        <v>11</v>
      </c>
    </row>
    <row s="1642" customFormat="1" customHeight="1" ht="11.549999999999999">
      <c r="A53" s="988"/>
      <c r="B53" s="988"/>
      <c r="C53" s="988"/>
      <c r="D53" s="988"/>
      <c r="E53" s="988"/>
      <c r="F53" s="1637"/>
      <c r="G53" s="1637"/>
      <c r="H53" s="352"/>
      <c r="N53" s="1367"/>
      <c r="P53" s="1367"/>
      <c r="Q53" s="1637"/>
      <c r="R53" s="1637"/>
      <c r="S53" s="1367"/>
      <c r="T53" s="1367"/>
      <c r="U53" s="1367"/>
      <c r="V53" s="1367"/>
      <c r="W53" s="1637"/>
      <c r="X53" s="1367"/>
      <c r="Y53" s="1367"/>
      <c r="Z53" s="545"/>
      <c r="AA53" s="1367"/>
      <c r="AB53" s="1367"/>
      <c r="AC53" s="1367"/>
      <c r="AD53" s="1367"/>
      <c r="AE53" s="1367"/>
      <c r="AF53" s="1633"/>
      <c r="AG53" s="623"/>
      <c r="AH53" s="623"/>
      <c r="AI53" s="623"/>
      <c r="AJ53" s="623"/>
      <c r="AK53" s="1642">
        <v>11</v>
      </c>
    </row>
    <row s="1642" customFormat="1" customHeight="1" ht="11.549999999999999">
      <c r="A54" s="988"/>
      <c r="B54" s="988"/>
      <c r="C54" s="988"/>
      <c r="D54" s="988"/>
      <c r="E54" s="988"/>
      <c r="F54" s="1637"/>
      <c r="G54" s="1637"/>
      <c r="H54" s="352"/>
      <c r="N54" s="1367"/>
      <c r="P54" s="1367"/>
      <c r="Q54" s="1637"/>
      <c r="R54" s="1637"/>
      <c r="S54" s="1367"/>
      <c r="T54" s="1367"/>
      <c r="U54" s="1367"/>
      <c r="V54" s="1367"/>
      <c r="W54" s="1637"/>
      <c r="X54" s="1367"/>
      <c r="Y54" s="1367"/>
      <c r="Z54" s="545"/>
      <c r="AA54" s="1367"/>
      <c r="AB54" s="1367"/>
      <c r="AC54" s="1367"/>
      <c r="AD54" s="1367"/>
      <c r="AE54" s="1367"/>
      <c r="AF54" s="1633"/>
      <c r="AG54" s="623"/>
      <c r="AH54" s="623"/>
      <c r="AI54" s="623"/>
      <c r="AJ54" s="623"/>
      <c r="AK54" s="1642">
        <v>11</v>
      </c>
    </row>
    <row s="1642" customFormat="1" customHeight="1" ht="11.549999999999999">
      <c r="A55" s="988"/>
      <c r="B55" s="988"/>
      <c r="C55" s="988"/>
      <c r="D55" s="988"/>
      <c r="E55" s="988"/>
      <c r="F55" s="1637"/>
      <c r="G55" s="1637"/>
      <c r="H55" s="352"/>
      <c r="N55" s="1367"/>
      <c r="P55" s="1367"/>
      <c r="Q55" s="1637"/>
      <c r="R55" s="1637"/>
      <c r="S55" s="1367"/>
      <c r="T55" s="1367"/>
      <c r="U55" s="1367"/>
      <c r="V55" s="1367"/>
      <c r="W55" s="1637"/>
      <c r="X55" s="1367"/>
      <c r="Y55" s="1367"/>
      <c r="Z55" s="545"/>
      <c r="AA55" s="1367"/>
      <c r="AB55" s="1367"/>
      <c r="AC55" s="1367"/>
      <c r="AD55" s="1367"/>
      <c r="AE55" s="1367"/>
      <c r="AF55" s="1633"/>
      <c r="AG55" s="623"/>
      <c r="AH55" s="623"/>
      <c r="AI55" s="623"/>
      <c r="AJ55" s="623"/>
      <c r="AK55" s="1642">
        <v>11</v>
      </c>
    </row>
    <row s="1642" customFormat="1" customHeight="1" ht="11.549999999999999">
      <c r="A56" s="988"/>
      <c r="B56" s="988"/>
      <c r="C56" s="988"/>
      <c r="D56" s="988"/>
      <c r="E56" s="988"/>
      <c r="F56" s="1637"/>
      <c r="G56" s="1637"/>
      <c r="H56" s="352"/>
      <c r="N56" s="1367"/>
      <c r="P56" s="1367"/>
      <c r="Q56" s="1637"/>
      <c r="R56" s="1637"/>
      <c r="S56" s="1367"/>
      <c r="T56" s="1367"/>
      <c r="U56" s="1367"/>
      <c r="V56" s="1367"/>
      <c r="W56" s="1637"/>
      <c r="X56" s="1367"/>
      <c r="Y56" s="1367"/>
      <c r="Z56" s="545"/>
      <c r="AA56" s="1367"/>
      <c r="AB56" s="1367"/>
      <c r="AC56" s="1367"/>
      <c r="AD56" s="1367"/>
      <c r="AE56" s="1367"/>
      <c r="AF56" s="1633"/>
      <c r="AG56" s="623"/>
      <c r="AH56" s="623"/>
      <c r="AI56" s="623"/>
      <c r="AJ56" s="623"/>
      <c r="AK56" s="1642">
        <v>11</v>
      </c>
    </row>
    <row s="1642" customFormat="1" customHeight="1" ht="11.549999999999999">
      <c r="A57" s="988"/>
      <c r="B57" s="988"/>
      <c r="C57" s="988"/>
      <c r="D57" s="988"/>
      <c r="E57" s="988"/>
      <c r="F57" s="1637"/>
      <c r="G57" s="1637"/>
      <c r="H57" s="352"/>
      <c r="N57" s="1367"/>
      <c r="P57" s="1367"/>
      <c r="Q57" s="1637"/>
      <c r="R57" s="1637"/>
      <c r="S57" s="1367"/>
      <c r="T57" s="1367"/>
      <c r="U57" s="1367"/>
      <c r="V57" s="1367"/>
      <c r="W57" s="1637"/>
      <c r="X57" s="1367"/>
      <c r="Y57" s="1367"/>
      <c r="Z57" s="545"/>
      <c r="AA57" s="1367"/>
      <c r="AB57" s="1367"/>
      <c r="AC57" s="1367"/>
      <c r="AD57" s="1367"/>
      <c r="AE57" s="1367"/>
      <c r="AF57" s="1633"/>
      <c r="AG57" s="623"/>
      <c r="AH57" s="623"/>
      <c r="AI57" s="623"/>
      <c r="AJ57" s="623"/>
      <c r="AK57" s="1642">
        <v>11</v>
      </c>
    </row>
    <row s="1642" customFormat="1" customHeight="1" ht="11.549999999999999">
      <c r="A58" s="988"/>
      <c r="B58" s="988"/>
      <c r="C58" s="988"/>
      <c r="D58" s="988"/>
      <c r="E58" s="988"/>
      <c r="F58" s="1637"/>
      <c r="G58" s="1637"/>
      <c r="H58" s="352"/>
      <c r="N58" s="1367"/>
      <c r="P58" s="1367"/>
      <c r="Q58" s="1637"/>
      <c r="R58" s="1637"/>
      <c r="S58" s="1367"/>
      <c r="T58" s="1367"/>
      <c r="U58" s="1367"/>
      <c r="V58" s="1367"/>
      <c r="W58" s="1637"/>
      <c r="X58" s="1367"/>
      <c r="Y58" s="1367"/>
      <c r="Z58" s="545"/>
      <c r="AA58" s="1367"/>
      <c r="AB58" s="1367"/>
      <c r="AC58" s="1367"/>
      <c r="AD58" s="1367"/>
      <c r="AE58" s="1367"/>
      <c r="AF58" s="1633"/>
      <c r="AG58" s="623"/>
      <c r="AH58" s="623"/>
      <c r="AI58" s="623"/>
      <c r="AJ58" s="623"/>
      <c r="AK58" s="1642">
        <v>11</v>
      </c>
    </row>
    <row s="1642" customFormat="1" customHeight="1" ht="11.549999999999999">
      <c r="A59" s="988"/>
      <c r="B59" s="988"/>
      <c r="C59" s="988"/>
      <c r="D59" s="988"/>
      <c r="E59" s="988"/>
      <c r="F59" s="1637"/>
      <c r="G59" s="1637"/>
      <c r="H59" s="352"/>
      <c r="N59" s="1367"/>
      <c r="P59" s="1367"/>
      <c r="Q59" s="1637"/>
      <c r="R59" s="1637"/>
      <c r="S59" s="1367"/>
      <c r="T59" s="1367"/>
      <c r="U59" s="1367"/>
      <c r="V59" s="1367"/>
      <c r="W59" s="1637"/>
      <c r="X59" s="1367"/>
      <c r="Y59" s="1367"/>
      <c r="Z59" s="545"/>
      <c r="AA59" s="1367"/>
      <c r="AB59" s="1367"/>
      <c r="AC59" s="1367"/>
      <c r="AD59" s="1367"/>
      <c r="AE59" s="1367"/>
      <c r="AF59" s="1633"/>
      <c r="AG59" s="623"/>
      <c r="AH59" s="623"/>
      <c r="AI59" s="623"/>
      <c r="AJ59" s="623"/>
      <c r="AK59" s="1642">
        <v>11</v>
      </c>
    </row>
    <row s="1642" customFormat="1" customHeight="1" ht="11.549999999999999">
      <c r="A60" s="988"/>
      <c r="B60" s="988"/>
      <c r="C60" s="988"/>
      <c r="D60" s="988"/>
      <c r="E60" s="988"/>
      <c r="F60" s="1637"/>
      <c r="G60" s="1637"/>
      <c r="H60" s="352"/>
      <c r="N60" s="1367"/>
      <c r="P60" s="1367"/>
      <c r="Q60" s="1637"/>
      <c r="R60" s="1637"/>
      <c r="S60" s="1367"/>
      <c r="T60" s="1367"/>
      <c r="U60" s="1367"/>
      <c r="V60" s="1367"/>
      <c r="W60" s="1637"/>
      <c r="X60" s="1367"/>
      <c r="Y60" s="1367"/>
      <c r="Z60" s="545"/>
      <c r="AA60" s="1367"/>
      <c r="AB60" s="1367"/>
      <c r="AC60" s="1367"/>
      <c r="AD60" s="1367"/>
      <c r="AE60" s="1367"/>
      <c r="AF60" s="1633"/>
      <c r="AG60" s="623"/>
      <c r="AH60" s="623"/>
      <c r="AI60" s="623"/>
      <c r="AJ60" s="623"/>
      <c r="AK60" s="1642">
        <v>11</v>
      </c>
    </row>
    <row s="1642" customFormat="1" customHeight="1" ht="11.549999999999999">
      <c r="A61" s="988"/>
      <c r="B61" s="988"/>
      <c r="C61" s="988"/>
      <c r="D61" s="988"/>
      <c r="E61" s="988"/>
      <c r="F61" s="1637"/>
      <c r="G61" s="1637"/>
      <c r="H61" s="352"/>
      <c r="N61" s="1367"/>
      <c r="P61" s="1367"/>
      <c r="Q61" s="1637"/>
      <c r="R61" s="1637"/>
      <c r="S61" s="1367"/>
      <c r="T61" s="1367"/>
      <c r="U61" s="1367"/>
      <c r="V61" s="1367"/>
      <c r="W61" s="1637"/>
      <c r="X61" s="1367"/>
      <c r="Y61" s="1367"/>
      <c r="Z61" s="545"/>
      <c r="AA61" s="1367"/>
      <c r="AB61" s="1367"/>
      <c r="AC61" s="1367"/>
      <c r="AD61" s="1367"/>
      <c r="AE61" s="1367"/>
      <c r="AF61" s="1633"/>
      <c r="AG61" s="623"/>
      <c r="AH61" s="623"/>
      <c r="AI61" s="623"/>
      <c r="AJ61" s="623"/>
      <c r="AK61" s="1642">
        <v>11</v>
      </c>
    </row>
    <row s="1642" customFormat="1" customHeight="1" ht="11.549999999999999">
      <c r="A62" s="988"/>
      <c r="B62" s="988"/>
      <c r="C62" s="988"/>
      <c r="D62" s="988"/>
      <c r="E62" s="988"/>
      <c r="F62" s="1637"/>
      <c r="G62" s="1637"/>
      <c r="H62" s="352"/>
      <c r="N62" s="1367"/>
      <c r="P62" s="1367"/>
      <c r="Q62" s="1637"/>
      <c r="R62" s="1637"/>
      <c r="S62" s="1367"/>
      <c r="T62" s="1367"/>
      <c r="U62" s="1367"/>
      <c r="V62" s="1367"/>
      <c r="W62" s="1637"/>
      <c r="X62" s="1367"/>
      <c r="Y62" s="1367"/>
      <c r="Z62" s="545"/>
      <c r="AA62" s="1367"/>
      <c r="AB62" s="1367"/>
      <c r="AC62" s="1367"/>
      <c r="AD62" s="1367"/>
      <c r="AE62" s="1367"/>
      <c r="AF62" s="1633"/>
      <c r="AG62" s="623"/>
      <c r="AH62" s="623"/>
      <c r="AI62" s="623"/>
      <c r="AJ62" s="623"/>
      <c r="AK62" s="1642">
        <v>11</v>
      </c>
    </row>
    <row s="1642" customFormat="1" customHeight="1" ht="11.549999999999999">
      <c r="A63" s="988"/>
      <c r="B63" s="988"/>
      <c r="C63" s="988"/>
      <c r="D63" s="988"/>
      <c r="E63" s="988"/>
      <c r="F63" s="1637"/>
      <c r="G63" s="1637"/>
      <c r="H63" s="352"/>
      <c r="N63" s="1367"/>
      <c r="P63" s="1367"/>
      <c r="Q63" s="1637"/>
      <c r="R63" s="1637"/>
      <c r="S63" s="1367"/>
      <c r="T63" s="1367"/>
      <c r="U63" s="1367"/>
      <c r="V63" s="1367"/>
      <c r="W63" s="1637"/>
      <c r="X63" s="1367"/>
      <c r="Y63" s="1367"/>
      <c r="Z63" s="545"/>
      <c r="AA63" s="1367"/>
      <c r="AB63" s="1367"/>
      <c r="AC63" s="1367"/>
      <c r="AD63" s="1367"/>
      <c r="AE63" s="1367"/>
      <c r="AF63" s="1633"/>
      <c r="AG63" s="623"/>
      <c r="AH63" s="623"/>
      <c r="AI63" s="623"/>
      <c r="AJ63" s="623"/>
      <c r="AK63" s="1642">
        <v>11</v>
      </c>
    </row>
    <row s="1642" customFormat="1" customHeight="1" ht="11.549999999999999">
      <c r="A64" s="988"/>
      <c r="B64" s="988"/>
      <c r="C64" s="988"/>
      <c r="D64" s="988"/>
      <c r="E64" s="988"/>
      <c r="F64" s="1637"/>
      <c r="G64" s="1637"/>
      <c r="H64" s="352"/>
      <c r="N64" s="1367"/>
      <c r="P64" s="1367"/>
      <c r="Q64" s="1637"/>
      <c r="R64" s="1637"/>
      <c r="S64" s="1367"/>
      <c r="T64" s="1367"/>
      <c r="U64" s="1367"/>
      <c r="V64" s="1367"/>
      <c r="W64" s="1637"/>
      <c r="X64" s="1367"/>
      <c r="Y64" s="1367"/>
      <c r="Z64" s="545"/>
      <c r="AA64" s="1367"/>
      <c r="AB64" s="1367"/>
      <c r="AC64" s="1367"/>
      <c r="AD64" s="1367"/>
      <c r="AE64" s="1367"/>
      <c r="AF64" s="1633"/>
      <c r="AG64" s="623"/>
      <c r="AH64" s="623"/>
      <c r="AI64" s="623"/>
      <c r="AJ64" s="623"/>
      <c r="AK64" s="1642">
        <v>11</v>
      </c>
    </row>
    <row s="1642" customFormat="1" customHeight="1" ht="11.549999999999999">
      <c r="A65" s="988"/>
      <c r="B65" s="988"/>
      <c r="C65" s="988"/>
      <c r="D65" s="988"/>
      <c r="E65" s="988"/>
      <c r="F65" s="1637"/>
      <c r="G65" s="1637"/>
      <c r="H65" s="352"/>
      <c r="N65" s="1367"/>
      <c r="P65" s="1367"/>
      <c r="Q65" s="1637"/>
      <c r="R65" s="1637"/>
      <c r="S65" s="1367"/>
      <c r="T65" s="1367"/>
      <c r="U65" s="1367"/>
      <c r="V65" s="1367"/>
      <c r="W65" s="1637"/>
      <c r="X65" s="1367"/>
      <c r="Y65" s="1367"/>
      <c r="Z65" s="545"/>
      <c r="AA65" s="1367"/>
      <c r="AB65" s="1367"/>
      <c r="AC65" s="1367"/>
      <c r="AD65" s="1367"/>
      <c r="AE65" s="1367"/>
      <c r="AF65" s="1633"/>
      <c r="AG65" s="623"/>
      <c r="AH65" s="623"/>
      <c r="AI65" s="623"/>
      <c r="AJ65" s="623"/>
      <c r="AK65" s="1642">
        <v>11</v>
      </c>
    </row>
    <row s="1642" customFormat="1" customHeight="1" ht="11.549999999999999">
      <c r="A66" s="988"/>
      <c r="B66" s="988"/>
      <c r="C66" s="988"/>
      <c r="D66" s="988"/>
      <c r="E66" s="988"/>
      <c r="F66" s="1637"/>
      <c r="G66" s="1637"/>
      <c r="H66" s="352"/>
      <c r="N66" s="1367"/>
      <c r="P66" s="1367"/>
      <c r="Q66" s="1637"/>
      <c r="R66" s="1637"/>
      <c r="S66" s="1367"/>
      <c r="T66" s="1367"/>
      <c r="U66" s="1367"/>
      <c r="V66" s="1367"/>
      <c r="W66" s="1637"/>
      <c r="X66" s="1367"/>
      <c r="Y66" s="1367"/>
      <c r="Z66" s="545"/>
      <c r="AA66" s="1367"/>
      <c r="AB66" s="1367"/>
      <c r="AC66" s="1367"/>
      <c r="AD66" s="1367"/>
      <c r="AE66" s="1367"/>
      <c r="AF66" s="1633"/>
      <c r="AG66" s="623"/>
      <c r="AH66" s="623"/>
      <c r="AI66" s="623"/>
      <c r="AJ66" s="623"/>
      <c r="AK66" s="1642">
        <v>11</v>
      </c>
    </row>
    <row s="1642" customFormat="1" customHeight="1" ht="11.549999999999999">
      <c r="A67" s="988"/>
      <c r="B67" s="988"/>
      <c r="C67" s="988"/>
      <c r="D67" s="988"/>
      <c r="E67" s="988"/>
      <c r="F67" s="1637"/>
      <c r="G67" s="1637"/>
      <c r="H67" s="352"/>
      <c r="N67" s="1367"/>
      <c r="P67" s="1367"/>
      <c r="Q67" s="1637"/>
      <c r="R67" s="1637"/>
      <c r="S67" s="1367"/>
      <c r="T67" s="1367"/>
      <c r="U67" s="1367"/>
      <c r="V67" s="1367"/>
      <c r="W67" s="1637"/>
      <c r="X67" s="1367"/>
      <c r="Y67" s="1367"/>
      <c r="Z67" s="545"/>
      <c r="AA67" s="1367"/>
      <c r="AB67" s="1367"/>
      <c r="AC67" s="1367"/>
      <c r="AD67" s="1367"/>
      <c r="AE67" s="1367"/>
      <c r="AF67" s="1633"/>
      <c r="AG67" s="623"/>
      <c r="AH67" s="623"/>
      <c r="AI67" s="623"/>
      <c r="AJ67" s="623"/>
      <c r="AK67" s="1642">
        <v>11</v>
      </c>
    </row>
    <row s="1642" customFormat="1" customHeight="1" ht="11.549999999999999">
      <c r="A68" s="988"/>
      <c r="B68" s="988"/>
      <c r="C68" s="988"/>
      <c r="D68" s="988"/>
      <c r="E68" s="988"/>
      <c r="F68" s="1637"/>
      <c r="G68" s="1637"/>
      <c r="H68" s="352"/>
      <c r="N68" s="1367"/>
      <c r="P68" s="1367"/>
      <c r="Q68" s="1637"/>
      <c r="R68" s="1637"/>
      <c r="S68" s="1367"/>
      <c r="T68" s="1367"/>
      <c r="U68" s="1367"/>
      <c r="V68" s="1367"/>
      <c r="W68" s="1637"/>
      <c r="X68" s="1367"/>
      <c r="Y68" s="1367"/>
      <c r="Z68" s="545"/>
      <c r="AA68" s="1367"/>
      <c r="AB68" s="1367"/>
      <c r="AC68" s="1367"/>
      <c r="AD68" s="1367"/>
      <c r="AE68" s="1367"/>
      <c r="AF68" s="1633"/>
      <c r="AG68" s="623"/>
      <c r="AH68" s="623"/>
      <c r="AI68" s="623"/>
      <c r="AJ68" s="623"/>
      <c r="AK68" s="1642">
        <v>11</v>
      </c>
    </row>
    <row s="1642" customFormat="1" customHeight="1" ht="11.549999999999999">
      <c r="A69" s="988"/>
      <c r="B69" s="988"/>
      <c r="C69" s="988"/>
      <c r="D69" s="988"/>
      <c r="E69" s="988"/>
      <c r="F69" s="1637"/>
      <c r="G69" s="1637"/>
      <c r="H69" s="352"/>
      <c r="N69" s="1367"/>
      <c r="P69" s="1367"/>
      <c r="Q69" s="1637"/>
      <c r="R69" s="1637"/>
      <c r="S69" s="1367"/>
      <c r="T69" s="1367"/>
      <c r="U69" s="1367"/>
      <c r="V69" s="1367"/>
      <c r="W69" s="1637"/>
      <c r="X69" s="1367"/>
      <c r="Y69" s="1367"/>
      <c r="Z69" s="545"/>
      <c r="AA69" s="1367"/>
      <c r="AB69" s="1367"/>
      <c r="AC69" s="1367"/>
      <c r="AD69" s="1367"/>
      <c r="AE69" s="1367"/>
      <c r="AF69" s="1633"/>
      <c r="AG69" s="623"/>
      <c r="AH69" s="623"/>
      <c r="AI69" s="623"/>
      <c r="AJ69" s="623"/>
      <c r="AK69" s="1642">
        <v>11</v>
      </c>
    </row>
    <row s="1642" customFormat="1" customHeight="1" ht="11.549999999999999">
      <c r="A70" s="988"/>
      <c r="B70" s="988"/>
      <c r="C70" s="988"/>
      <c r="D70" s="988"/>
      <c r="E70" s="988"/>
      <c r="F70" s="1637"/>
      <c r="G70" s="1637"/>
      <c r="H70" s="352"/>
      <c r="N70" s="1367"/>
      <c r="P70" s="1367"/>
      <c r="Q70" s="1637"/>
      <c r="R70" s="1637"/>
      <c r="S70" s="1367"/>
      <c r="T70" s="1367"/>
      <c r="U70" s="1367"/>
      <c r="V70" s="1367"/>
      <c r="W70" s="1637"/>
      <c r="X70" s="1367"/>
      <c r="Y70" s="1367"/>
      <c r="Z70" s="545"/>
      <c r="AA70" s="1367"/>
      <c r="AB70" s="1367"/>
      <c r="AC70" s="1367"/>
      <c r="AD70" s="1367"/>
      <c r="AE70" s="1367"/>
      <c r="AF70" s="1633"/>
      <c r="AG70" s="623"/>
      <c r="AH70" s="623"/>
      <c r="AI70" s="623"/>
      <c r="AJ70" s="623"/>
      <c r="AK70" s="1642">
        <v>11</v>
      </c>
    </row>
    <row s="1642" customFormat="1" customHeight="1" ht="11.549999999999999">
      <c r="A71" s="988"/>
      <c r="B71" s="988"/>
      <c r="C71" s="988"/>
      <c r="D71" s="988"/>
      <c r="E71" s="988"/>
      <c r="F71" s="1637"/>
      <c r="G71" s="1637"/>
      <c r="H71" s="352"/>
      <c r="N71" s="1367"/>
      <c r="P71" s="1367"/>
      <c r="Q71" s="1637"/>
      <c r="R71" s="1637"/>
      <c r="S71" s="1367"/>
      <c r="T71" s="1367"/>
      <c r="U71" s="1367"/>
      <c r="V71" s="1367"/>
      <c r="W71" s="1637"/>
      <c r="X71" s="1367"/>
      <c r="Y71" s="1367"/>
      <c r="Z71" s="545"/>
      <c r="AA71" s="1367"/>
      <c r="AB71" s="1367"/>
      <c r="AC71" s="1367"/>
      <c r="AD71" s="1367"/>
      <c r="AE71" s="1367"/>
      <c r="AF71" s="1633"/>
      <c r="AG71" s="623"/>
      <c r="AH71" s="623"/>
      <c r="AI71" s="623"/>
      <c r="AJ71" s="623"/>
      <c r="AK71" s="1642">
        <v>11</v>
      </c>
    </row>
    <row s="1642" customFormat="1" customHeight="1" ht="11.549999999999999">
      <c r="A72" s="988"/>
      <c r="B72" s="988"/>
      <c r="C72" s="988"/>
      <c r="D72" s="988"/>
      <c r="E72" s="988"/>
      <c r="F72" s="1637"/>
      <c r="G72" s="1637"/>
      <c r="H72" s="352"/>
      <c r="N72" s="1367"/>
      <c r="P72" s="1367"/>
      <c r="Q72" s="1637"/>
      <c r="R72" s="1637"/>
      <c r="S72" s="1367"/>
      <c r="T72" s="1367"/>
      <c r="U72" s="1367"/>
      <c r="V72" s="1367"/>
      <c r="W72" s="1637"/>
      <c r="X72" s="1367"/>
      <c r="Y72" s="1367"/>
      <c r="Z72" s="545"/>
      <c r="AA72" s="1367"/>
      <c r="AB72" s="1367"/>
      <c r="AC72" s="1367"/>
      <c r="AD72" s="1367"/>
      <c r="AE72" s="1367"/>
      <c r="AF72" s="1633"/>
      <c r="AG72" s="623"/>
      <c r="AH72" s="623"/>
      <c r="AI72" s="623"/>
      <c r="AJ72" s="623"/>
      <c r="AK72" s="1642">
        <v>11</v>
      </c>
    </row>
    <row s="1642" customFormat="1" customHeight="1" ht="11.549999999999999">
      <c r="A73" s="988"/>
      <c r="B73" s="988"/>
      <c r="C73" s="988"/>
      <c r="D73" s="988"/>
      <c r="E73" s="988"/>
      <c r="F73" s="1637"/>
      <c r="G73" s="1637"/>
      <c r="H73" s="352"/>
      <c r="N73" s="1367"/>
      <c r="P73" s="1367"/>
      <c r="Q73" s="1637"/>
      <c r="R73" s="1637"/>
      <c r="S73" s="1367"/>
      <c r="T73" s="1367"/>
      <c r="U73" s="1367"/>
      <c r="V73" s="1367"/>
      <c r="W73" s="1637"/>
      <c r="X73" s="1367"/>
      <c r="Y73" s="1367"/>
      <c r="Z73" s="545"/>
      <c r="AA73" s="1367"/>
      <c r="AB73" s="1367"/>
      <c r="AC73" s="1367"/>
      <c r="AD73" s="1367"/>
      <c r="AE73" s="1367"/>
      <c r="AF73" s="1633"/>
      <c r="AG73" s="623"/>
      <c r="AH73" s="623"/>
      <c r="AI73" s="623"/>
      <c r="AJ73" s="623"/>
      <c r="AK73" s="1642">
        <v>11</v>
      </c>
    </row>
    <row s="1642" customFormat="1" customHeight="1" ht="11.549999999999999">
      <c r="A74" s="988"/>
      <c r="B74" s="988"/>
      <c r="C74" s="988"/>
      <c r="D74" s="988"/>
      <c r="E74" s="988"/>
      <c r="F74" s="1637"/>
      <c r="G74" s="1637"/>
      <c r="H74" s="352"/>
      <c r="N74" s="1367"/>
      <c r="P74" s="1367"/>
      <c r="Q74" s="1637"/>
      <c r="R74" s="1637"/>
      <c r="S74" s="1367"/>
      <c r="T74" s="1367"/>
      <c r="U74" s="1367"/>
      <c r="V74" s="1367"/>
      <c r="W74" s="1637"/>
      <c r="X74" s="1367"/>
      <c r="Y74" s="1367"/>
      <c r="Z74" s="545"/>
      <c r="AA74" s="1367"/>
      <c r="AB74" s="1367"/>
      <c r="AC74" s="1367"/>
      <c r="AD74" s="1367"/>
      <c r="AE74" s="1367"/>
      <c r="AF74" s="1633"/>
      <c r="AG74" s="623"/>
      <c r="AH74" s="623"/>
      <c r="AI74" s="623"/>
      <c r="AJ74" s="623"/>
      <c r="AK74" s="1642">
        <v>11</v>
      </c>
    </row>
    <row s="1642" customFormat="1" customHeight="1" ht="11.549999999999999">
      <c r="A75" s="988"/>
      <c r="B75" s="988"/>
      <c r="C75" s="988"/>
      <c r="D75" s="988"/>
      <c r="E75" s="988"/>
      <c r="F75" s="1637"/>
      <c r="G75" s="1637"/>
      <c r="H75" s="352"/>
      <c r="N75" s="1367"/>
      <c r="P75" s="1367"/>
      <c r="Q75" s="1637"/>
      <c r="R75" s="1637"/>
      <c r="S75" s="1367"/>
      <c r="T75" s="1367"/>
      <c r="U75" s="1367"/>
      <c r="V75" s="1367"/>
      <c r="W75" s="1637"/>
      <c r="X75" s="1367"/>
      <c r="Y75" s="1367"/>
      <c r="Z75" s="545"/>
      <c r="AA75" s="1367"/>
      <c r="AB75" s="1367"/>
      <c r="AC75" s="1367"/>
      <c r="AD75" s="1367"/>
      <c r="AE75" s="1367"/>
      <c r="AF75" s="1633"/>
      <c r="AG75" s="623"/>
      <c r="AH75" s="623"/>
      <c r="AI75" s="623"/>
      <c r="AJ75" s="623"/>
      <c r="AK75" s="1642">
        <v>11</v>
      </c>
    </row>
    <row s="1642" customFormat="1" customHeight="1" ht="11.549999999999999">
      <c r="A76" s="988"/>
      <c r="B76" s="988"/>
      <c r="C76" s="988"/>
      <c r="D76" s="988"/>
      <c r="E76" s="988"/>
      <c r="F76" s="1637"/>
      <c r="G76" s="1637"/>
      <c r="H76" s="352"/>
      <c r="N76" s="1367"/>
      <c r="P76" s="1367"/>
      <c r="Q76" s="1637"/>
      <c r="R76" s="1637"/>
      <c r="S76" s="1367"/>
      <c r="T76" s="1367"/>
      <c r="U76" s="1367"/>
      <c r="V76" s="1367"/>
      <c r="W76" s="1637"/>
      <c r="X76" s="1367"/>
      <c r="Y76" s="1367"/>
      <c r="Z76" s="545"/>
      <c r="AA76" s="1367"/>
      <c r="AB76" s="1367"/>
      <c r="AC76" s="1367"/>
      <c r="AD76" s="1367"/>
      <c r="AE76" s="1367"/>
      <c r="AF76" s="1633"/>
      <c r="AG76" s="623"/>
      <c r="AH76" s="623"/>
      <c r="AI76" s="623"/>
      <c r="AJ76" s="623"/>
      <c r="AK76" s="1642">
        <v>11</v>
      </c>
    </row>
    <row s="1642" customFormat="1" customHeight="1" ht="11.549999999999999">
      <c r="A77" s="988"/>
      <c r="B77" s="988"/>
      <c r="C77" s="988"/>
      <c r="D77" s="988"/>
      <c r="E77" s="988"/>
      <c r="F77" s="1637"/>
      <c r="G77" s="1637"/>
      <c r="H77" s="352"/>
      <c r="N77" s="1367"/>
      <c r="P77" s="1367"/>
      <c r="Q77" s="1637"/>
      <c r="R77" s="1637"/>
      <c r="S77" s="1367"/>
      <c r="T77" s="1367"/>
      <c r="U77" s="1367"/>
      <c r="V77" s="1367"/>
      <c r="W77" s="1637"/>
      <c r="X77" s="1367"/>
      <c r="Y77" s="1367"/>
      <c r="Z77" s="545"/>
      <c r="AA77" s="1367"/>
      <c r="AB77" s="1367"/>
      <c r="AC77" s="1367"/>
      <c r="AD77" s="1367"/>
      <c r="AE77" s="1367"/>
      <c r="AF77" s="1633"/>
      <c r="AG77" s="623"/>
      <c r="AH77" s="623"/>
      <c r="AI77" s="623"/>
      <c r="AJ77" s="623"/>
      <c r="AK77" s="1642">
        <v>11</v>
      </c>
    </row>
    <row s="1642" customFormat="1" customHeight="1" ht="11.549999999999999">
      <c r="A78" s="988"/>
      <c r="B78" s="988"/>
      <c r="C78" s="988"/>
      <c r="D78" s="988"/>
      <c r="E78" s="988"/>
      <c r="F78" s="1637"/>
      <c r="G78" s="1637"/>
      <c r="H78" s="352"/>
      <c r="N78" s="1367"/>
      <c r="P78" s="1367"/>
      <c r="Q78" s="1637"/>
      <c r="R78" s="1637"/>
      <c r="S78" s="1367"/>
      <c r="T78" s="1367"/>
      <c r="U78" s="1367"/>
      <c r="V78" s="1367"/>
      <c r="W78" s="1637"/>
      <c r="X78" s="1367"/>
      <c r="Y78" s="1367"/>
      <c r="Z78" s="545"/>
      <c r="AA78" s="1367"/>
      <c r="AB78" s="1367"/>
      <c r="AC78" s="1367"/>
      <c r="AD78" s="1367"/>
      <c r="AE78" s="1367"/>
      <c r="AF78" s="1633"/>
      <c r="AG78" s="623"/>
      <c r="AH78" s="623"/>
      <c r="AI78" s="623"/>
      <c r="AJ78" s="623"/>
      <c r="AK78" s="1642">
        <v>11</v>
      </c>
    </row>
    <row s="1642" customFormat="1" customHeight="1" ht="11.549999999999999">
      <c r="A79" s="988"/>
      <c r="B79" s="988"/>
      <c r="C79" s="988"/>
      <c r="D79" s="988"/>
      <c r="E79" s="988"/>
      <c r="F79" s="1637"/>
      <c r="G79" s="1637"/>
      <c r="H79" s="352"/>
      <c r="N79" s="1367"/>
      <c r="P79" s="1367"/>
      <c r="Q79" s="1637"/>
      <c r="R79" s="1637"/>
      <c r="S79" s="1367"/>
      <c r="T79" s="1367"/>
      <c r="U79" s="1367"/>
      <c r="V79" s="1367"/>
      <c r="W79" s="1637"/>
      <c r="X79" s="1367"/>
      <c r="Y79" s="1367"/>
      <c r="Z79" s="545"/>
      <c r="AA79" s="1367"/>
      <c r="AB79" s="1367"/>
      <c r="AC79" s="1367"/>
      <c r="AD79" s="1367"/>
      <c r="AE79" s="1367"/>
      <c r="AF79" s="1633"/>
      <c r="AG79" s="623"/>
      <c r="AH79" s="623"/>
      <c r="AI79" s="623"/>
      <c r="AJ79" s="623"/>
      <c r="AK79" s="1642">
        <v>11</v>
      </c>
    </row>
    <row s="1642" customFormat="1" customHeight="1" ht="11.549999999999999">
      <c r="A80" s="988"/>
      <c r="B80" s="988"/>
      <c r="C80" s="988"/>
      <c r="D80" s="988"/>
      <c r="E80" s="988"/>
      <c r="F80" s="1637"/>
      <c r="G80" s="1637"/>
      <c r="H80" s="352"/>
      <c r="N80" s="1367"/>
      <c r="P80" s="1367"/>
      <c r="Q80" s="1637"/>
      <c r="R80" s="1637"/>
      <c r="S80" s="1367"/>
      <c r="T80" s="1367"/>
      <c r="U80" s="1367"/>
      <c r="V80" s="1367"/>
      <c r="W80" s="1637"/>
      <c r="X80" s="1367"/>
      <c r="Y80" s="1367"/>
      <c r="Z80" s="545"/>
      <c r="AA80" s="1367"/>
      <c r="AB80" s="1367"/>
      <c r="AC80" s="1367"/>
      <c r="AD80" s="1367"/>
      <c r="AE80" s="1367"/>
      <c r="AF80" s="1633"/>
      <c r="AG80" s="623"/>
      <c r="AH80" s="623"/>
      <c r="AI80" s="623"/>
      <c r="AJ80" s="623"/>
      <c r="AK80" s="1642">
        <v>11</v>
      </c>
    </row>
    <row s="1642" customFormat="1" customHeight="1" ht="11.549999999999999">
      <c r="A81" s="988"/>
      <c r="B81" s="988"/>
      <c r="C81" s="988"/>
      <c r="D81" s="988"/>
      <c r="E81" s="988"/>
      <c r="F81" s="1637"/>
      <c r="G81" s="1637"/>
      <c r="H81" s="352"/>
      <c r="N81" s="1367"/>
      <c r="P81" s="1367"/>
      <c r="Q81" s="1637"/>
      <c r="R81" s="1637"/>
      <c r="S81" s="1367"/>
      <c r="T81" s="1367"/>
      <c r="U81" s="1367"/>
      <c r="V81" s="1367"/>
      <c r="W81" s="1637"/>
      <c r="X81" s="1367"/>
      <c r="Y81" s="1367"/>
      <c r="Z81" s="545"/>
      <c r="AA81" s="1367"/>
      <c r="AB81" s="1367"/>
      <c r="AC81" s="1367"/>
      <c r="AD81" s="1367"/>
      <c r="AE81" s="1367"/>
      <c r="AF81" s="1633"/>
      <c r="AG81" s="623"/>
      <c r="AH81" s="623"/>
      <c r="AI81" s="623"/>
      <c r="AJ81" s="623"/>
      <c r="AK81" s="1642">
        <v>11</v>
      </c>
    </row>
    <row s="1642" customFormat="1" customHeight="1" ht="11.549999999999999">
      <c r="A82" s="988"/>
      <c r="B82" s="988"/>
      <c r="C82" s="988"/>
      <c r="D82" s="988"/>
      <c r="E82" s="988"/>
      <c r="F82" s="1637"/>
      <c r="G82" s="1637"/>
      <c r="H82" s="352"/>
      <c r="N82" s="1367"/>
      <c r="P82" s="1367"/>
      <c r="Q82" s="1637"/>
      <c r="R82" s="1637"/>
      <c r="S82" s="1367"/>
      <c r="T82" s="1367"/>
      <c r="U82" s="1367"/>
      <c r="V82" s="1367"/>
      <c r="W82" s="1637"/>
      <c r="X82" s="1367"/>
      <c r="Y82" s="1367"/>
      <c r="Z82" s="545"/>
      <c r="AA82" s="1367"/>
      <c r="AB82" s="1367"/>
      <c r="AC82" s="1367"/>
      <c r="AD82" s="1367"/>
      <c r="AE82" s="1367"/>
      <c r="AF82" s="1633"/>
      <c r="AG82" s="623"/>
      <c r="AH82" s="623"/>
      <c r="AI82" s="623"/>
      <c r="AJ82" s="623"/>
      <c r="AK82" s="1642">
        <v>11</v>
      </c>
    </row>
    <row s="1642" customFormat="1" customHeight="1" ht="11.549999999999999">
      <c r="A83" s="988"/>
      <c r="B83" s="988"/>
      <c r="C83" s="988"/>
      <c r="D83" s="988"/>
      <c r="E83" s="988"/>
      <c r="F83" s="1637"/>
      <c r="G83" s="1637"/>
      <c r="H83" s="352"/>
      <c r="N83" s="1367"/>
      <c r="P83" s="1367"/>
      <c r="Q83" s="1637"/>
      <c r="R83" s="1637"/>
      <c r="S83" s="1367"/>
      <c r="T83" s="1367"/>
      <c r="U83" s="1367"/>
      <c r="V83" s="1367"/>
      <c r="W83" s="1637"/>
      <c r="X83" s="1367"/>
      <c r="Y83" s="1367"/>
      <c r="Z83" s="545"/>
      <c r="AA83" s="1367"/>
      <c r="AB83" s="1367"/>
      <c r="AC83" s="1367"/>
      <c r="AD83" s="1367"/>
      <c r="AE83" s="1367"/>
      <c r="AF83" s="1633"/>
      <c r="AG83" s="623"/>
      <c r="AH83" s="623"/>
      <c r="AI83" s="623"/>
      <c r="AJ83" s="623"/>
      <c r="AK83" s="1642">
        <v>11</v>
      </c>
    </row>
    <row s="1642" customFormat="1" customHeight="1" ht="11.549999999999999">
      <c r="A84" s="988"/>
      <c r="B84" s="988"/>
      <c r="C84" s="988"/>
      <c r="D84" s="988"/>
      <c r="E84" s="988"/>
      <c r="F84" s="1637"/>
      <c r="G84" s="1637"/>
      <c r="H84" s="352"/>
      <c r="N84" s="1367"/>
      <c r="P84" s="1367"/>
      <c r="Q84" s="1637"/>
      <c r="R84" s="1637"/>
      <c r="S84" s="1367"/>
      <c r="T84" s="1367"/>
      <c r="U84" s="1367"/>
      <c r="V84" s="1367"/>
      <c r="W84" s="1637"/>
      <c r="X84" s="1367"/>
      <c r="Y84" s="1367"/>
      <c r="Z84" s="545"/>
      <c r="AA84" s="1367"/>
      <c r="AB84" s="1367"/>
      <c r="AC84" s="1367"/>
      <c r="AD84" s="1367"/>
      <c r="AE84" s="1367"/>
      <c r="AF84" s="1633"/>
      <c r="AG84" s="623"/>
      <c r="AH84" s="623"/>
      <c r="AI84" s="623"/>
      <c r="AJ84" s="623"/>
      <c r="AK84" s="1642">
        <v>11</v>
      </c>
    </row>
    <row s="1642" customFormat="1" customHeight="1" ht="11.549999999999999">
      <c r="A85" s="988"/>
      <c r="B85" s="988"/>
      <c r="C85" s="988"/>
      <c r="D85" s="988"/>
      <c r="E85" s="988"/>
      <c r="F85" s="1637"/>
      <c r="G85" s="1637"/>
      <c r="H85" s="352"/>
      <c r="N85" s="1367"/>
      <c r="P85" s="1367"/>
      <c r="Q85" s="1637"/>
      <c r="R85" s="1637"/>
      <c r="S85" s="1367"/>
      <c r="T85" s="1367"/>
      <c r="U85" s="1367"/>
      <c r="V85" s="1367"/>
      <c r="W85" s="1637"/>
      <c r="X85" s="1367"/>
      <c r="Y85" s="1367"/>
      <c r="Z85" s="545"/>
      <c r="AA85" s="1367"/>
      <c r="AB85" s="1367"/>
      <c r="AC85" s="1367"/>
      <c r="AD85" s="1367"/>
      <c r="AE85" s="1367"/>
      <c r="AF85" s="1633"/>
      <c r="AG85" s="623"/>
      <c r="AH85" s="623"/>
      <c r="AI85" s="623"/>
      <c r="AJ85" s="623"/>
      <c r="AK85" s="1642">
        <v>11</v>
      </c>
    </row>
    <row s="1642" customFormat="1" customHeight="1" ht="11.549999999999999">
      <c r="A86" s="988"/>
      <c r="B86" s="988"/>
      <c r="C86" s="988"/>
      <c r="D86" s="988"/>
      <c r="E86" s="988"/>
      <c r="F86" s="1637"/>
      <c r="G86" s="1637"/>
      <c r="H86" s="352"/>
      <c r="N86" s="1367"/>
      <c r="P86" s="1367"/>
      <c r="Q86" s="1637"/>
      <c r="R86" s="1637"/>
      <c r="S86" s="1367"/>
      <c r="T86" s="1367"/>
      <c r="U86" s="1367"/>
      <c r="V86" s="1367"/>
      <c r="W86" s="1637"/>
      <c r="X86" s="1367"/>
      <c r="Y86" s="1367"/>
      <c r="Z86" s="545"/>
      <c r="AA86" s="1367"/>
      <c r="AB86" s="1367"/>
      <c r="AC86" s="1367"/>
      <c r="AD86" s="1367"/>
      <c r="AE86" s="1367"/>
      <c r="AF86" s="1633"/>
      <c r="AG86" s="623"/>
      <c r="AH86" s="623"/>
      <c r="AI86" s="623"/>
      <c r="AJ86" s="623"/>
      <c r="AK86" s="1642">
        <v>11</v>
      </c>
    </row>
    <row s="1642" customFormat="1" customHeight="1" ht="11.549999999999999">
      <c r="A87" s="988"/>
      <c r="B87" s="988"/>
      <c r="C87" s="988"/>
      <c r="D87" s="988"/>
      <c r="E87" s="988"/>
      <c r="F87" s="1637"/>
      <c r="G87" s="1637"/>
      <c r="H87" s="352"/>
      <c r="N87" s="1367"/>
      <c r="P87" s="1367"/>
      <c r="Q87" s="1637"/>
      <c r="R87" s="1637"/>
      <c r="S87" s="1367"/>
      <c r="T87" s="1367"/>
      <c r="U87" s="1367"/>
      <c r="V87" s="1367"/>
      <c r="W87" s="1637"/>
      <c r="X87" s="1367"/>
      <c r="Y87" s="1367"/>
      <c r="Z87" s="545"/>
      <c r="AA87" s="1367"/>
      <c r="AB87" s="1367"/>
      <c r="AC87" s="1367"/>
      <c r="AD87" s="1367"/>
      <c r="AE87" s="1367"/>
      <c r="AF87" s="1633"/>
      <c r="AG87" s="623"/>
      <c r="AH87" s="623"/>
      <c r="AI87" s="623"/>
      <c r="AJ87" s="623"/>
      <c r="AK87" s="1642">
        <v>11</v>
      </c>
    </row>
    <row s="1642" customFormat="1" customHeight="1" ht="11.549999999999999">
      <c r="A88" s="988"/>
      <c r="B88" s="988"/>
      <c r="C88" s="988"/>
      <c r="D88" s="988"/>
      <c r="E88" s="988"/>
      <c r="F88" s="1637"/>
      <c r="G88" s="1637"/>
      <c r="H88" s="352"/>
      <c r="N88" s="1367"/>
      <c r="P88" s="1367"/>
      <c r="Q88" s="1637"/>
      <c r="R88" s="1637"/>
      <c r="S88" s="1367"/>
      <c r="T88" s="1367"/>
      <c r="U88" s="1367"/>
      <c r="V88" s="1367"/>
      <c r="W88" s="1637"/>
      <c r="X88" s="1367"/>
      <c r="Y88" s="1367"/>
      <c r="Z88" s="545"/>
      <c r="AA88" s="1367"/>
      <c r="AB88" s="1367"/>
      <c r="AC88" s="1367"/>
      <c r="AD88" s="1367"/>
      <c r="AE88" s="1367"/>
      <c r="AF88" s="1633"/>
      <c r="AG88" s="623"/>
      <c r="AH88" s="623"/>
      <c r="AI88" s="623"/>
      <c r="AJ88" s="623"/>
      <c r="AK88" s="1642">
        <v>11</v>
      </c>
    </row>
    <row s="1642" customFormat="1" customHeight="1" ht="11.549999999999999">
      <c r="A89" s="988"/>
      <c r="B89" s="988"/>
      <c r="C89" s="988"/>
      <c r="D89" s="988"/>
      <c r="E89" s="988"/>
      <c r="F89" s="1637"/>
      <c r="G89" s="1637"/>
      <c r="H89" s="352"/>
      <c r="N89" s="1367"/>
      <c r="P89" s="1367"/>
      <c r="Q89" s="1637"/>
      <c r="R89" s="1637"/>
      <c r="S89" s="1367"/>
      <c r="T89" s="1367"/>
      <c r="U89" s="1367"/>
      <c r="V89" s="1367"/>
      <c r="W89" s="1637"/>
      <c r="X89" s="1367"/>
      <c r="Y89" s="1367"/>
      <c r="Z89" s="545"/>
      <c r="AA89" s="1367"/>
      <c r="AB89" s="1367"/>
      <c r="AC89" s="1367"/>
      <c r="AD89" s="1367"/>
      <c r="AE89" s="1367"/>
      <c r="AF89" s="1633"/>
      <c r="AG89" s="623"/>
      <c r="AH89" s="623"/>
      <c r="AI89" s="623"/>
      <c r="AJ89" s="623"/>
      <c r="AK89" s="1642">
        <v>11</v>
      </c>
    </row>
    <row s="1642" customFormat="1" customHeight="1" ht="11.549999999999999">
      <c r="A90" s="988"/>
      <c r="B90" s="988"/>
      <c r="C90" s="988"/>
      <c r="D90" s="988"/>
      <c r="E90" s="988"/>
      <c r="F90" s="1637"/>
      <c r="G90" s="1637"/>
      <c r="H90" s="352"/>
      <c r="N90" s="1367"/>
      <c r="P90" s="1367"/>
      <c r="Q90" s="1637"/>
      <c r="R90" s="1637"/>
      <c r="S90" s="1367"/>
      <c r="T90" s="1367"/>
      <c r="U90" s="1367"/>
      <c r="V90" s="1367"/>
      <c r="W90" s="1637"/>
      <c r="X90" s="1367"/>
      <c r="Y90" s="1367"/>
      <c r="Z90" s="545"/>
      <c r="AA90" s="1367"/>
      <c r="AB90" s="1367"/>
      <c r="AC90" s="1367"/>
      <c r="AD90" s="1367"/>
      <c r="AE90" s="1367"/>
      <c r="AF90" s="1633"/>
      <c r="AG90" s="623"/>
      <c r="AH90" s="623"/>
      <c r="AI90" s="623"/>
      <c r="AJ90" s="623"/>
      <c r="AK90" s="1642">
        <v>11</v>
      </c>
    </row>
    <row s="1642" customFormat="1" customHeight="1" ht="11.549999999999999">
      <c r="A91" s="988"/>
      <c r="B91" s="988"/>
      <c r="C91" s="988"/>
      <c r="D91" s="988"/>
      <c r="E91" s="988"/>
      <c r="F91" s="1637"/>
      <c r="G91" s="1637"/>
      <c r="H91" s="352"/>
      <c r="N91" s="1367"/>
      <c r="P91" s="1367"/>
      <c r="Q91" s="1637"/>
      <c r="R91" s="1637"/>
      <c r="S91" s="1367"/>
      <c r="T91" s="1367"/>
      <c r="U91" s="1367"/>
      <c r="V91" s="1367"/>
      <c r="W91" s="1637"/>
      <c r="X91" s="1367"/>
      <c r="Y91" s="1367"/>
      <c r="Z91" s="545"/>
      <c r="AA91" s="1367"/>
      <c r="AB91" s="1367"/>
      <c r="AC91" s="1367"/>
      <c r="AD91" s="1367"/>
      <c r="AE91" s="1367"/>
      <c r="AF91" s="1633"/>
      <c r="AG91" s="623"/>
      <c r="AH91" s="623"/>
      <c r="AI91" s="623"/>
      <c r="AJ91" s="623"/>
      <c r="AK91" s="1642">
        <v>11</v>
      </c>
    </row>
    <row s="1642" customFormat="1" customHeight="1" ht="11.549999999999999">
      <c r="A92" s="988"/>
      <c r="B92" s="988"/>
      <c r="C92" s="988"/>
      <c r="D92" s="988"/>
      <c r="E92" s="988"/>
      <c r="F92" s="1637"/>
      <c r="G92" s="1637"/>
      <c r="H92" s="352"/>
      <c r="N92" s="1367"/>
      <c r="P92" s="1367"/>
      <c r="Q92" s="1637"/>
      <c r="R92" s="1637"/>
      <c r="S92" s="1367"/>
      <c r="T92" s="1367"/>
      <c r="U92" s="1367"/>
      <c r="V92" s="1367"/>
      <c r="W92" s="1637"/>
      <c r="X92" s="1367"/>
      <c r="Y92" s="1367"/>
      <c r="Z92" s="545"/>
      <c r="AA92" s="1367"/>
      <c r="AB92" s="1367"/>
      <c r="AC92" s="1367"/>
      <c r="AD92" s="1367"/>
      <c r="AE92" s="1367"/>
      <c r="AF92" s="1633"/>
      <c r="AG92" s="623"/>
      <c r="AH92" s="623"/>
      <c r="AI92" s="623"/>
      <c r="AJ92" s="623"/>
      <c r="AK92" s="1642">
        <v>11</v>
      </c>
    </row>
    <row s="1642" customFormat="1" customHeight="1" ht="11.549999999999999">
      <c r="A93" s="988"/>
      <c r="B93" s="988"/>
      <c r="C93" s="988"/>
      <c r="D93" s="988"/>
      <c r="E93" s="988"/>
      <c r="F93" s="1637"/>
      <c r="G93" s="1637"/>
      <c r="H93" s="352"/>
      <c r="N93" s="1367"/>
      <c r="P93" s="1367"/>
      <c r="Q93" s="1637"/>
      <c r="R93" s="1637"/>
      <c r="S93" s="1367"/>
      <c r="T93" s="1367"/>
      <c r="U93" s="1367"/>
      <c r="V93" s="1367"/>
      <c r="W93" s="1637"/>
      <c r="X93" s="1367"/>
      <c r="Y93" s="1367"/>
      <c r="Z93" s="545"/>
      <c r="AA93" s="1367"/>
      <c r="AB93" s="1367"/>
      <c r="AC93" s="1367"/>
      <c r="AD93" s="1367"/>
      <c r="AE93" s="1367"/>
      <c r="AF93" s="1633"/>
      <c r="AG93" s="623"/>
      <c r="AH93" s="623"/>
      <c r="AI93" s="623"/>
      <c r="AJ93" s="623"/>
      <c r="AK93" s="1642">
        <v>11</v>
      </c>
    </row>
    <row s="1642" customFormat="1" customHeight="1" ht="11.549999999999999">
      <c r="A94" s="988"/>
      <c r="B94" s="988"/>
      <c r="C94" s="988"/>
      <c r="D94" s="988"/>
      <c r="E94" s="988"/>
      <c r="F94" s="1637"/>
      <c r="G94" s="1637"/>
      <c r="H94" s="352"/>
      <c r="N94" s="1367"/>
      <c r="P94" s="1367"/>
      <c r="Q94" s="1637"/>
      <c r="R94" s="1637"/>
      <c r="S94" s="1367"/>
      <c r="T94" s="1367"/>
      <c r="U94" s="1367"/>
      <c r="V94" s="1367"/>
      <c r="W94" s="1637"/>
      <c r="X94" s="1367"/>
      <c r="Y94" s="1367"/>
      <c r="Z94" s="545"/>
      <c r="AA94" s="1367"/>
      <c r="AB94" s="1367"/>
      <c r="AC94" s="1367"/>
      <c r="AD94" s="1367"/>
      <c r="AE94" s="1367"/>
      <c r="AF94" s="1633"/>
      <c r="AG94" s="623"/>
      <c r="AH94" s="623"/>
      <c r="AI94" s="623"/>
      <c r="AJ94" s="623"/>
      <c r="AK94" s="1642">
        <v>11</v>
      </c>
    </row>
    <row s="1642" customFormat="1" customHeight="1" ht="11.549999999999999">
      <c r="A95" s="988"/>
      <c r="B95" s="988"/>
      <c r="C95" s="988"/>
      <c r="D95" s="988"/>
      <c r="E95" s="988"/>
      <c r="F95" s="1637"/>
      <c r="G95" s="1637"/>
      <c r="H95" s="352"/>
      <c r="N95" s="1367"/>
      <c r="P95" s="1367"/>
      <c r="Q95" s="1637"/>
      <c r="R95" s="1637"/>
      <c r="S95" s="1367"/>
      <c r="T95" s="1367"/>
      <c r="U95" s="1367"/>
      <c r="V95" s="1367"/>
      <c r="W95" s="1637"/>
      <c r="X95" s="1367"/>
      <c r="Y95" s="1367"/>
      <c r="Z95" s="545"/>
      <c r="AA95" s="1367"/>
      <c r="AB95" s="1367"/>
      <c r="AC95" s="1367"/>
      <c r="AD95" s="1367"/>
      <c r="AE95" s="1367"/>
      <c r="AF95" s="1633"/>
      <c r="AG95" s="623"/>
      <c r="AH95" s="623"/>
      <c r="AI95" s="623"/>
      <c r="AJ95" s="623"/>
      <c r="AK95" s="1642">
        <v>11</v>
      </c>
    </row>
    <row s="1642" customFormat="1" customHeight="1" ht="11.549999999999999">
      <c r="A96" s="988"/>
      <c r="B96" s="988"/>
      <c r="C96" s="988"/>
      <c r="D96" s="988"/>
      <c r="E96" s="988"/>
      <c r="F96" s="1637"/>
      <c r="G96" s="1637"/>
      <c r="H96" s="352"/>
      <c r="N96" s="1367"/>
      <c r="P96" s="1367"/>
      <c r="Q96" s="1637"/>
      <c r="R96" s="1637"/>
      <c r="S96" s="1367"/>
      <c r="T96" s="1367"/>
      <c r="U96" s="1367"/>
      <c r="V96" s="1367"/>
      <c r="W96" s="1637"/>
      <c r="X96" s="1367"/>
      <c r="Y96" s="1367"/>
      <c r="Z96" s="545"/>
      <c r="AA96" s="1367"/>
      <c r="AB96" s="1367"/>
      <c r="AC96" s="1367"/>
      <c r="AD96" s="1367"/>
      <c r="AE96" s="1367"/>
      <c r="AF96" s="1633"/>
      <c r="AG96" s="623"/>
      <c r="AH96" s="623"/>
      <c r="AI96" s="623"/>
      <c r="AJ96" s="623"/>
      <c r="AK96" s="1642">
        <v>11</v>
      </c>
    </row>
    <row s="1642" customFormat="1" customHeight="1" ht="11.549999999999999">
      <c r="A97" s="988"/>
      <c r="B97" s="988"/>
      <c r="C97" s="988"/>
      <c r="D97" s="988"/>
      <c r="E97" s="988"/>
      <c r="F97" s="1637"/>
      <c r="G97" s="1637"/>
      <c r="H97" s="352"/>
      <c r="N97" s="1367"/>
      <c r="P97" s="1367"/>
      <c r="Q97" s="1637"/>
      <c r="R97" s="1637"/>
      <c r="S97" s="1367"/>
      <c r="T97" s="1367"/>
      <c r="U97" s="1367"/>
      <c r="V97" s="1367"/>
      <c r="W97" s="1637"/>
      <c r="X97" s="1367"/>
      <c r="Y97" s="1367"/>
      <c r="Z97" s="545"/>
      <c r="AA97" s="1367"/>
      <c r="AB97" s="1367"/>
      <c r="AC97" s="1367"/>
      <c r="AD97" s="1367"/>
      <c r="AE97" s="1367"/>
      <c r="AF97" s="1633"/>
      <c r="AG97" s="623"/>
      <c r="AH97" s="623"/>
      <c r="AI97" s="623"/>
      <c r="AJ97" s="623"/>
      <c r="AK97" s="1642">
        <v>11</v>
      </c>
    </row>
    <row s="1642" customFormat="1" customHeight="1" ht="11.549999999999999">
      <c r="A98" s="988"/>
      <c r="B98" s="988"/>
      <c r="C98" s="988"/>
      <c r="D98" s="988"/>
      <c r="E98" s="988"/>
      <c r="F98" s="1637"/>
      <c r="G98" s="1637"/>
      <c r="H98" s="352"/>
      <c r="N98" s="1367"/>
      <c r="P98" s="1367"/>
      <c r="Q98" s="1637"/>
      <c r="R98" s="1637"/>
      <c r="S98" s="1367"/>
      <c r="T98" s="1367"/>
      <c r="U98" s="1367"/>
      <c r="V98" s="1367"/>
      <c r="W98" s="1637"/>
      <c r="X98" s="1367"/>
      <c r="Y98" s="1367"/>
      <c r="Z98" s="545"/>
      <c r="AA98" s="1367"/>
      <c r="AB98" s="1367"/>
      <c r="AC98" s="1367"/>
      <c r="AD98" s="1367"/>
      <c r="AE98" s="1367"/>
      <c r="AF98" s="1633"/>
      <c r="AG98" s="623"/>
      <c r="AH98" s="623"/>
      <c r="AI98" s="623"/>
      <c r="AJ98" s="623"/>
      <c r="AK98" s="1642">
        <v>11</v>
      </c>
    </row>
    <row s="1642" customFormat="1" customHeight="1" ht="11.549999999999999">
      <c r="A99" s="988"/>
      <c r="B99" s="988"/>
      <c r="C99" s="988"/>
      <c r="D99" s="988"/>
      <c r="E99" s="988"/>
      <c r="F99" s="1637"/>
      <c r="G99" s="1637"/>
      <c r="H99" s="352"/>
      <c r="N99" s="1367"/>
      <c r="P99" s="1367"/>
      <c r="Q99" s="1637"/>
      <c r="R99" s="1637"/>
      <c r="S99" s="1367"/>
      <c r="T99" s="1367"/>
      <c r="U99" s="1367"/>
      <c r="V99" s="1367"/>
      <c r="W99" s="1637"/>
      <c r="X99" s="1367"/>
      <c r="Y99" s="1367"/>
      <c r="Z99" s="545"/>
      <c r="AA99" s="1367"/>
      <c r="AB99" s="1367"/>
      <c r="AC99" s="1367"/>
      <c r="AD99" s="1367"/>
      <c r="AE99" s="1367"/>
      <c r="AF99" s="1633"/>
      <c r="AG99" s="623"/>
      <c r="AH99" s="623"/>
      <c r="AI99" s="623"/>
      <c r="AJ99" s="623"/>
      <c r="AK99" s="1642">
        <v>11</v>
      </c>
    </row>
    <row s="1642" customFormat="1" customHeight="1" ht="11.549999999999999">
      <c r="A100" s="988"/>
      <c r="B100" s="988"/>
      <c r="C100" s="988"/>
      <c r="D100" s="988"/>
      <c r="E100" s="988"/>
      <c r="F100" s="1637"/>
      <c r="G100" s="1637"/>
      <c r="H100" s="352"/>
      <c r="N100" s="1367"/>
      <c r="P100" s="1367"/>
      <c r="Q100" s="1637"/>
      <c r="R100" s="1637"/>
      <c r="S100" s="1367"/>
      <c r="T100" s="1367"/>
      <c r="U100" s="1367"/>
      <c r="V100" s="1367"/>
      <c r="W100" s="1637"/>
      <c r="X100" s="1367"/>
      <c r="Y100" s="1367"/>
      <c r="Z100" s="545"/>
      <c r="AA100" s="1367"/>
      <c r="AB100" s="1367"/>
      <c r="AC100" s="1367"/>
      <c r="AD100" s="1367"/>
      <c r="AE100" s="1367"/>
      <c r="AF100" s="1633"/>
      <c r="AG100" s="623"/>
      <c r="AH100" s="623"/>
      <c r="AI100" s="623"/>
      <c r="AJ100" s="623"/>
      <c r="AK100" s="1642">
        <v>11</v>
      </c>
    </row>
    <row s="1642" customFormat="1" customHeight="1" ht="11.549999999999999">
      <c r="A101" s="988"/>
      <c r="B101" s="988"/>
      <c r="C101" s="988"/>
      <c r="D101" s="988"/>
      <c r="E101" s="988"/>
      <c r="F101" s="1637"/>
      <c r="G101" s="1637"/>
      <c r="H101" s="352"/>
      <c r="N101" s="1367"/>
      <c r="P101" s="1367"/>
      <c r="Q101" s="1637"/>
      <c r="R101" s="1637"/>
      <c r="S101" s="1367"/>
      <c r="T101" s="1367"/>
      <c r="U101" s="1367"/>
      <c r="V101" s="1367"/>
      <c r="W101" s="1637"/>
      <c r="X101" s="1367"/>
      <c r="Y101" s="1367"/>
      <c r="Z101" s="545"/>
      <c r="AA101" s="1367"/>
      <c r="AB101" s="1367"/>
      <c r="AC101" s="1367"/>
      <c r="AD101" s="1367"/>
      <c r="AE101" s="1367"/>
      <c r="AF101" s="1633"/>
      <c r="AG101" s="623"/>
      <c r="AH101" s="623"/>
      <c r="AI101" s="623"/>
      <c r="AJ101" s="623"/>
      <c r="AK101" s="1642">
        <v>11</v>
      </c>
    </row>
    <row s="1642" customFormat="1" customHeight="1" ht="11.549999999999999">
      <c r="A102" s="988"/>
      <c r="B102" s="988"/>
      <c r="C102" s="988"/>
      <c r="D102" s="988"/>
      <c r="E102" s="988"/>
      <c r="F102" s="1637"/>
      <c r="G102" s="1637"/>
      <c r="H102" s="352"/>
      <c r="N102" s="1367"/>
      <c r="P102" s="1367"/>
      <c r="Q102" s="1637"/>
      <c r="R102" s="1637"/>
      <c r="S102" s="1367"/>
      <c r="T102" s="1367"/>
      <c r="U102" s="1367"/>
      <c r="V102" s="1367"/>
      <c r="W102" s="1637"/>
      <c r="X102" s="1367"/>
      <c r="Y102" s="1367"/>
      <c r="Z102" s="545"/>
      <c r="AA102" s="1367"/>
      <c r="AB102" s="1367"/>
      <c r="AC102" s="1367"/>
      <c r="AD102" s="1367"/>
      <c r="AE102" s="1367"/>
      <c r="AF102" s="1633"/>
      <c r="AG102" s="623"/>
      <c r="AH102" s="623"/>
      <c r="AI102" s="623"/>
      <c r="AJ102" s="623"/>
      <c r="AK102" s="1642">
        <v>11</v>
      </c>
    </row>
    <row s="1642" customFormat="1" customHeight="1" ht="11.549999999999999">
      <c r="A103" s="988"/>
      <c r="B103" s="988"/>
      <c r="C103" s="988"/>
      <c r="D103" s="988"/>
      <c r="E103" s="988"/>
      <c r="F103" s="1637"/>
      <c r="G103" s="1637"/>
      <c r="H103" s="352"/>
      <c r="N103" s="1367"/>
      <c r="P103" s="1367"/>
      <c r="Q103" s="1637"/>
      <c r="R103" s="1637"/>
      <c r="S103" s="1367"/>
      <c r="T103" s="1367"/>
      <c r="U103" s="1367"/>
      <c r="V103" s="1367"/>
      <c r="W103" s="1637"/>
      <c r="X103" s="1367"/>
      <c r="Y103" s="1367"/>
      <c r="Z103" s="545"/>
      <c r="AA103" s="1367"/>
      <c r="AB103" s="1367"/>
      <c r="AC103" s="1367"/>
      <c r="AD103" s="1367"/>
      <c r="AE103" s="1367"/>
      <c r="AF103" s="1633"/>
      <c r="AG103" s="623"/>
      <c r="AH103" s="623"/>
      <c r="AI103" s="623"/>
      <c r="AJ103" s="623"/>
      <c r="AK103" s="1642">
        <v>11</v>
      </c>
    </row>
    <row s="1642" customFormat="1" customHeight="1" ht="11.549999999999999">
      <c r="A104" s="988"/>
      <c r="B104" s="988"/>
      <c r="C104" s="988"/>
      <c r="D104" s="988"/>
      <c r="E104" s="988"/>
      <c r="F104" s="1637"/>
      <c r="G104" s="1637"/>
      <c r="H104" s="352"/>
      <c r="N104" s="1367"/>
      <c r="P104" s="1367"/>
      <c r="Q104" s="1637"/>
      <c r="R104" s="1637"/>
      <c r="S104" s="1367"/>
      <c r="T104" s="1367"/>
      <c r="U104" s="1367"/>
      <c r="V104" s="1367"/>
      <c r="W104" s="1637"/>
      <c r="X104" s="1367"/>
      <c r="Y104" s="1367"/>
      <c r="Z104" s="545"/>
      <c r="AA104" s="1367"/>
      <c r="AB104" s="1367"/>
      <c r="AC104" s="1367"/>
      <c r="AD104" s="1367"/>
      <c r="AE104" s="1367"/>
      <c r="AF104" s="1633"/>
      <c r="AG104" s="623"/>
      <c r="AH104" s="623"/>
      <c r="AI104" s="623"/>
      <c r="AJ104" s="623"/>
      <c r="AK104" s="1642">
        <v>11</v>
      </c>
    </row>
    <row s="1642" customFormat="1" customHeight="1" ht="11.549999999999999">
      <c r="A105" s="988"/>
      <c r="B105" s="988"/>
      <c r="C105" s="988"/>
      <c r="D105" s="988"/>
      <c r="E105" s="988"/>
      <c r="F105" s="1637"/>
      <c r="G105" s="1637"/>
      <c r="H105" s="352"/>
      <c r="N105" s="1367"/>
      <c r="P105" s="1367"/>
      <c r="Q105" s="1637"/>
      <c r="R105" s="1637"/>
      <c r="S105" s="1367"/>
      <c r="T105" s="1367"/>
      <c r="U105" s="1367"/>
      <c r="V105" s="1367"/>
      <c r="W105" s="1637"/>
      <c r="X105" s="1367"/>
      <c r="Y105" s="1367"/>
      <c r="Z105" s="545"/>
      <c r="AA105" s="1367"/>
      <c r="AB105" s="1367"/>
      <c r="AC105" s="1367"/>
      <c r="AD105" s="1367"/>
      <c r="AE105" s="1367"/>
      <c r="AF105" s="1633"/>
      <c r="AG105" s="623"/>
      <c r="AH105" s="623"/>
      <c r="AI105" s="623"/>
      <c r="AJ105" s="623"/>
      <c r="AK105" s="1642">
        <v>11</v>
      </c>
    </row>
    <row s="1642" customFormat="1" customHeight="1" ht="11.549999999999999">
      <c r="A106" s="988"/>
      <c r="B106" s="988"/>
      <c r="C106" s="988"/>
      <c r="D106" s="988"/>
      <c r="E106" s="988"/>
      <c r="F106" s="1637"/>
      <c r="G106" s="1637"/>
      <c r="H106" s="352"/>
      <c r="N106" s="1367"/>
      <c r="P106" s="1367"/>
      <c r="Q106" s="1637"/>
      <c r="R106" s="1637"/>
      <c r="S106" s="1367"/>
      <c r="T106" s="1367"/>
      <c r="U106" s="1367"/>
      <c r="V106" s="1367"/>
      <c r="W106" s="1637"/>
      <c r="X106" s="1367"/>
      <c r="Y106" s="1367"/>
      <c r="Z106" s="545"/>
      <c r="AA106" s="1367"/>
      <c r="AB106" s="1367"/>
      <c r="AC106" s="1367"/>
      <c r="AD106" s="1367"/>
      <c r="AE106" s="1367"/>
      <c r="AF106" s="1633"/>
      <c r="AG106" s="623"/>
      <c r="AH106" s="623"/>
      <c r="AI106" s="623"/>
      <c r="AJ106" s="623"/>
      <c r="AK106" s="1642">
        <v>11</v>
      </c>
    </row>
    <row s="1642" customFormat="1" customHeight="1" ht="11.549999999999999">
      <c r="A107" s="988"/>
      <c r="B107" s="988"/>
      <c r="C107" s="988"/>
      <c r="D107" s="988"/>
      <c r="E107" s="988"/>
      <c r="F107" s="1637"/>
      <c r="G107" s="1637"/>
      <c r="H107" s="352"/>
      <c r="N107" s="1367"/>
      <c r="P107" s="1367"/>
      <c r="Q107" s="1637"/>
      <c r="R107" s="1637"/>
      <c r="S107" s="1367"/>
      <c r="T107" s="1367"/>
      <c r="U107" s="1367"/>
      <c r="V107" s="1367"/>
      <c r="W107" s="1637"/>
      <c r="X107" s="1367"/>
      <c r="Y107" s="1367"/>
      <c r="Z107" s="545"/>
      <c r="AA107" s="1367"/>
      <c r="AB107" s="1367"/>
      <c r="AC107" s="1367"/>
      <c r="AD107" s="1367"/>
      <c r="AE107" s="1367"/>
      <c r="AF107" s="1633"/>
      <c r="AG107" s="623"/>
      <c r="AH107" s="623"/>
      <c r="AI107" s="623"/>
      <c r="AJ107" s="623"/>
      <c r="AK107" s="1642">
        <v>11</v>
      </c>
    </row>
    <row s="1642" customFormat="1" customHeight="1" ht="11.549999999999999">
      <c r="A108" s="988"/>
      <c r="B108" s="988"/>
      <c r="C108" s="988"/>
      <c r="D108" s="988"/>
      <c r="E108" s="988"/>
      <c r="F108" s="1637"/>
      <c r="G108" s="1637"/>
      <c r="H108" s="352"/>
      <c r="N108" s="1367"/>
      <c r="P108" s="1367"/>
      <c r="Q108" s="1637"/>
      <c r="R108" s="1637"/>
      <c r="S108" s="1367"/>
      <c r="T108" s="1367"/>
      <c r="U108" s="1367"/>
      <c r="V108" s="1367"/>
      <c r="W108" s="1637"/>
      <c r="X108" s="1367"/>
      <c r="Y108" s="1367"/>
      <c r="Z108" s="545"/>
      <c r="AA108" s="1367"/>
      <c r="AB108" s="1367"/>
      <c r="AC108" s="1367"/>
      <c r="AD108" s="1367"/>
      <c r="AE108" s="1367"/>
      <c r="AF108" s="1633"/>
      <c r="AG108" s="623"/>
      <c r="AH108" s="623"/>
      <c r="AI108" s="623"/>
      <c r="AJ108" s="623"/>
      <c r="AK108" s="1642">
        <v>11</v>
      </c>
    </row>
    <row s="1642" customFormat="1" customHeight="1" ht="11.549999999999999">
      <c r="A109" s="988"/>
      <c r="B109" s="988"/>
      <c r="C109" s="988"/>
      <c r="D109" s="988"/>
      <c r="E109" s="988"/>
      <c r="F109" s="1637"/>
      <c r="G109" s="1637"/>
      <c r="H109" s="352"/>
      <c r="N109" s="1367"/>
      <c r="P109" s="1367"/>
      <c r="Q109" s="1637"/>
      <c r="R109" s="1637"/>
      <c r="S109" s="1367"/>
      <c r="T109" s="1367"/>
      <c r="U109" s="1367"/>
      <c r="V109" s="1367"/>
      <c r="W109" s="1637"/>
      <c r="X109" s="1367"/>
      <c r="Y109" s="1367"/>
      <c r="Z109" s="545"/>
      <c r="AA109" s="1367"/>
      <c r="AB109" s="1367"/>
      <c r="AC109" s="1367"/>
      <c r="AD109" s="1367"/>
      <c r="AE109" s="1367"/>
      <c r="AF109" s="1633"/>
      <c r="AG109" s="623"/>
      <c r="AH109" s="623"/>
      <c r="AI109" s="623"/>
      <c r="AJ109" s="623"/>
      <c r="AK109" s="1642">
        <v>11</v>
      </c>
    </row>
    <row s="1642" customFormat="1" customHeight="1" ht="11.549999999999999">
      <c r="A110" s="988"/>
      <c r="B110" s="988"/>
      <c r="C110" s="988"/>
      <c r="D110" s="988"/>
      <c r="E110" s="988"/>
      <c r="F110" s="1637"/>
      <c r="G110" s="1637"/>
      <c r="H110" s="352"/>
      <c r="N110" s="1367"/>
      <c r="P110" s="1367"/>
      <c r="Q110" s="1637"/>
      <c r="R110" s="1637"/>
      <c r="S110" s="1367"/>
      <c r="T110" s="1367"/>
      <c r="U110" s="1367"/>
      <c r="V110" s="1367"/>
      <c r="W110" s="1637"/>
      <c r="X110" s="1367"/>
      <c r="Y110" s="1367"/>
      <c r="Z110" s="545"/>
      <c r="AA110" s="1367"/>
      <c r="AB110" s="1367"/>
      <c r="AC110" s="1367"/>
      <c r="AD110" s="1367"/>
      <c r="AE110" s="1367"/>
      <c r="AF110" s="1633"/>
      <c r="AG110" s="623"/>
      <c r="AH110" s="623"/>
      <c r="AI110" s="623"/>
      <c r="AJ110" s="623"/>
      <c r="AK110" s="1642">
        <v>11</v>
      </c>
    </row>
    <row s="1642" customFormat="1" customHeight="1" ht="11.549999999999999">
      <c r="A111" s="988"/>
      <c r="B111" s="988"/>
      <c r="C111" s="988"/>
      <c r="D111" s="988"/>
      <c r="E111" s="988"/>
      <c r="F111" s="1637"/>
      <c r="G111" s="1637"/>
      <c r="H111" s="352"/>
      <c r="N111" s="1367"/>
      <c r="P111" s="1367"/>
      <c r="Q111" s="1637"/>
      <c r="R111" s="1637"/>
      <c r="S111" s="1367"/>
      <c r="T111" s="1367"/>
      <c r="U111" s="1367"/>
      <c r="V111" s="1367"/>
      <c r="W111" s="1637"/>
      <c r="X111" s="1367"/>
      <c r="Y111" s="1367"/>
      <c r="Z111" s="545"/>
      <c r="AA111" s="1367"/>
      <c r="AB111" s="1367"/>
      <c r="AC111" s="1367"/>
      <c r="AD111" s="1367"/>
      <c r="AE111" s="1367"/>
      <c r="AF111" s="1633"/>
      <c r="AG111" s="623"/>
      <c r="AH111" s="623"/>
      <c r="AI111" s="623"/>
      <c r="AJ111" s="623"/>
      <c r="AK111" s="1642">
        <v>11</v>
      </c>
    </row>
    <row s="1642" customFormat="1" customHeight="1" ht="11.549999999999999">
      <c r="A112" s="988"/>
      <c r="B112" s="988"/>
      <c r="C112" s="988"/>
      <c r="D112" s="988"/>
      <c r="E112" s="988"/>
      <c r="F112" s="1637"/>
      <c r="G112" s="1637"/>
      <c r="H112" s="352"/>
      <c r="N112" s="1367"/>
      <c r="P112" s="1367"/>
      <c r="Q112" s="1637"/>
      <c r="R112" s="1637"/>
      <c r="S112" s="1367"/>
      <c r="T112" s="1367"/>
      <c r="U112" s="1367"/>
      <c r="V112" s="1367"/>
      <c r="W112" s="1637"/>
      <c r="X112" s="1367"/>
      <c r="Y112" s="1367"/>
      <c r="Z112" s="545"/>
      <c r="AA112" s="1367"/>
      <c r="AB112" s="1367"/>
      <c r="AC112" s="1367"/>
      <c r="AD112" s="1367"/>
      <c r="AE112" s="1367"/>
      <c r="AF112" s="1633"/>
      <c r="AG112" s="623"/>
      <c r="AH112" s="623"/>
      <c r="AI112" s="623"/>
      <c r="AJ112" s="623"/>
      <c r="AK112" s="1642">
        <v>11</v>
      </c>
    </row>
    <row s="1642" customFormat="1" customHeight="1" ht="11.549999999999999">
      <c r="A113" s="988"/>
      <c r="B113" s="988"/>
      <c r="C113" s="988"/>
      <c r="D113" s="988"/>
      <c r="E113" s="988"/>
      <c r="F113" s="1637"/>
      <c r="G113" s="1637"/>
      <c r="H113" s="352"/>
      <c r="N113" s="1367"/>
      <c r="P113" s="1367"/>
      <c r="Q113" s="1637"/>
      <c r="R113" s="1637"/>
      <c r="S113" s="1367"/>
      <c r="T113" s="1367"/>
      <c r="U113" s="1367"/>
      <c r="V113" s="1367"/>
      <c r="W113" s="1637"/>
      <c r="X113" s="1367"/>
      <c r="Y113" s="1367"/>
      <c r="Z113" s="545"/>
      <c r="AA113" s="1367"/>
      <c r="AB113" s="1367"/>
      <c r="AC113" s="1367"/>
      <c r="AD113" s="1367"/>
      <c r="AE113" s="1367"/>
      <c r="AF113" s="1633"/>
      <c r="AG113" s="623"/>
      <c r="AH113" s="623"/>
      <c r="AI113" s="623"/>
      <c r="AJ113" s="623"/>
      <c r="AK113" s="1642">
        <v>11</v>
      </c>
    </row>
    <row s="1642" customFormat="1" customHeight="1" ht="11.549999999999999">
      <c r="A114" s="988"/>
      <c r="B114" s="988"/>
      <c r="C114" s="988"/>
      <c r="D114" s="988"/>
      <c r="E114" s="988"/>
      <c r="F114" s="1637"/>
      <c r="G114" s="1637"/>
      <c r="H114" s="352"/>
      <c r="N114" s="1367"/>
      <c r="P114" s="1367"/>
      <c r="Q114" s="1637"/>
      <c r="R114" s="1637"/>
      <c r="S114" s="1367"/>
      <c r="T114" s="1367"/>
      <c r="U114" s="1367"/>
      <c r="V114" s="1367"/>
      <c r="W114" s="1637"/>
      <c r="X114" s="1367"/>
      <c r="Y114" s="1367"/>
      <c r="Z114" s="545"/>
      <c r="AA114" s="1367"/>
      <c r="AB114" s="1367"/>
      <c r="AC114" s="1367"/>
      <c r="AD114" s="1367"/>
      <c r="AE114" s="1367"/>
      <c r="AF114" s="1633"/>
      <c r="AG114" s="623"/>
      <c r="AH114" s="623"/>
      <c r="AI114" s="623"/>
      <c r="AJ114" s="623"/>
      <c r="AK114" s="1642">
        <v>11</v>
      </c>
    </row>
    <row s="1642" customFormat="1" customHeight="1" ht="11.549999999999999">
      <c r="A115" s="988"/>
      <c r="B115" s="988"/>
      <c r="C115" s="988"/>
      <c r="D115" s="988"/>
      <c r="E115" s="988"/>
      <c r="F115" s="1637"/>
      <c r="G115" s="1637"/>
      <c r="H115" s="352"/>
      <c r="N115" s="1367"/>
      <c r="P115" s="1367"/>
      <c r="Q115" s="1637"/>
      <c r="R115" s="1637"/>
      <c r="S115" s="1367"/>
      <c r="T115" s="1367"/>
      <c r="U115" s="1367"/>
      <c r="V115" s="1367"/>
      <c r="W115" s="1637"/>
      <c r="X115" s="1367"/>
      <c r="Y115" s="1367"/>
      <c r="Z115" s="545"/>
      <c r="AA115" s="1367"/>
      <c r="AB115" s="1367"/>
      <c r="AC115" s="1367"/>
      <c r="AD115" s="1367"/>
      <c r="AE115" s="1367"/>
      <c r="AF115" s="1633"/>
      <c r="AG115" s="623"/>
      <c r="AH115" s="623"/>
      <c r="AI115" s="623"/>
      <c r="AJ115" s="623"/>
      <c r="AK115" s="1642">
        <v>11</v>
      </c>
    </row>
    <row s="1642" customFormat="1" customHeight="1" ht="11.549999999999999">
      <c r="A116" s="988"/>
      <c r="B116" s="988"/>
      <c r="C116" s="988"/>
      <c r="D116" s="988"/>
      <c r="E116" s="988"/>
      <c r="F116" s="1637"/>
      <c r="G116" s="1637"/>
      <c r="H116" s="352"/>
      <c r="N116" s="1367"/>
      <c r="P116" s="1367"/>
      <c r="Q116" s="1637"/>
      <c r="R116" s="1637"/>
      <c r="S116" s="1367"/>
      <c r="T116" s="1367"/>
      <c r="U116" s="1367"/>
      <c r="V116" s="1367"/>
      <c r="W116" s="1637"/>
      <c r="X116" s="1367"/>
      <c r="Y116" s="1367"/>
      <c r="Z116" s="545"/>
      <c r="AA116" s="1367"/>
      <c r="AB116" s="1367"/>
      <c r="AC116" s="1367"/>
      <c r="AD116" s="1367"/>
      <c r="AE116" s="1367"/>
      <c r="AF116" s="1633"/>
      <c r="AG116" s="623"/>
      <c r="AH116" s="623"/>
      <c r="AI116" s="623"/>
      <c r="AJ116" s="623"/>
      <c r="AK116" s="1642">
        <v>11</v>
      </c>
    </row>
    <row s="1642" customFormat="1" customHeight="1" ht="11.549999999999999">
      <c r="A117" s="988"/>
      <c r="B117" s="988"/>
      <c r="C117" s="988"/>
      <c r="D117" s="988"/>
      <c r="E117" s="988"/>
      <c r="F117" s="1637"/>
      <c r="G117" s="1637"/>
      <c r="H117" s="352"/>
      <c r="N117" s="1367"/>
      <c r="P117" s="1367"/>
      <c r="Q117" s="1637"/>
      <c r="R117" s="1637"/>
      <c r="S117" s="1367"/>
      <c r="T117" s="1367"/>
      <c r="U117" s="1367"/>
      <c r="V117" s="1367"/>
      <c r="W117" s="1637"/>
      <c r="X117" s="1367"/>
      <c r="Y117" s="1367"/>
      <c r="Z117" s="545"/>
      <c r="AA117" s="1367"/>
      <c r="AB117" s="1367"/>
      <c r="AC117" s="1367"/>
      <c r="AD117" s="1367"/>
      <c r="AE117" s="1367"/>
      <c r="AF117" s="1633"/>
      <c r="AG117" s="623"/>
      <c r="AH117" s="623"/>
      <c r="AI117" s="623"/>
      <c r="AJ117" s="623"/>
      <c r="AK117" s="1642">
        <v>11</v>
      </c>
    </row>
    <row s="1642" customFormat="1" customHeight="1" ht="11.549999999999999">
      <c r="A118" s="988"/>
      <c r="B118" s="988"/>
      <c r="C118" s="988"/>
      <c r="D118" s="988"/>
      <c r="E118" s="988"/>
      <c r="F118" s="1637"/>
      <c r="G118" s="1637"/>
      <c r="H118" s="352"/>
      <c r="N118" s="1367"/>
      <c r="P118" s="1367"/>
      <c r="Q118" s="1637"/>
      <c r="R118" s="1637"/>
      <c r="S118" s="1367"/>
      <c r="T118" s="1367"/>
      <c r="U118" s="1367"/>
      <c r="V118" s="1367"/>
      <c r="W118" s="1637"/>
      <c r="X118" s="1367"/>
      <c r="Y118" s="1367"/>
      <c r="Z118" s="545"/>
      <c r="AA118" s="1367"/>
      <c r="AB118" s="1367"/>
      <c r="AC118" s="1367"/>
      <c r="AD118" s="1367"/>
      <c r="AE118" s="1367"/>
      <c r="AF118" s="1633"/>
      <c r="AG118" s="623"/>
      <c r="AH118" s="623"/>
      <c r="AI118" s="623"/>
      <c r="AJ118" s="623"/>
      <c r="AK118" s="1642">
        <v>11</v>
      </c>
    </row>
    <row s="1642" customFormat="1" customHeight="1" ht="11.549999999999999">
      <c r="A119" s="988"/>
      <c r="B119" s="988"/>
      <c r="C119" s="988"/>
      <c r="D119" s="988"/>
      <c r="E119" s="988"/>
      <c r="F119" s="1637"/>
      <c r="G119" s="1637"/>
      <c r="H119" s="352"/>
      <c r="N119" s="1367"/>
      <c r="P119" s="1367"/>
      <c r="Q119" s="1637"/>
      <c r="R119" s="1637"/>
      <c r="S119" s="1367"/>
      <c r="T119" s="1367"/>
      <c r="U119" s="1367"/>
      <c r="V119" s="1367"/>
      <c r="W119" s="1637"/>
      <c r="X119" s="1367"/>
      <c r="Y119" s="1367"/>
      <c r="Z119" s="545"/>
      <c r="AA119" s="1367"/>
      <c r="AB119" s="1367"/>
      <c r="AC119" s="1367"/>
      <c r="AD119" s="1367"/>
      <c r="AE119" s="1367"/>
      <c r="AF119" s="1633"/>
      <c r="AG119" s="623"/>
      <c r="AH119" s="623"/>
      <c r="AI119" s="623"/>
      <c r="AJ119" s="623"/>
      <c r="AK119" s="1642">
        <v>11</v>
      </c>
    </row>
    <row s="1642" customFormat="1" customHeight="1" ht="11.549999999999999">
      <c r="A120" s="988"/>
      <c r="B120" s="988"/>
      <c r="C120" s="988"/>
      <c r="D120" s="988"/>
      <c r="E120" s="988"/>
      <c r="F120" s="1637"/>
      <c r="G120" s="1637"/>
      <c r="H120" s="352"/>
      <c r="N120" s="1367"/>
      <c r="P120" s="1367"/>
      <c r="Q120" s="1637"/>
      <c r="R120" s="1637"/>
      <c r="S120" s="1367"/>
      <c r="T120" s="1367"/>
      <c r="U120" s="1367"/>
      <c r="V120" s="1367"/>
      <c r="W120" s="1637"/>
      <c r="X120" s="1367"/>
      <c r="Y120" s="1367"/>
      <c r="Z120" s="545"/>
      <c r="AA120" s="1367"/>
      <c r="AB120" s="1367"/>
      <c r="AC120" s="1367"/>
      <c r="AD120" s="1367"/>
      <c r="AE120" s="1367"/>
      <c r="AF120" s="1633"/>
      <c r="AG120" s="623"/>
      <c r="AH120" s="623"/>
      <c r="AI120" s="623"/>
      <c r="AJ120" s="623"/>
      <c r="AK120" s="1642">
        <v>11</v>
      </c>
    </row>
    <row s="1642" customFormat="1" customHeight="1" ht="11.549999999999999">
      <c r="A121" s="988"/>
      <c r="B121" s="988"/>
      <c r="C121" s="988"/>
      <c r="D121" s="988"/>
      <c r="E121" s="988"/>
      <c r="F121" s="1637"/>
      <c r="G121" s="1637"/>
      <c r="H121" s="352"/>
      <c r="N121" s="1367"/>
      <c r="P121" s="1367"/>
      <c r="Q121" s="1637"/>
      <c r="R121" s="1637"/>
      <c r="S121" s="1367"/>
      <c r="T121" s="1367"/>
      <c r="U121" s="1367"/>
      <c r="V121" s="1367"/>
      <c r="W121" s="1637"/>
      <c r="X121" s="1367"/>
      <c r="Y121" s="1367"/>
      <c r="Z121" s="545"/>
      <c r="AA121" s="1367"/>
      <c r="AB121" s="1367"/>
      <c r="AC121" s="1367"/>
      <c r="AD121" s="1367"/>
      <c r="AE121" s="1367"/>
      <c r="AF121" s="1633"/>
      <c r="AG121" s="623"/>
      <c r="AH121" s="623"/>
      <c r="AI121" s="623"/>
      <c r="AJ121" s="623"/>
      <c r="AK121" s="1642">
        <v>11</v>
      </c>
    </row>
    <row s="1642" customFormat="1" customHeight="1" ht="11.549999999999999">
      <c r="A122" s="988"/>
      <c r="B122" s="988"/>
      <c r="C122" s="988"/>
      <c r="D122" s="988"/>
      <c r="E122" s="988"/>
      <c r="F122" s="1637"/>
      <c r="G122" s="1637"/>
      <c r="H122" s="352"/>
      <c r="N122" s="1367"/>
      <c r="P122" s="1367"/>
      <c r="Q122" s="1637"/>
      <c r="R122" s="1637"/>
      <c r="S122" s="1367"/>
      <c r="T122" s="1367"/>
      <c r="U122" s="1367"/>
      <c r="V122" s="1367"/>
      <c r="W122" s="1637"/>
      <c r="X122" s="1367"/>
      <c r="Y122" s="1367"/>
      <c r="Z122" s="545"/>
      <c r="AA122" s="1367"/>
      <c r="AB122" s="1367"/>
      <c r="AC122" s="1367"/>
      <c r="AD122" s="1367"/>
      <c r="AE122" s="1367"/>
      <c r="AF122" s="1633"/>
      <c r="AG122" s="623"/>
      <c r="AH122" s="623"/>
      <c r="AI122" s="623"/>
      <c r="AJ122" s="623"/>
      <c r="AK122" s="1642">
        <v>11</v>
      </c>
    </row>
    <row s="1642" customFormat="1" customHeight="1" ht="11.549999999999999">
      <c r="A123" s="988"/>
      <c r="B123" s="988"/>
      <c r="C123" s="988"/>
      <c r="D123" s="988"/>
      <c r="E123" s="988"/>
      <c r="F123" s="1637"/>
      <c r="G123" s="1637"/>
      <c r="H123" s="352"/>
      <c r="N123" s="1367"/>
      <c r="P123" s="1367"/>
      <c r="Q123" s="1637"/>
      <c r="R123" s="1637"/>
      <c r="S123" s="1367"/>
      <c r="T123" s="1367"/>
      <c r="U123" s="1367"/>
      <c r="V123" s="1367"/>
      <c r="W123" s="1637"/>
      <c r="X123" s="1367"/>
      <c r="Y123" s="1367"/>
      <c r="Z123" s="545"/>
      <c r="AA123" s="1367"/>
      <c r="AB123" s="1367"/>
      <c r="AC123" s="1367"/>
      <c r="AD123" s="1367"/>
      <c r="AE123" s="1367"/>
      <c r="AF123" s="1633"/>
      <c r="AG123" s="623"/>
      <c r="AH123" s="623"/>
      <c r="AI123" s="623"/>
      <c r="AJ123" s="623"/>
      <c r="AK123" s="1642">
        <v>11</v>
      </c>
    </row>
    <row s="1642" customFormat="1" customHeight="1" ht="11.549999999999999">
      <c r="A124" s="988"/>
      <c r="B124" s="988"/>
      <c r="C124" s="988"/>
      <c r="D124" s="988"/>
      <c r="E124" s="988"/>
      <c r="F124" s="1637"/>
      <c r="G124" s="1637"/>
      <c r="H124" s="352"/>
      <c r="N124" s="1367"/>
      <c r="P124" s="1367"/>
      <c r="Q124" s="1637"/>
      <c r="R124" s="1637"/>
      <c r="S124" s="1367"/>
      <c r="T124" s="1367"/>
      <c r="U124" s="1367"/>
      <c r="V124" s="1367"/>
      <c r="W124" s="1637"/>
      <c r="X124" s="1367"/>
      <c r="Y124" s="1367"/>
      <c r="Z124" s="545"/>
      <c r="AA124" s="1367"/>
      <c r="AB124" s="1367"/>
      <c r="AC124" s="1367"/>
      <c r="AD124" s="1367"/>
      <c r="AE124" s="1367"/>
      <c r="AF124" s="1633"/>
      <c r="AG124" s="623"/>
      <c r="AH124" s="623"/>
      <c r="AI124" s="623"/>
      <c r="AJ124" s="623"/>
      <c r="AK124" s="1642">
        <v>11</v>
      </c>
    </row>
    <row s="1642" customFormat="1" customHeight="1" ht="11.549999999999999">
      <c r="A125" s="988"/>
      <c r="B125" s="988"/>
      <c r="C125" s="988"/>
      <c r="D125" s="988"/>
      <c r="E125" s="988"/>
      <c r="F125" s="1637"/>
      <c r="G125" s="1637"/>
      <c r="H125" s="352"/>
      <c r="N125" s="1367"/>
      <c r="P125" s="1367"/>
      <c r="Q125" s="1637"/>
      <c r="R125" s="1637"/>
      <c r="S125" s="1367"/>
      <c r="T125" s="1367"/>
      <c r="U125" s="1367"/>
      <c r="V125" s="1367"/>
      <c r="W125" s="1637"/>
      <c r="X125" s="1367"/>
      <c r="Y125" s="1367"/>
      <c r="Z125" s="545"/>
      <c r="AA125" s="1367"/>
      <c r="AB125" s="1367"/>
      <c r="AC125" s="1367"/>
      <c r="AD125" s="1367"/>
      <c r="AE125" s="1367"/>
      <c r="AF125" s="1633"/>
      <c r="AG125" s="623"/>
      <c r="AH125" s="623"/>
      <c r="AI125" s="623"/>
      <c r="AJ125" s="623"/>
      <c r="AK125" s="1642">
        <v>11</v>
      </c>
    </row>
    <row s="1642" customFormat="1" customHeight="1" ht="11.549999999999999">
      <c r="A126" s="988"/>
      <c r="B126" s="988"/>
      <c r="C126" s="988"/>
      <c r="D126" s="988"/>
      <c r="E126" s="988"/>
      <c r="F126" s="1637"/>
      <c r="G126" s="1637"/>
      <c r="H126" s="352"/>
      <c r="N126" s="1367"/>
      <c r="P126" s="1367"/>
      <c r="Q126" s="1637"/>
      <c r="R126" s="1637"/>
      <c r="S126" s="1367"/>
      <c r="T126" s="1367"/>
      <c r="U126" s="1367"/>
      <c r="V126" s="1367"/>
      <c r="W126" s="1637"/>
      <c r="X126" s="1367"/>
      <c r="Y126" s="1367"/>
      <c r="Z126" s="545"/>
      <c r="AA126" s="1367"/>
      <c r="AB126" s="1367"/>
      <c r="AC126" s="1367"/>
      <c r="AD126" s="1367"/>
      <c r="AE126" s="1367"/>
      <c r="AF126" s="1633"/>
      <c r="AG126" s="623"/>
      <c r="AH126" s="623"/>
      <c r="AI126" s="623"/>
      <c r="AJ126" s="623"/>
      <c r="AK126" s="1642">
        <v>11</v>
      </c>
    </row>
    <row s="1642" customFormat="1" customHeight="1" ht="11.549999999999999">
      <c r="A127" s="988"/>
      <c r="B127" s="988"/>
      <c r="C127" s="988"/>
      <c r="D127" s="988"/>
      <c r="E127" s="988"/>
      <c r="F127" s="1637"/>
      <c r="G127" s="1637"/>
      <c r="H127" s="352"/>
      <c r="N127" s="1367"/>
      <c r="P127" s="1367"/>
      <c r="Q127" s="1637"/>
      <c r="R127" s="1637"/>
      <c r="S127" s="1367"/>
      <c r="T127" s="1367"/>
      <c r="U127" s="1367"/>
      <c r="V127" s="1367"/>
      <c r="W127" s="1637"/>
      <c r="X127" s="1367"/>
      <c r="Y127" s="1367"/>
      <c r="Z127" s="545"/>
      <c r="AA127" s="1367"/>
      <c r="AB127" s="1367"/>
      <c r="AC127" s="1367"/>
      <c r="AD127" s="1367"/>
      <c r="AE127" s="1367"/>
      <c r="AF127" s="1633"/>
      <c r="AG127" s="623"/>
      <c r="AH127" s="623"/>
      <c r="AI127" s="623"/>
      <c r="AJ127" s="623"/>
      <c r="AK127" s="1642">
        <v>11</v>
      </c>
    </row>
    <row s="1642" customFormat="1" customHeight="1" ht="11.549999999999999">
      <c r="A128" s="988"/>
      <c r="B128" s="988"/>
      <c r="C128" s="988"/>
      <c r="D128" s="988"/>
      <c r="E128" s="988"/>
      <c r="F128" s="1637"/>
      <c r="G128" s="1637"/>
      <c r="H128" s="352"/>
      <c r="N128" s="1367"/>
      <c r="P128" s="1367"/>
      <c r="Q128" s="1637"/>
      <c r="R128" s="1637"/>
      <c r="S128" s="1367"/>
      <c r="T128" s="1367"/>
      <c r="U128" s="1367"/>
      <c r="V128" s="1367"/>
      <c r="W128" s="1637"/>
      <c r="X128" s="1367"/>
      <c r="Y128" s="1367"/>
      <c r="Z128" s="545"/>
      <c r="AA128" s="1367"/>
      <c r="AB128" s="1367"/>
      <c r="AC128" s="1367"/>
      <c r="AD128" s="1367"/>
      <c r="AE128" s="1367"/>
      <c r="AF128" s="1633"/>
      <c r="AG128" s="623"/>
      <c r="AH128" s="623"/>
      <c r="AI128" s="623"/>
      <c r="AJ128" s="623"/>
      <c r="AK128" s="1642">
        <v>11</v>
      </c>
    </row>
    <row s="1642" customFormat="1" customHeight="1" ht="11.549999999999999">
      <c r="A129" s="988"/>
      <c r="B129" s="988"/>
      <c r="C129" s="988"/>
      <c r="D129" s="988"/>
      <c r="E129" s="988"/>
      <c r="F129" s="1637"/>
      <c r="G129" s="1637"/>
      <c r="H129" s="352"/>
      <c r="N129" s="1367"/>
      <c r="P129" s="1367"/>
      <c r="Q129" s="1637"/>
      <c r="R129" s="1637"/>
      <c r="S129" s="1367"/>
      <c r="T129" s="1367"/>
      <c r="U129" s="1367"/>
      <c r="V129" s="1367"/>
      <c r="W129" s="1637"/>
      <c r="X129" s="1367"/>
      <c r="Y129" s="1367"/>
      <c r="Z129" s="545"/>
      <c r="AA129" s="1367"/>
      <c r="AB129" s="1367"/>
      <c r="AC129" s="1367"/>
      <c r="AD129" s="1367"/>
      <c r="AE129" s="1367"/>
      <c r="AF129" s="1633"/>
      <c r="AG129" s="623"/>
      <c r="AH129" s="623"/>
      <c r="AI129" s="623"/>
      <c r="AJ129" s="623"/>
      <c r="AK129" s="1642">
        <v>11</v>
      </c>
    </row>
    <row s="1642" customFormat="1" customHeight="1" ht="11.549999999999999">
      <c r="A130" s="988"/>
      <c r="B130" s="988"/>
      <c r="C130" s="988"/>
      <c r="D130" s="988"/>
      <c r="E130" s="988"/>
      <c r="F130" s="1637"/>
      <c r="G130" s="1637"/>
      <c r="H130" s="352"/>
      <c r="N130" s="1367"/>
      <c r="P130" s="1367"/>
      <c r="Q130" s="1637"/>
      <c r="R130" s="1637"/>
      <c r="S130" s="1367"/>
      <c r="T130" s="1367"/>
      <c r="U130" s="1367"/>
      <c r="V130" s="1367"/>
      <c r="W130" s="1637"/>
      <c r="X130" s="1367"/>
      <c r="Y130" s="1367"/>
      <c r="Z130" s="545"/>
      <c r="AA130" s="1367"/>
      <c r="AB130" s="1367"/>
      <c r="AC130" s="1367"/>
      <c r="AD130" s="1367"/>
      <c r="AE130" s="1367"/>
      <c r="AF130" s="1633"/>
      <c r="AG130" s="623"/>
      <c r="AH130" s="623"/>
      <c r="AI130" s="623"/>
      <c r="AJ130" s="623"/>
      <c r="AK130" s="1642">
        <v>11</v>
      </c>
    </row>
    <row s="1642" customFormat="1" customHeight="1" ht="11.549999999999999">
      <c r="A131" s="988"/>
      <c r="B131" s="988"/>
      <c r="C131" s="988"/>
      <c r="D131" s="988"/>
      <c r="E131" s="988"/>
      <c r="F131" s="1637"/>
      <c r="G131" s="1637"/>
      <c r="H131" s="352"/>
      <c r="N131" s="1367"/>
      <c r="P131" s="1367"/>
      <c r="Q131" s="1637"/>
      <c r="R131" s="1637"/>
      <c r="S131" s="1367"/>
      <c r="T131" s="1367"/>
      <c r="U131" s="1367"/>
      <c r="V131" s="1367"/>
      <c r="W131" s="1637"/>
      <c r="X131" s="1367"/>
      <c r="Y131" s="1367"/>
      <c r="Z131" s="545"/>
      <c r="AA131" s="1367"/>
      <c r="AB131" s="1367"/>
      <c r="AC131" s="1367"/>
      <c r="AD131" s="1367"/>
      <c r="AE131" s="1367"/>
      <c r="AF131" s="1633"/>
      <c r="AG131" s="623"/>
      <c r="AH131" s="623"/>
      <c r="AI131" s="623"/>
      <c r="AJ131" s="623"/>
      <c r="AK131" s="1642">
        <v>11</v>
      </c>
    </row>
    <row s="1642" customFormat="1" customHeight="1" ht="11.549999999999999">
      <c r="A132" s="988"/>
      <c r="B132" s="988"/>
      <c r="C132" s="988"/>
      <c r="D132" s="988"/>
      <c r="E132" s="988"/>
      <c r="F132" s="1637"/>
      <c r="G132" s="1637"/>
      <c r="H132" s="352"/>
      <c r="N132" s="1367"/>
      <c r="P132" s="1367"/>
      <c r="Q132" s="1637"/>
      <c r="R132" s="1637"/>
      <c r="S132" s="1367"/>
      <c r="T132" s="1367"/>
      <c r="U132" s="1367"/>
      <c r="V132" s="1367"/>
      <c r="W132" s="1637"/>
      <c r="X132" s="1367"/>
      <c r="Y132" s="1367"/>
      <c r="Z132" s="545"/>
      <c r="AA132" s="1367"/>
      <c r="AB132" s="1367"/>
      <c r="AC132" s="1367"/>
      <c r="AD132" s="1367"/>
      <c r="AE132" s="1367"/>
      <c r="AF132" s="1633"/>
      <c r="AG132" s="623"/>
      <c r="AH132" s="623"/>
      <c r="AI132" s="623"/>
      <c r="AJ132" s="623"/>
      <c r="AK132" s="1642">
        <v>11</v>
      </c>
    </row>
    <row s="1642" customFormat="1" customHeight="1" ht="11.549999999999999">
      <c r="A133" s="988"/>
      <c r="B133" s="988"/>
      <c r="C133" s="988"/>
      <c r="D133" s="988"/>
      <c r="E133" s="988"/>
      <c r="F133" s="1637"/>
      <c r="G133" s="1637"/>
      <c r="H133" s="352"/>
      <c r="N133" s="1367"/>
      <c r="P133" s="1367"/>
      <c r="Q133" s="1637"/>
      <c r="R133" s="1637"/>
      <c r="S133" s="1367"/>
      <c r="T133" s="1367"/>
      <c r="U133" s="1367"/>
      <c r="V133" s="1367"/>
      <c r="W133" s="1637"/>
      <c r="X133" s="1367"/>
      <c r="Y133" s="1367"/>
      <c r="Z133" s="545"/>
      <c r="AA133" s="1367"/>
      <c r="AB133" s="1367"/>
      <c r="AC133" s="1367"/>
      <c r="AD133" s="1367"/>
      <c r="AE133" s="1367"/>
      <c r="AF133" s="1633"/>
      <c r="AG133" s="623"/>
      <c r="AH133" s="623"/>
      <c r="AI133" s="623"/>
      <c r="AJ133" s="623"/>
      <c r="AK133" s="1642">
        <v>11</v>
      </c>
    </row>
    <row s="1642" customFormat="1" customHeight="1" ht="11.549999999999999">
      <c r="A134" s="988"/>
      <c r="B134" s="988"/>
      <c r="C134" s="988"/>
      <c r="D134" s="988"/>
      <c r="E134" s="988"/>
      <c r="F134" s="1637"/>
      <c r="G134" s="1637"/>
      <c r="H134" s="352"/>
      <c r="N134" s="1367"/>
      <c r="P134" s="1367"/>
      <c r="Q134" s="1637"/>
      <c r="R134" s="1637"/>
      <c r="S134" s="1367"/>
      <c r="T134" s="1367"/>
      <c r="U134" s="1367"/>
      <c r="V134" s="1367"/>
      <c r="W134" s="1637"/>
      <c r="X134" s="1367"/>
      <c r="Y134" s="1367"/>
      <c r="Z134" s="545"/>
      <c r="AA134" s="1367"/>
      <c r="AB134" s="1367"/>
      <c r="AC134" s="1367"/>
      <c r="AD134" s="1367"/>
      <c r="AE134" s="1367"/>
      <c r="AF134" s="1633"/>
      <c r="AG134" s="623"/>
      <c r="AH134" s="623"/>
      <c r="AI134" s="623"/>
      <c r="AJ134" s="623"/>
      <c r="AK134" s="1642">
        <v>11</v>
      </c>
    </row>
    <row s="1642" customFormat="1" customHeight="1" ht="11.549999999999999">
      <c r="A135" s="988"/>
      <c r="B135" s="988"/>
      <c r="C135" s="988"/>
      <c r="D135" s="988"/>
      <c r="E135" s="988"/>
      <c r="F135" s="1637"/>
      <c r="G135" s="1637"/>
      <c r="H135" s="352"/>
      <c r="N135" s="1367"/>
      <c r="P135" s="1367"/>
      <c r="Q135" s="1637"/>
      <c r="R135" s="1637"/>
      <c r="S135" s="1367"/>
      <c r="T135" s="1367"/>
      <c r="U135" s="1367"/>
      <c r="V135" s="1367"/>
      <c r="W135" s="1637"/>
      <c r="X135" s="1367"/>
      <c r="Y135" s="1367"/>
      <c r="Z135" s="545"/>
      <c r="AA135" s="1367"/>
      <c r="AB135" s="1367"/>
      <c r="AC135" s="1367"/>
      <c r="AD135" s="1367"/>
      <c r="AE135" s="1367"/>
      <c r="AF135" s="1633"/>
      <c r="AG135" s="623"/>
      <c r="AH135" s="623"/>
      <c r="AI135" s="623"/>
      <c r="AJ135" s="623"/>
      <c r="AK135" s="1642">
        <v>11</v>
      </c>
    </row>
    <row s="1642" customFormat="1" customHeight="1" ht="11.549999999999999">
      <c r="A136" s="988"/>
      <c r="B136" s="988"/>
      <c r="C136" s="988"/>
      <c r="D136" s="988"/>
      <c r="E136" s="988"/>
      <c r="F136" s="1637"/>
      <c r="G136" s="1637"/>
      <c r="H136" s="352"/>
      <c r="N136" s="1367"/>
      <c r="P136" s="1367"/>
      <c r="Q136" s="1637"/>
      <c r="R136" s="1637"/>
      <c r="S136" s="1367"/>
      <c r="T136" s="1367"/>
      <c r="U136" s="1367"/>
      <c r="V136" s="1367"/>
      <c r="W136" s="1637"/>
      <c r="X136" s="1367"/>
      <c r="Y136" s="1367"/>
      <c r="Z136" s="545"/>
      <c r="AA136" s="1367"/>
      <c r="AB136" s="1367"/>
      <c r="AC136" s="1367"/>
      <c r="AD136" s="1367"/>
      <c r="AE136" s="1367"/>
      <c r="AF136" s="1633"/>
      <c r="AG136" s="623"/>
      <c r="AH136" s="623"/>
      <c r="AI136" s="623"/>
      <c r="AJ136" s="623"/>
      <c r="AK136" s="1642">
        <v>11</v>
      </c>
    </row>
    <row s="1642" customFormat="1" customHeight="1" ht="11.549999999999999">
      <c r="A137" s="988"/>
      <c r="B137" s="988"/>
      <c r="C137" s="988"/>
      <c r="D137" s="988"/>
      <c r="E137" s="988"/>
      <c r="F137" s="1637"/>
      <c r="G137" s="1637"/>
      <c r="H137" s="352"/>
      <c r="N137" s="1367"/>
      <c r="P137" s="1367"/>
      <c r="Q137" s="1637"/>
      <c r="R137" s="1637"/>
      <c r="S137" s="1367"/>
      <c r="T137" s="1367"/>
      <c r="U137" s="1367"/>
      <c r="V137" s="1367"/>
      <c r="W137" s="1637"/>
      <c r="X137" s="1367"/>
      <c r="Y137" s="1367"/>
      <c r="Z137" s="545"/>
      <c r="AA137" s="1367"/>
      <c r="AB137" s="1367"/>
      <c r="AC137" s="1367"/>
      <c r="AD137" s="1367"/>
      <c r="AE137" s="1367"/>
      <c r="AF137" s="1633"/>
      <c r="AG137" s="623"/>
      <c r="AH137" s="623"/>
      <c r="AI137" s="623"/>
      <c r="AJ137" s="623"/>
      <c r="AK137" s="1642">
        <v>11</v>
      </c>
    </row>
    <row s="1642" customFormat="1" customHeight="1" ht="11.549999999999999">
      <c r="A138" s="988"/>
      <c r="B138" s="988"/>
      <c r="C138" s="988"/>
      <c r="D138" s="988"/>
      <c r="E138" s="988"/>
      <c r="F138" s="1637"/>
      <c r="G138" s="1637"/>
      <c r="H138" s="352"/>
      <c r="N138" s="1367"/>
      <c r="P138" s="1367"/>
      <c r="Q138" s="1637"/>
      <c r="R138" s="1637"/>
      <c r="S138" s="1367"/>
      <c r="T138" s="1367"/>
      <c r="U138" s="1367"/>
      <c r="V138" s="1367"/>
      <c r="W138" s="1637"/>
      <c r="X138" s="1367"/>
      <c r="Y138" s="1367"/>
      <c r="Z138" s="545"/>
      <c r="AA138" s="1367"/>
      <c r="AB138" s="1367"/>
      <c r="AC138" s="1367"/>
      <c r="AD138" s="1367"/>
      <c r="AE138" s="1367"/>
      <c r="AF138" s="1633"/>
      <c r="AG138" s="623"/>
      <c r="AH138" s="623"/>
      <c r="AI138" s="623"/>
      <c r="AJ138" s="623"/>
      <c r="AK138" s="1642">
        <v>11</v>
      </c>
    </row>
    <row s="1642" customFormat="1" customHeight="1" ht="11.549999999999999">
      <c r="A139" s="988"/>
      <c r="B139" s="988"/>
      <c r="C139" s="988"/>
      <c r="D139" s="988"/>
      <c r="E139" s="988"/>
      <c r="F139" s="1637"/>
      <c r="G139" s="1637"/>
      <c r="H139" s="352"/>
      <c r="N139" s="1367"/>
      <c r="P139" s="1367"/>
      <c r="Q139" s="1637"/>
      <c r="R139" s="1637"/>
      <c r="S139" s="1367"/>
      <c r="T139" s="1367"/>
      <c r="U139" s="1367"/>
      <c r="V139" s="1367"/>
      <c r="W139" s="1637"/>
      <c r="X139" s="1367"/>
      <c r="Y139" s="1367"/>
      <c r="Z139" s="545"/>
      <c r="AA139" s="1367"/>
      <c r="AB139" s="1367"/>
      <c r="AC139" s="1367"/>
      <c r="AD139" s="1367"/>
      <c r="AE139" s="1367"/>
      <c r="AF139" s="1633"/>
      <c r="AG139" s="623"/>
      <c r="AH139" s="623"/>
      <c r="AI139" s="623"/>
      <c r="AJ139" s="623"/>
      <c r="AK139" s="1642">
        <v>11</v>
      </c>
    </row>
    <row s="1642" customFormat="1" customHeight="1" ht="11.549999999999999">
      <c r="A140" s="988"/>
      <c r="B140" s="988"/>
      <c r="C140" s="988"/>
      <c r="D140" s="988"/>
      <c r="E140" s="988"/>
      <c r="F140" s="1637"/>
      <c r="G140" s="1637"/>
      <c r="H140" s="352"/>
      <c r="N140" s="1367"/>
      <c r="P140" s="1367"/>
      <c r="Q140" s="1637"/>
      <c r="R140" s="1637"/>
      <c r="S140" s="1367"/>
      <c r="T140" s="1367"/>
      <c r="U140" s="1367"/>
      <c r="V140" s="1367"/>
      <c r="W140" s="1637"/>
      <c r="X140" s="1367"/>
      <c r="Y140" s="1367"/>
      <c r="Z140" s="545"/>
      <c r="AA140" s="1367"/>
      <c r="AB140" s="1367"/>
      <c r="AC140" s="1367"/>
      <c r="AD140" s="1367"/>
      <c r="AE140" s="1367"/>
      <c r="AF140" s="1633"/>
      <c r="AG140" s="623"/>
      <c r="AH140" s="623"/>
      <c r="AI140" s="623"/>
      <c r="AJ140" s="623"/>
      <c r="AK140" s="1642">
        <v>11</v>
      </c>
    </row>
    <row s="1642" customFormat="1" customHeight="1" ht="11.549999999999999">
      <c r="A141" s="988"/>
      <c r="B141" s="988"/>
      <c r="C141" s="988"/>
      <c r="D141" s="988"/>
      <c r="E141" s="988"/>
      <c r="F141" s="1637"/>
      <c r="G141" s="1637"/>
      <c r="H141" s="352"/>
      <c r="N141" s="1367"/>
      <c r="P141" s="1367"/>
      <c r="Q141" s="1637"/>
      <c r="R141" s="1637"/>
      <c r="S141" s="1367"/>
      <c r="T141" s="1367"/>
      <c r="U141" s="1367"/>
      <c r="V141" s="1367"/>
      <c r="W141" s="1637"/>
      <c r="X141" s="1367"/>
      <c r="Y141" s="1367"/>
      <c r="Z141" s="545"/>
      <c r="AA141" s="1367"/>
      <c r="AB141" s="1367"/>
      <c r="AC141" s="1367"/>
      <c r="AD141" s="1367"/>
      <c r="AE141" s="1367"/>
      <c r="AF141" s="1633"/>
      <c r="AG141" s="623"/>
      <c r="AH141" s="623"/>
      <c r="AI141" s="623"/>
      <c r="AJ141" s="623"/>
      <c r="AK141" s="1642">
        <v>11</v>
      </c>
    </row>
    <row s="1642" customFormat="1" customHeight="1" ht="11.549999999999999">
      <c r="A142" s="988"/>
      <c r="B142" s="988"/>
      <c r="C142" s="988"/>
      <c r="D142" s="988"/>
      <c r="E142" s="988"/>
      <c r="F142" s="1637"/>
      <c r="G142" s="1637"/>
      <c r="H142" s="352"/>
      <c r="N142" s="1367"/>
      <c r="P142" s="1367"/>
      <c r="Q142" s="1637"/>
      <c r="R142" s="1637"/>
      <c r="S142" s="1367"/>
      <c r="T142" s="1367"/>
      <c r="U142" s="1367"/>
      <c r="V142" s="1367"/>
      <c r="W142" s="1637"/>
      <c r="X142" s="1367"/>
      <c r="Y142" s="1367"/>
      <c r="Z142" s="545"/>
      <c r="AA142" s="1367"/>
      <c r="AB142" s="1367"/>
      <c r="AC142" s="1367"/>
      <c r="AD142" s="1367"/>
      <c r="AE142" s="1367"/>
      <c r="AF142" s="1633"/>
      <c r="AG142" s="623"/>
      <c r="AH142" s="623"/>
      <c r="AI142" s="623"/>
      <c r="AJ142" s="623"/>
      <c r="AK142" s="1642">
        <v>11</v>
      </c>
    </row>
    <row s="1642" customFormat="1" customHeight="1" ht="11.549999999999999">
      <c r="A143" s="988"/>
      <c r="B143" s="988"/>
      <c r="C143" s="988"/>
      <c r="D143" s="988"/>
      <c r="E143" s="988"/>
      <c r="F143" s="1637"/>
      <c r="G143" s="1637"/>
      <c r="H143" s="352"/>
      <c r="N143" s="1367"/>
      <c r="P143" s="1367"/>
      <c r="Q143" s="1637"/>
      <c r="R143" s="1637"/>
      <c r="S143" s="1367"/>
      <c r="T143" s="1367"/>
      <c r="U143" s="1367"/>
      <c r="V143" s="1367"/>
      <c r="W143" s="1637"/>
      <c r="X143" s="1367"/>
      <c r="Y143" s="1367"/>
      <c r="Z143" s="545"/>
      <c r="AA143" s="1367"/>
      <c r="AB143" s="1367"/>
      <c r="AC143" s="1367"/>
      <c r="AD143" s="1367"/>
      <c r="AE143" s="1367"/>
      <c r="AF143" s="1633"/>
      <c r="AG143" s="623"/>
      <c r="AH143" s="623"/>
      <c r="AI143" s="623"/>
      <c r="AJ143" s="623"/>
      <c r="AK143" s="1642">
        <v>11</v>
      </c>
    </row>
    <row s="1642" customFormat="1" customHeight="1" ht="11.549999999999999">
      <c r="A144" s="988"/>
      <c r="B144" s="988"/>
      <c r="C144" s="988"/>
      <c r="D144" s="988"/>
      <c r="E144" s="988"/>
      <c r="F144" s="1637"/>
      <c r="G144" s="1637"/>
      <c r="H144" s="352"/>
      <c r="N144" s="1367"/>
      <c r="P144" s="1367"/>
      <c r="Q144" s="1637"/>
      <c r="R144" s="1637"/>
      <c r="S144" s="1367"/>
      <c r="T144" s="1367"/>
      <c r="U144" s="1367"/>
      <c r="V144" s="1367"/>
      <c r="W144" s="1637"/>
      <c r="X144" s="1367"/>
      <c r="Y144" s="1367"/>
      <c r="Z144" s="545"/>
      <c r="AA144" s="1367"/>
      <c r="AB144" s="1367"/>
      <c r="AC144" s="1367"/>
      <c r="AD144" s="1367"/>
      <c r="AE144" s="1367"/>
      <c r="AF144" s="1633"/>
      <c r="AG144" s="623"/>
      <c r="AH144" s="623"/>
      <c r="AI144" s="623"/>
      <c r="AJ144" s="623"/>
      <c r="AK144" s="1642">
        <v>11</v>
      </c>
    </row>
    <row s="1642" customFormat="1" customHeight="1" ht="11.549999999999999">
      <c r="A145" s="988"/>
      <c r="B145" s="988"/>
      <c r="C145" s="988"/>
      <c r="D145" s="988"/>
      <c r="E145" s="988"/>
      <c r="F145" s="1637"/>
      <c r="G145" s="1637"/>
      <c r="H145" s="352"/>
      <c r="N145" s="1367"/>
      <c r="P145" s="1367"/>
      <c r="Q145" s="1637"/>
      <c r="R145" s="1637"/>
      <c r="S145" s="1367"/>
      <c r="T145" s="1367"/>
      <c r="U145" s="1367"/>
      <c r="V145" s="1367"/>
      <c r="W145" s="1637"/>
      <c r="X145" s="1367"/>
      <c r="Y145" s="1367"/>
      <c r="Z145" s="545"/>
      <c r="AA145" s="1367"/>
      <c r="AB145" s="1367"/>
      <c r="AC145" s="1367"/>
      <c r="AD145" s="1367"/>
      <c r="AE145" s="1367"/>
      <c r="AF145" s="1633"/>
      <c r="AG145" s="623"/>
      <c r="AH145" s="623"/>
      <c r="AI145" s="623"/>
      <c r="AJ145" s="623"/>
      <c r="AK145" s="1642">
        <v>11</v>
      </c>
    </row>
    <row s="1642" customFormat="1" customHeight="1" ht="11.549999999999999">
      <c r="A146" s="988"/>
      <c r="B146" s="988"/>
      <c r="C146" s="988"/>
      <c r="D146" s="988"/>
      <c r="E146" s="988"/>
      <c r="F146" s="1637"/>
      <c r="G146" s="1637"/>
      <c r="H146" s="352"/>
      <c r="N146" s="1367"/>
      <c r="P146" s="1367"/>
      <c r="Q146" s="1637"/>
      <c r="R146" s="1637"/>
      <c r="S146" s="1367"/>
      <c r="T146" s="1367"/>
      <c r="U146" s="1367"/>
      <c r="V146" s="1367"/>
      <c r="W146" s="1637"/>
      <c r="X146" s="1367"/>
      <c r="Y146" s="1367"/>
      <c r="Z146" s="545"/>
      <c r="AA146" s="1367"/>
      <c r="AB146" s="1367"/>
      <c r="AC146" s="1367"/>
      <c r="AD146" s="1367"/>
      <c r="AE146" s="1367"/>
      <c r="AF146" s="1633"/>
      <c r="AG146" s="623"/>
      <c r="AH146" s="623"/>
      <c r="AI146" s="623"/>
      <c r="AJ146" s="623"/>
      <c r="AK146" s="1642">
        <v>11</v>
      </c>
    </row>
    <row s="1642" customFormat="1" customHeight="1" ht="11.549999999999999">
      <c r="A147" s="988"/>
      <c r="B147" s="988"/>
      <c r="C147" s="988"/>
      <c r="D147" s="988"/>
      <c r="E147" s="988"/>
      <c r="F147" s="1637"/>
      <c r="G147" s="1637"/>
      <c r="H147" s="352"/>
      <c r="N147" s="1367"/>
      <c r="P147" s="1367"/>
      <c r="Q147" s="1637"/>
      <c r="R147" s="1637"/>
      <c r="S147" s="1367"/>
      <c r="T147" s="1367"/>
      <c r="U147" s="1367"/>
      <c r="V147" s="1367"/>
      <c r="W147" s="1637"/>
      <c r="X147" s="1367"/>
      <c r="Y147" s="1367"/>
      <c r="Z147" s="545"/>
      <c r="AA147" s="1367"/>
      <c r="AB147" s="1367"/>
      <c r="AC147" s="1367"/>
      <c r="AD147" s="1367"/>
      <c r="AE147" s="1367"/>
      <c r="AF147" s="1633"/>
      <c r="AG147" s="623"/>
      <c r="AH147" s="623"/>
      <c r="AI147" s="623"/>
      <c r="AJ147" s="623"/>
      <c r="AK147" s="1642">
        <v>11</v>
      </c>
    </row>
    <row s="1642" customFormat="1" customHeight="1" ht="11.549999999999999">
      <c r="A148" s="988"/>
      <c r="B148" s="988"/>
      <c r="C148" s="988"/>
      <c r="D148" s="988"/>
      <c r="E148" s="988"/>
      <c r="F148" s="1637"/>
      <c r="G148" s="1637"/>
      <c r="H148" s="352"/>
      <c r="N148" s="1367"/>
      <c r="P148" s="1367"/>
      <c r="Q148" s="1637"/>
      <c r="R148" s="1637"/>
      <c r="S148" s="1367"/>
      <c r="T148" s="1367"/>
      <c r="U148" s="1367"/>
      <c r="V148" s="1367"/>
      <c r="W148" s="1637"/>
      <c r="X148" s="1367"/>
      <c r="Y148" s="1367"/>
      <c r="Z148" s="545"/>
      <c r="AA148" s="1367"/>
      <c r="AB148" s="1367"/>
      <c r="AC148" s="1367"/>
      <c r="AD148" s="1367"/>
      <c r="AE148" s="1367"/>
      <c r="AF148" s="1633"/>
      <c r="AG148" s="623"/>
      <c r="AH148" s="623"/>
      <c r="AI148" s="623"/>
      <c r="AJ148" s="623"/>
      <c r="AK148" s="1642">
        <v>11</v>
      </c>
    </row>
    <row s="1642" customFormat="1" customHeight="1" ht="11.549999999999999">
      <c r="A149" s="988"/>
      <c r="B149" s="988"/>
      <c r="C149" s="988"/>
      <c r="D149" s="988"/>
      <c r="E149" s="988"/>
      <c r="F149" s="1637"/>
      <c r="G149" s="1637"/>
      <c r="H149" s="352"/>
      <c r="N149" s="1367"/>
      <c r="P149" s="1367"/>
      <c r="Q149" s="1637"/>
      <c r="R149" s="1637"/>
      <c r="S149" s="1367"/>
      <c r="T149" s="1367"/>
      <c r="U149" s="1367"/>
      <c r="V149" s="1367"/>
      <c r="W149" s="1637"/>
      <c r="X149" s="1367"/>
      <c r="Y149" s="1367"/>
      <c r="Z149" s="545"/>
      <c r="AA149" s="1367"/>
      <c r="AB149" s="1367"/>
      <c r="AC149" s="1367"/>
      <c r="AD149" s="1367"/>
      <c r="AE149" s="1367"/>
      <c r="AF149" s="1633"/>
      <c r="AG149" s="623"/>
      <c r="AH149" s="623"/>
      <c r="AI149" s="623"/>
      <c r="AJ149" s="623"/>
      <c r="AK149" s="1642">
        <v>11</v>
      </c>
    </row>
    <row s="1642" customFormat="1" customHeight="1" ht="11.549999999999999">
      <c r="A150" s="988"/>
      <c r="B150" s="988"/>
      <c r="C150" s="988"/>
      <c r="D150" s="988"/>
      <c r="E150" s="988"/>
      <c r="F150" s="1637"/>
      <c r="G150" s="1637"/>
      <c r="H150" s="352"/>
      <c r="N150" s="1367"/>
      <c r="P150" s="1367"/>
      <c r="Q150" s="1637"/>
      <c r="R150" s="1637"/>
      <c r="S150" s="1367"/>
      <c r="T150" s="1367"/>
      <c r="U150" s="1367"/>
      <c r="V150" s="1367"/>
      <c r="W150" s="1637"/>
      <c r="X150" s="1367"/>
      <c r="Y150" s="1367"/>
      <c r="Z150" s="545"/>
      <c r="AA150" s="1367"/>
      <c r="AB150" s="1367"/>
      <c r="AC150" s="1367"/>
      <c r="AD150" s="1367"/>
      <c r="AE150" s="1367"/>
      <c r="AF150" s="1633"/>
      <c r="AG150" s="623"/>
      <c r="AH150" s="623"/>
      <c r="AI150" s="623"/>
      <c r="AJ150" s="623"/>
      <c r="AK150" s="1642">
        <v>11</v>
      </c>
    </row>
    <row s="1642" customFormat="1" customHeight="1" ht="11.549999999999999">
      <c r="A151" s="988"/>
      <c r="B151" s="988"/>
      <c r="C151" s="988"/>
      <c r="D151" s="988"/>
      <c r="E151" s="988"/>
      <c r="F151" s="1637"/>
      <c r="G151" s="1637"/>
      <c r="H151" s="352"/>
      <c r="N151" s="1367"/>
      <c r="P151" s="1367"/>
      <c r="Q151" s="1637"/>
      <c r="R151" s="1637"/>
      <c r="S151" s="1367"/>
      <c r="T151" s="1367"/>
      <c r="U151" s="1367"/>
      <c r="V151" s="1367"/>
      <c r="W151" s="1637"/>
      <c r="X151" s="1367"/>
      <c r="Y151" s="1367"/>
      <c r="Z151" s="545"/>
      <c r="AA151" s="1367"/>
      <c r="AB151" s="1367"/>
      <c r="AC151" s="1367"/>
      <c r="AD151" s="1367"/>
      <c r="AE151" s="1367"/>
      <c r="AF151" s="1633"/>
      <c r="AG151" s="623"/>
      <c r="AH151" s="623"/>
      <c r="AI151" s="623"/>
      <c r="AJ151" s="623"/>
      <c r="AK151" s="1642">
        <v>11</v>
      </c>
    </row>
    <row s="1642" customFormat="1" customHeight="1" ht="11.549999999999999">
      <c r="A152" s="988"/>
      <c r="B152" s="988"/>
      <c r="C152" s="988"/>
      <c r="D152" s="988"/>
      <c r="E152" s="988"/>
      <c r="F152" s="1637"/>
      <c r="G152" s="1637"/>
      <c r="H152" s="352"/>
      <c r="N152" s="1367"/>
      <c r="P152" s="1367"/>
      <c r="Q152" s="1637"/>
      <c r="R152" s="1637"/>
      <c r="S152" s="1367"/>
      <c r="T152" s="1367"/>
      <c r="U152" s="1367"/>
      <c r="V152" s="1367"/>
      <c r="W152" s="1637"/>
      <c r="X152" s="1367"/>
      <c r="Y152" s="1367"/>
      <c r="Z152" s="545"/>
      <c r="AA152" s="1367"/>
      <c r="AB152" s="1367"/>
      <c r="AC152" s="1367"/>
      <c r="AD152" s="1367"/>
      <c r="AE152" s="1367"/>
      <c r="AF152" s="1633"/>
      <c r="AG152" s="623"/>
      <c r="AH152" s="623"/>
      <c r="AI152" s="623"/>
      <c r="AJ152" s="623"/>
      <c r="AK152" s="1642">
        <v>11</v>
      </c>
    </row>
    <row s="1642" customFormat="1" customHeight="1" ht="11.549999999999999">
      <c r="A153" s="988"/>
      <c r="B153" s="988"/>
      <c r="C153" s="988"/>
      <c r="D153" s="988"/>
      <c r="E153" s="988"/>
      <c r="F153" s="1637"/>
      <c r="G153" s="1637"/>
      <c r="H153" s="352"/>
      <c r="N153" s="1367"/>
      <c r="P153" s="1367"/>
      <c r="Q153" s="1637"/>
      <c r="R153" s="1637"/>
      <c r="S153" s="1367"/>
      <c r="T153" s="1367"/>
      <c r="U153" s="1367"/>
      <c r="V153" s="1367"/>
      <c r="W153" s="1637"/>
      <c r="X153" s="1367"/>
      <c r="Y153" s="1367"/>
      <c r="Z153" s="545"/>
      <c r="AA153" s="1367"/>
      <c r="AB153" s="1367"/>
      <c r="AC153" s="1367"/>
      <c r="AD153" s="1367"/>
      <c r="AE153" s="1367"/>
      <c r="AF153" s="1633"/>
      <c r="AG153" s="623"/>
      <c r="AH153" s="623"/>
      <c r="AI153" s="623"/>
      <c r="AJ153" s="623"/>
      <c r="AK153" s="1642">
        <v>11</v>
      </c>
    </row>
    <row s="1642" customFormat="1" customHeight="1" ht="11.549999999999999">
      <c r="A154" s="988"/>
      <c r="B154" s="988"/>
      <c r="C154" s="988"/>
      <c r="D154" s="988"/>
      <c r="E154" s="988"/>
      <c r="F154" s="1637"/>
      <c r="G154" s="1637"/>
      <c r="H154" s="352"/>
      <c r="N154" s="1367"/>
      <c r="P154" s="1367"/>
      <c r="Q154" s="1637"/>
      <c r="R154" s="1637"/>
      <c r="S154" s="1367"/>
      <c r="T154" s="1367"/>
      <c r="U154" s="1367"/>
      <c r="V154" s="1367"/>
      <c r="W154" s="1637"/>
      <c r="X154" s="1367"/>
      <c r="Y154" s="1367"/>
      <c r="Z154" s="545"/>
      <c r="AA154" s="1367"/>
      <c r="AB154" s="1367"/>
      <c r="AC154" s="1367"/>
      <c r="AD154" s="1367"/>
      <c r="AE154" s="1367"/>
      <c r="AF154" s="1633"/>
      <c r="AG154" s="623"/>
      <c r="AH154" s="623"/>
      <c r="AI154" s="623"/>
      <c r="AJ154" s="623"/>
      <c r="AK154" s="1642">
        <v>11</v>
      </c>
    </row>
    <row s="1642" customFormat="1" customHeight="1" ht="11.549999999999999">
      <c r="A155" s="988"/>
      <c r="B155" s="988"/>
      <c r="C155" s="988"/>
      <c r="D155" s="988"/>
      <c r="E155" s="988"/>
      <c r="F155" s="1637"/>
      <c r="G155" s="1637"/>
      <c r="H155" s="352"/>
      <c r="N155" s="1367"/>
      <c r="P155" s="1367"/>
      <c r="Q155" s="1637"/>
      <c r="R155" s="1637"/>
      <c r="S155" s="1367"/>
      <c r="T155" s="1367"/>
      <c r="U155" s="1367"/>
      <c r="V155" s="1367"/>
      <c r="W155" s="1637"/>
      <c r="X155" s="1367"/>
      <c r="Y155" s="1367"/>
      <c r="Z155" s="545"/>
      <c r="AA155" s="1367"/>
      <c r="AB155" s="1367"/>
      <c r="AC155" s="1367"/>
      <c r="AD155" s="1367"/>
      <c r="AE155" s="1367"/>
      <c r="AF155" s="1633"/>
      <c r="AG155" s="623"/>
      <c r="AH155" s="623"/>
      <c r="AI155" s="623"/>
      <c r="AJ155" s="623"/>
      <c r="AK155" s="1642">
        <v>11</v>
      </c>
    </row>
    <row s="1642" customFormat="1" customHeight="1" ht="11.549999999999999">
      <c r="A156" s="988"/>
      <c r="B156" s="988"/>
      <c r="C156" s="988"/>
      <c r="D156" s="988"/>
      <c r="E156" s="988"/>
      <c r="F156" s="1637"/>
      <c r="G156" s="1637"/>
      <c r="H156" s="352"/>
      <c r="N156" s="1367"/>
      <c r="P156" s="1367"/>
      <c r="Q156" s="1637"/>
      <c r="R156" s="1637"/>
      <c r="S156" s="1367"/>
      <c r="T156" s="1367"/>
      <c r="U156" s="1367"/>
      <c r="V156" s="1367"/>
      <c r="W156" s="1637"/>
      <c r="X156" s="1367"/>
      <c r="Y156" s="1367"/>
      <c r="Z156" s="545"/>
      <c r="AA156" s="1367"/>
      <c r="AB156" s="1367"/>
      <c r="AC156" s="1367"/>
      <c r="AD156" s="1367"/>
      <c r="AE156" s="1367"/>
      <c r="AF156" s="1633"/>
      <c r="AG156" s="623"/>
      <c r="AH156" s="623"/>
      <c r="AI156" s="623"/>
      <c r="AJ156" s="623"/>
      <c r="AK156" s="1642">
        <v>11</v>
      </c>
    </row>
    <row s="1642" customFormat="1" customHeight="1" ht="11.549999999999999">
      <c r="A157" s="988"/>
      <c r="B157" s="988"/>
      <c r="C157" s="988"/>
      <c r="D157" s="988"/>
      <c r="E157" s="988"/>
      <c r="F157" s="1637"/>
      <c r="G157" s="1637"/>
      <c r="H157" s="352"/>
      <c r="N157" s="1367"/>
      <c r="P157" s="1367"/>
      <c r="Q157" s="1637"/>
      <c r="R157" s="1637"/>
      <c r="S157" s="1367"/>
      <c r="T157" s="1367"/>
      <c r="U157" s="1367"/>
      <c r="V157" s="1367"/>
      <c r="W157" s="1637"/>
      <c r="X157" s="1367"/>
      <c r="Y157" s="1367"/>
      <c r="Z157" s="545"/>
      <c r="AA157" s="1367"/>
      <c r="AB157" s="1367"/>
      <c r="AC157" s="1367"/>
      <c r="AD157" s="1367"/>
      <c r="AE157" s="1367"/>
      <c r="AF157" s="1633"/>
      <c r="AG157" s="623"/>
      <c r="AH157" s="623"/>
      <c r="AI157" s="623"/>
      <c r="AJ157" s="623"/>
      <c r="AK157" s="1642">
        <v>11</v>
      </c>
    </row>
    <row s="1642" customFormat="1" customHeight="1" ht="11.549999999999999">
      <c r="A158" s="988"/>
      <c r="B158" s="988"/>
      <c r="C158" s="988"/>
      <c r="D158" s="988"/>
      <c r="E158" s="988"/>
      <c r="F158" s="1637"/>
      <c r="G158" s="1637"/>
      <c r="H158" s="352"/>
      <c r="N158" s="1367"/>
      <c r="P158" s="1367"/>
      <c r="Q158" s="1637"/>
      <c r="R158" s="1637"/>
      <c r="S158" s="1367"/>
      <c r="T158" s="1367"/>
      <c r="U158" s="1367"/>
      <c r="V158" s="1367"/>
      <c r="W158" s="1637"/>
      <c r="X158" s="1367"/>
      <c r="Y158" s="1367"/>
      <c r="Z158" s="545"/>
      <c r="AA158" s="1367"/>
      <c r="AB158" s="1367"/>
      <c r="AC158" s="1367"/>
      <c r="AD158" s="1367"/>
      <c r="AE158" s="1367"/>
      <c r="AF158" s="1633"/>
      <c r="AG158" s="623"/>
      <c r="AH158" s="623"/>
      <c r="AI158" s="623"/>
      <c r="AJ158" s="623"/>
      <c r="AK158" s="1642">
        <v>11</v>
      </c>
    </row>
    <row s="1642" customFormat="1" customHeight="1" ht="11.549999999999999">
      <c r="A159" s="988"/>
      <c r="B159" s="988"/>
      <c r="C159" s="988"/>
      <c r="D159" s="988"/>
      <c r="E159" s="988"/>
      <c r="F159" s="1637"/>
      <c r="G159" s="1637"/>
      <c r="H159" s="352"/>
      <c r="N159" s="1367"/>
      <c r="P159" s="1367"/>
      <c r="Q159" s="1637"/>
      <c r="R159" s="1637"/>
      <c r="S159" s="1367"/>
      <c r="T159" s="1367"/>
      <c r="U159" s="1367"/>
      <c r="V159" s="1367"/>
      <c r="W159" s="1637"/>
      <c r="X159" s="1367"/>
      <c r="Y159" s="1367"/>
      <c r="Z159" s="545"/>
      <c r="AA159" s="1367"/>
      <c r="AB159" s="1367"/>
      <c r="AC159" s="1367"/>
      <c r="AD159" s="1367"/>
      <c r="AE159" s="1367"/>
      <c r="AF159" s="1633"/>
      <c r="AG159" s="623"/>
      <c r="AH159" s="623"/>
      <c r="AI159" s="623"/>
      <c r="AJ159" s="623"/>
      <c r="AK159" s="1642">
        <v>11</v>
      </c>
    </row>
    <row s="1642" customFormat="1" customHeight="1" ht="11.549999999999999">
      <c r="A160" s="988"/>
      <c r="B160" s="988"/>
      <c r="C160" s="988"/>
      <c r="D160" s="988"/>
      <c r="E160" s="988"/>
      <c r="F160" s="1637"/>
      <c r="G160" s="1637"/>
      <c r="H160" s="352"/>
      <c r="N160" s="1367"/>
      <c r="P160" s="1367"/>
      <c r="Q160" s="1637"/>
      <c r="R160" s="1637"/>
      <c r="S160" s="1367"/>
      <c r="T160" s="1367"/>
      <c r="U160" s="1367"/>
      <c r="V160" s="1367"/>
      <c r="W160" s="1637"/>
      <c r="X160" s="1367"/>
      <c r="Y160" s="1367"/>
      <c r="Z160" s="545"/>
      <c r="AA160" s="1367"/>
      <c r="AB160" s="1367"/>
      <c r="AC160" s="1367"/>
      <c r="AD160" s="1367"/>
      <c r="AE160" s="1367"/>
      <c r="AF160" s="1633"/>
      <c r="AG160" s="623"/>
      <c r="AH160" s="623"/>
      <c r="AI160" s="623"/>
      <c r="AJ160" s="623"/>
      <c r="AK160" s="1642">
        <v>11</v>
      </c>
    </row>
    <row s="1642" customFormat="1" customHeight="1" ht="11.549999999999999">
      <c r="A161" s="988"/>
      <c r="B161" s="988"/>
      <c r="C161" s="988"/>
      <c r="D161" s="988"/>
      <c r="E161" s="988"/>
      <c r="F161" s="1637"/>
      <c r="G161" s="1637"/>
      <c r="H161" s="352"/>
      <c r="N161" s="1367"/>
      <c r="P161" s="1367"/>
      <c r="Q161" s="1637"/>
      <c r="R161" s="1637"/>
      <c r="S161" s="1367"/>
      <c r="T161" s="1367"/>
      <c r="U161" s="1367"/>
      <c r="V161" s="1367"/>
      <c r="W161" s="1637"/>
      <c r="X161" s="1367"/>
      <c r="Y161" s="1367"/>
      <c r="Z161" s="545"/>
      <c r="AA161" s="1367"/>
      <c r="AB161" s="1367"/>
      <c r="AC161" s="1367"/>
      <c r="AD161" s="1367"/>
      <c r="AE161" s="1367"/>
      <c r="AF161" s="1633"/>
      <c r="AG161" s="623"/>
      <c r="AH161" s="623"/>
      <c r="AI161" s="623"/>
      <c r="AJ161" s="623"/>
      <c r="AK161" s="1642">
        <v>11</v>
      </c>
    </row>
    <row s="1642" customFormat="1" customHeight="1" ht="11.549999999999999">
      <c r="A162" s="988"/>
      <c r="B162" s="988"/>
      <c r="C162" s="988"/>
      <c r="D162" s="988"/>
      <c r="E162" s="988"/>
      <c r="F162" s="1637"/>
      <c r="G162" s="1637"/>
      <c r="H162" s="352"/>
      <c r="N162" s="1367"/>
      <c r="P162" s="1367"/>
      <c r="Q162" s="1637"/>
      <c r="R162" s="1637"/>
      <c r="S162" s="1367"/>
      <c r="T162" s="1367"/>
      <c r="U162" s="1367"/>
      <c r="V162" s="1367"/>
      <c r="W162" s="1637"/>
      <c r="X162" s="1367"/>
      <c r="Y162" s="1367"/>
      <c r="Z162" s="545"/>
      <c r="AA162" s="1367"/>
      <c r="AB162" s="1367"/>
      <c r="AC162" s="1367"/>
      <c r="AD162" s="1367"/>
      <c r="AE162" s="1367"/>
      <c r="AF162" s="1633"/>
      <c r="AG162" s="623"/>
      <c r="AH162" s="623"/>
      <c r="AI162" s="623"/>
      <c r="AJ162" s="623"/>
      <c r="AK162" s="1642">
        <v>11</v>
      </c>
    </row>
    <row s="1642" customFormat="1" customHeight="1" ht="11.549999999999999">
      <c r="A163" s="988"/>
      <c r="B163" s="988"/>
      <c r="C163" s="988"/>
      <c r="D163" s="988"/>
      <c r="E163" s="988"/>
      <c r="F163" s="1637"/>
      <c r="G163" s="1637"/>
      <c r="H163" s="352"/>
      <c r="N163" s="1367"/>
      <c r="P163" s="1367"/>
      <c r="Q163" s="1637"/>
      <c r="R163" s="1637"/>
      <c r="S163" s="1367"/>
      <c r="T163" s="1367"/>
      <c r="U163" s="1367"/>
      <c r="V163" s="1367"/>
      <c r="W163" s="1637"/>
      <c r="X163" s="1367"/>
      <c r="Y163" s="1367"/>
      <c r="Z163" s="545"/>
      <c r="AA163" s="1367"/>
      <c r="AB163" s="1367"/>
      <c r="AC163" s="1367"/>
      <c r="AD163" s="1367"/>
      <c r="AE163" s="1367"/>
      <c r="AF163" s="1633"/>
      <c r="AG163" s="623"/>
      <c r="AH163" s="623"/>
      <c r="AI163" s="623"/>
      <c r="AJ163" s="623"/>
      <c r="AK163" s="1642">
        <v>11</v>
      </c>
    </row>
    <row s="1642" customFormat="1" customHeight="1" ht="11.549999999999999">
      <c r="A164" s="988"/>
      <c r="B164" s="988"/>
      <c r="C164" s="988"/>
      <c r="D164" s="988"/>
      <c r="E164" s="988"/>
      <c r="F164" s="1637"/>
      <c r="G164" s="1637"/>
      <c r="H164" s="352"/>
      <c r="N164" s="1367"/>
      <c r="P164" s="1367"/>
      <c r="Q164" s="1637"/>
      <c r="R164" s="1637"/>
      <c r="S164" s="1367"/>
      <c r="T164" s="1367"/>
      <c r="U164" s="1367"/>
      <c r="V164" s="1367"/>
      <c r="W164" s="1637"/>
      <c r="X164" s="1367"/>
      <c r="Y164" s="1367"/>
      <c r="Z164" s="545"/>
      <c r="AA164" s="1367"/>
      <c r="AB164" s="1367"/>
      <c r="AC164" s="1367"/>
      <c r="AD164" s="1367"/>
      <c r="AE164" s="1367"/>
      <c r="AF164" s="1633"/>
      <c r="AG164" s="623"/>
      <c r="AH164" s="623"/>
      <c r="AI164" s="623"/>
      <c r="AJ164" s="623"/>
      <c r="AK164" s="1642">
        <v>11</v>
      </c>
    </row>
    <row s="1642" customFormat="1" customHeight="1" ht="11.549999999999999">
      <c r="A165" s="988"/>
      <c r="B165" s="988"/>
      <c r="C165" s="988"/>
      <c r="D165" s="988"/>
      <c r="E165" s="988"/>
      <c r="F165" s="1637"/>
      <c r="G165" s="1637"/>
      <c r="H165" s="352"/>
      <c r="N165" s="1367"/>
      <c r="P165" s="1367"/>
      <c r="Q165" s="1637"/>
      <c r="R165" s="1637"/>
      <c r="S165" s="1367"/>
      <c r="T165" s="1367"/>
      <c r="U165" s="1367"/>
      <c r="V165" s="1367"/>
      <c r="W165" s="1637"/>
      <c r="X165" s="1367"/>
      <c r="Y165" s="1367"/>
      <c r="Z165" s="545"/>
      <c r="AA165" s="1367"/>
      <c r="AB165" s="1367"/>
      <c r="AC165" s="1367"/>
      <c r="AD165" s="1367"/>
      <c r="AE165" s="1367"/>
      <c r="AF165" s="1633"/>
      <c r="AG165" s="623"/>
      <c r="AH165" s="623"/>
      <c r="AI165" s="623"/>
      <c r="AJ165" s="623"/>
      <c r="AK165" s="1642">
        <v>11</v>
      </c>
    </row>
    <row s="1642" customFormat="1" customHeight="1" ht="11.549999999999999">
      <c r="A166" s="988"/>
      <c r="B166" s="988"/>
      <c r="C166" s="988"/>
      <c r="D166" s="988"/>
      <c r="E166" s="988"/>
      <c r="F166" s="1637"/>
      <c r="G166" s="1637"/>
      <c r="H166" s="352"/>
      <c r="N166" s="1367"/>
      <c r="P166" s="1367"/>
      <c r="Q166" s="1637"/>
      <c r="R166" s="1637"/>
      <c r="S166" s="1367"/>
      <c r="T166" s="1367"/>
      <c r="U166" s="1367"/>
      <c r="V166" s="1367"/>
      <c r="W166" s="1637"/>
      <c r="X166" s="1367"/>
      <c r="Y166" s="1367"/>
      <c r="Z166" s="545"/>
      <c r="AA166" s="1367"/>
      <c r="AB166" s="1367"/>
      <c r="AC166" s="1367"/>
      <c r="AD166" s="1367"/>
      <c r="AE166" s="1367"/>
      <c r="AF166" s="1633"/>
      <c r="AG166" s="623"/>
      <c r="AH166" s="623"/>
      <c r="AI166" s="623"/>
      <c r="AJ166" s="623"/>
      <c r="AK166" s="1642">
        <v>11</v>
      </c>
    </row>
    <row s="1642" customFormat="1" customHeight="1" ht="11.549999999999999">
      <c r="A167" s="988"/>
      <c r="B167" s="988"/>
      <c r="C167" s="988"/>
      <c r="D167" s="988"/>
      <c r="E167" s="988"/>
      <c r="F167" s="1637"/>
      <c r="G167" s="1637"/>
      <c r="H167" s="352"/>
      <c r="N167" s="1367"/>
      <c r="P167" s="1367"/>
      <c r="Q167" s="1637"/>
      <c r="R167" s="1637"/>
      <c r="S167" s="1367"/>
      <c r="T167" s="1367"/>
      <c r="U167" s="1367"/>
      <c r="V167" s="1367"/>
      <c r="W167" s="1637"/>
      <c r="X167" s="1367"/>
      <c r="Y167" s="1367"/>
      <c r="Z167" s="545"/>
      <c r="AA167" s="1367"/>
      <c r="AB167" s="1367"/>
      <c r="AC167" s="1367"/>
      <c r="AD167" s="1367"/>
      <c r="AE167" s="1367"/>
      <c r="AF167" s="1633"/>
      <c r="AG167" s="623"/>
      <c r="AH167" s="623"/>
      <c r="AI167" s="623"/>
      <c r="AJ167" s="623"/>
      <c r="AK167" s="1642">
        <v>11</v>
      </c>
    </row>
    <row s="1642" customFormat="1" customHeight="1" ht="11.549999999999999">
      <c r="A168" s="988"/>
      <c r="B168" s="988"/>
      <c r="C168" s="988"/>
      <c r="D168" s="988"/>
      <c r="E168" s="988"/>
      <c r="F168" s="1637"/>
      <c r="G168" s="1637"/>
      <c r="H168" s="352"/>
      <c r="N168" s="1367"/>
      <c r="P168" s="1367"/>
      <c r="Q168" s="1637"/>
      <c r="R168" s="1637"/>
      <c r="S168" s="1367"/>
      <c r="T168" s="1367"/>
      <c r="U168" s="1367"/>
      <c r="V168" s="1367"/>
      <c r="W168" s="1637"/>
      <c r="X168" s="1367"/>
      <c r="Y168" s="1367"/>
      <c r="Z168" s="545"/>
      <c r="AA168" s="1367"/>
      <c r="AB168" s="1367"/>
      <c r="AC168" s="1367"/>
      <c r="AD168" s="1367"/>
      <c r="AE168" s="1367"/>
      <c r="AF168" s="1633"/>
      <c r="AG168" s="623"/>
      <c r="AH168" s="623"/>
      <c r="AI168" s="623"/>
      <c r="AJ168" s="623"/>
      <c r="AK168" s="1642">
        <v>11</v>
      </c>
    </row>
    <row s="1642" customFormat="1" customHeight="1" ht="11.549999999999999">
      <c r="A169" s="988"/>
      <c r="B169" s="988"/>
      <c r="C169" s="988"/>
      <c r="D169" s="988"/>
      <c r="E169" s="988"/>
      <c r="F169" s="1637"/>
      <c r="G169" s="1637"/>
      <c r="H169" s="352"/>
      <c r="N169" s="1367"/>
      <c r="P169" s="1367"/>
      <c r="Q169" s="1637"/>
      <c r="R169" s="1637"/>
      <c r="S169" s="1367"/>
      <c r="T169" s="1367"/>
      <c r="U169" s="1367"/>
      <c r="V169" s="1367"/>
      <c r="W169" s="1637"/>
      <c r="X169" s="1367"/>
      <c r="Y169" s="1367"/>
      <c r="Z169" s="545"/>
      <c r="AA169" s="1367"/>
      <c r="AB169" s="1367"/>
      <c r="AC169" s="1367"/>
      <c r="AD169" s="1367"/>
      <c r="AE169" s="1367"/>
      <c r="AF169" s="1633"/>
      <c r="AG169" s="623"/>
      <c r="AH169" s="623"/>
      <c r="AI169" s="623"/>
      <c r="AJ169" s="623"/>
      <c r="AK169" s="1642">
        <v>11</v>
      </c>
    </row>
    <row s="1642" customFormat="1" customHeight="1" ht="11.549999999999999">
      <c r="A170" s="988"/>
      <c r="B170" s="988"/>
      <c r="C170" s="988"/>
      <c r="D170" s="988"/>
      <c r="E170" s="988"/>
      <c r="F170" s="1637"/>
      <c r="G170" s="1637"/>
      <c r="H170" s="352"/>
      <c r="N170" s="1367"/>
      <c r="P170" s="1367"/>
      <c r="Q170" s="1637"/>
      <c r="R170" s="1637"/>
      <c r="S170" s="1367"/>
      <c r="T170" s="1367"/>
      <c r="U170" s="1367"/>
      <c r="V170" s="1367"/>
      <c r="W170" s="1637"/>
      <c r="X170" s="1367"/>
      <c r="Y170" s="1367"/>
      <c r="Z170" s="545"/>
      <c r="AA170" s="1367"/>
      <c r="AB170" s="1367"/>
      <c r="AC170" s="1367"/>
      <c r="AD170" s="1367"/>
      <c r="AE170" s="1367"/>
      <c r="AF170" s="1633"/>
      <c r="AG170" s="623"/>
      <c r="AH170" s="623"/>
      <c r="AI170" s="623"/>
      <c r="AJ170" s="623"/>
      <c r="AK170" s="1642">
        <v>11</v>
      </c>
    </row>
    <row s="1642" customFormat="1" customHeight="1" ht="11.549999999999999">
      <c r="A171" s="988"/>
      <c r="B171" s="988"/>
      <c r="C171" s="988"/>
      <c r="D171" s="988"/>
      <c r="E171" s="988"/>
      <c r="F171" s="1637"/>
      <c r="G171" s="1637"/>
      <c r="H171" s="352"/>
      <c r="N171" s="1367"/>
      <c r="P171" s="1367"/>
      <c r="Q171" s="1637"/>
      <c r="R171" s="1637"/>
      <c r="S171" s="1367"/>
      <c r="T171" s="1367"/>
      <c r="U171" s="1367"/>
      <c r="V171" s="1367"/>
      <c r="W171" s="1637"/>
      <c r="X171" s="1367"/>
      <c r="Y171" s="1367"/>
      <c r="Z171" s="545"/>
      <c r="AA171" s="1367"/>
      <c r="AB171" s="1367"/>
      <c r="AC171" s="1367"/>
      <c r="AD171" s="1367"/>
      <c r="AE171" s="1367"/>
      <c r="AF171" s="1633"/>
      <c r="AG171" s="623"/>
      <c r="AH171" s="623"/>
      <c r="AI171" s="623"/>
      <c r="AJ171" s="623"/>
      <c r="AK171" s="1642">
        <v>11</v>
      </c>
    </row>
    <row s="1642" customFormat="1" customHeight="1" ht="11.549999999999999">
      <c r="A172" s="988"/>
      <c r="B172" s="988"/>
      <c r="C172" s="988"/>
      <c r="D172" s="988"/>
      <c r="E172" s="988"/>
      <c r="F172" s="1637"/>
      <c r="G172" s="1637"/>
      <c r="H172" s="352"/>
      <c r="N172" s="1367"/>
      <c r="P172" s="1367"/>
      <c r="Q172" s="1637"/>
      <c r="R172" s="1637"/>
      <c r="S172" s="1367"/>
      <c r="T172" s="1367"/>
      <c r="U172" s="1367"/>
      <c r="V172" s="1367"/>
      <c r="W172" s="1637"/>
      <c r="X172" s="1367"/>
      <c r="Y172" s="1367"/>
      <c r="Z172" s="545"/>
      <c r="AA172" s="1367"/>
      <c r="AB172" s="1367"/>
      <c r="AC172" s="1367"/>
      <c r="AD172" s="1367"/>
      <c r="AE172" s="1367"/>
      <c r="AF172" s="1633"/>
      <c r="AG172" s="623"/>
      <c r="AH172" s="623"/>
      <c r="AI172" s="623"/>
      <c r="AJ172" s="623"/>
      <c r="AK172" s="1642">
        <v>11</v>
      </c>
    </row>
    <row s="1642" customFormat="1" customHeight="1" ht="11.549999999999999">
      <c r="A173" s="988"/>
      <c r="B173" s="988"/>
      <c r="C173" s="988"/>
      <c r="D173" s="988"/>
      <c r="E173" s="988"/>
      <c r="F173" s="1637"/>
      <c r="G173" s="1637"/>
      <c r="H173" s="352"/>
      <c r="N173" s="1367"/>
      <c r="P173" s="1367"/>
      <c r="Q173" s="1637"/>
      <c r="R173" s="1637"/>
      <c r="S173" s="1367"/>
      <c r="T173" s="1367"/>
      <c r="U173" s="1367"/>
      <c r="V173" s="1367"/>
      <c r="W173" s="1637"/>
      <c r="X173" s="1367"/>
      <c r="Y173" s="1367"/>
      <c r="Z173" s="545"/>
      <c r="AA173" s="1367"/>
      <c r="AB173" s="1367"/>
      <c r="AC173" s="1367"/>
      <c r="AD173" s="1367"/>
      <c r="AE173" s="1367"/>
      <c r="AF173" s="1633"/>
      <c r="AG173" s="623"/>
      <c r="AH173" s="623"/>
      <c r="AI173" s="623"/>
      <c r="AJ173" s="623"/>
      <c r="AK173" s="1642">
        <v>11</v>
      </c>
    </row>
    <row s="1642" customFormat="1" customHeight="1" ht="11.549999999999999">
      <c r="A174" s="988"/>
      <c r="B174" s="988"/>
      <c r="C174" s="988"/>
      <c r="D174" s="988"/>
      <c r="E174" s="988"/>
      <c r="F174" s="1637"/>
      <c r="G174" s="1637"/>
      <c r="H174" s="352"/>
      <c r="N174" s="1367"/>
      <c r="P174" s="1367"/>
      <c r="Q174" s="1637"/>
      <c r="R174" s="1637"/>
      <c r="S174" s="1367"/>
      <c r="T174" s="1367"/>
      <c r="U174" s="1367"/>
      <c r="V174" s="1367"/>
      <c r="W174" s="1637"/>
      <c r="X174" s="1367"/>
      <c r="Y174" s="1367"/>
      <c r="Z174" s="545"/>
      <c r="AA174" s="1367"/>
      <c r="AB174" s="1367"/>
      <c r="AC174" s="1367"/>
      <c r="AD174" s="1367"/>
      <c r="AE174" s="1367"/>
      <c r="AF174" s="1633"/>
      <c r="AG174" s="623"/>
      <c r="AH174" s="623"/>
      <c r="AI174" s="623"/>
      <c r="AJ174" s="623"/>
      <c r="AK174" s="1642">
        <v>11</v>
      </c>
    </row>
    <row s="1642" customFormat="1" customHeight="1" ht="11.549999999999999">
      <c r="A175" s="988"/>
      <c r="B175" s="988"/>
      <c r="C175" s="988"/>
      <c r="D175" s="988"/>
      <c r="E175" s="988"/>
      <c r="F175" s="1637"/>
      <c r="G175" s="1637"/>
      <c r="H175" s="352"/>
      <c r="N175" s="1367"/>
      <c r="P175" s="1367"/>
      <c r="Q175" s="1637"/>
      <c r="R175" s="1637"/>
      <c r="S175" s="1367"/>
      <c r="T175" s="1367"/>
      <c r="U175" s="1367"/>
      <c r="V175" s="1367"/>
      <c r="W175" s="1637"/>
      <c r="X175" s="1367"/>
      <c r="Y175" s="1367"/>
      <c r="Z175" s="545"/>
      <c r="AA175" s="1367"/>
      <c r="AB175" s="1367"/>
      <c r="AC175" s="1367"/>
      <c r="AD175" s="1367"/>
      <c r="AE175" s="1367"/>
      <c r="AF175" s="1633"/>
      <c r="AG175" s="623"/>
      <c r="AH175" s="623"/>
      <c r="AI175" s="623"/>
      <c r="AJ175" s="623"/>
      <c r="AK175" s="1642">
        <v>11</v>
      </c>
    </row>
    <row s="1642" customFormat="1" customHeight="1" ht="11.549999999999999">
      <c r="A176" s="988"/>
      <c r="B176" s="988"/>
      <c r="C176" s="988"/>
      <c r="D176" s="988"/>
      <c r="E176" s="988"/>
      <c r="F176" s="1637"/>
      <c r="G176" s="1637"/>
      <c r="H176" s="352"/>
      <c r="N176" s="1367"/>
      <c r="P176" s="1367"/>
      <c r="Q176" s="1637"/>
      <c r="R176" s="1637"/>
      <c r="S176" s="1367"/>
      <c r="T176" s="1367"/>
      <c r="U176" s="1367"/>
      <c r="V176" s="1367"/>
      <c r="W176" s="1637"/>
      <c r="X176" s="1367"/>
      <c r="Y176" s="1367"/>
      <c r="Z176" s="545"/>
      <c r="AA176" s="1367"/>
      <c r="AB176" s="1367"/>
      <c r="AC176" s="1367"/>
      <c r="AD176" s="1367"/>
      <c r="AE176" s="1367"/>
      <c r="AF176" s="1633"/>
      <c r="AG176" s="623"/>
      <c r="AH176" s="623"/>
      <c r="AI176" s="623"/>
      <c r="AJ176" s="623"/>
      <c r="AK176" s="1642">
        <v>11</v>
      </c>
    </row>
    <row s="1642" customFormat="1" customHeight="1" ht="11.549999999999999">
      <c r="A177" s="988"/>
      <c r="B177" s="988"/>
      <c r="C177" s="988"/>
      <c r="D177" s="988"/>
      <c r="E177" s="988"/>
      <c r="F177" s="1637"/>
      <c r="G177" s="1637"/>
      <c r="H177" s="352"/>
      <c r="N177" s="1367"/>
      <c r="P177" s="1367"/>
      <c r="Q177" s="1637"/>
      <c r="R177" s="1637"/>
      <c r="S177" s="1367"/>
      <c r="T177" s="1367"/>
      <c r="U177" s="1367"/>
      <c r="V177" s="1367"/>
      <c r="W177" s="1637"/>
      <c r="X177" s="1367"/>
      <c r="Y177" s="1367"/>
      <c r="Z177" s="545"/>
      <c r="AA177" s="1367"/>
      <c r="AB177" s="1367"/>
      <c r="AC177" s="1367"/>
      <c r="AD177" s="1367"/>
      <c r="AE177" s="1367"/>
      <c r="AF177" s="1633"/>
      <c r="AG177" s="623"/>
      <c r="AH177" s="623"/>
      <c r="AI177" s="623"/>
      <c r="AJ177" s="623"/>
      <c r="AK177" s="1642">
        <v>11</v>
      </c>
    </row>
    <row s="1642" customFormat="1" customHeight="1" ht="11.549999999999999">
      <c r="A178" s="988"/>
      <c r="B178" s="988"/>
      <c r="C178" s="988"/>
      <c r="D178" s="988"/>
      <c r="E178" s="988"/>
      <c r="F178" s="1637"/>
      <c r="G178" s="1637"/>
      <c r="H178" s="352"/>
      <c r="N178" s="1367"/>
      <c r="P178" s="1367"/>
      <c r="Q178" s="1637"/>
      <c r="R178" s="1637"/>
      <c r="S178" s="1367"/>
      <c r="T178" s="1367"/>
      <c r="U178" s="1367"/>
      <c r="V178" s="1367"/>
      <c r="W178" s="1637"/>
      <c r="X178" s="1367"/>
      <c r="Y178" s="1367"/>
      <c r="Z178" s="545"/>
      <c r="AA178" s="1367"/>
      <c r="AB178" s="1367"/>
      <c r="AC178" s="1367"/>
      <c r="AD178" s="1367"/>
      <c r="AE178" s="1367"/>
      <c r="AF178" s="1633"/>
      <c r="AG178" s="623"/>
      <c r="AH178" s="623"/>
      <c r="AI178" s="623"/>
      <c r="AJ178" s="623"/>
      <c r="AK178" s="1642">
        <v>11</v>
      </c>
    </row>
    <row s="1642" customFormat="1" customHeight="1" ht="11.549999999999999">
      <c r="A179" s="988"/>
      <c r="B179" s="988"/>
      <c r="C179" s="988"/>
      <c r="D179" s="988"/>
      <c r="E179" s="988"/>
      <c r="F179" s="1637"/>
      <c r="G179" s="1637"/>
      <c r="H179" s="352"/>
      <c r="N179" s="1367"/>
      <c r="P179" s="1367"/>
      <c r="Q179" s="1637"/>
      <c r="R179" s="1637"/>
      <c r="S179" s="1367"/>
      <c r="T179" s="1367"/>
      <c r="U179" s="1367"/>
      <c r="V179" s="1367"/>
      <c r="W179" s="1637"/>
      <c r="X179" s="1367"/>
      <c r="Y179" s="1367"/>
      <c r="Z179" s="545"/>
      <c r="AA179" s="1367"/>
      <c r="AB179" s="1367"/>
      <c r="AC179" s="1367"/>
      <c r="AD179" s="1367"/>
      <c r="AE179" s="1367"/>
      <c r="AF179" s="1633"/>
      <c r="AG179" s="623"/>
      <c r="AH179" s="623"/>
      <c r="AI179" s="623"/>
      <c r="AJ179" s="623"/>
      <c r="AK179" s="1642">
        <v>11</v>
      </c>
    </row>
    <row s="1642" customFormat="1" customHeight="1" ht="11.549999999999999">
      <c r="A180" s="988"/>
      <c r="B180" s="988"/>
      <c r="C180" s="988"/>
      <c r="D180" s="988"/>
      <c r="E180" s="988"/>
      <c r="F180" s="1637"/>
      <c r="G180" s="1637"/>
      <c r="H180" s="352"/>
      <c r="N180" s="1367"/>
      <c r="P180" s="1367"/>
      <c r="Q180" s="1637"/>
      <c r="R180" s="1637"/>
      <c r="S180" s="1367"/>
      <c r="T180" s="1367"/>
      <c r="U180" s="1367"/>
      <c r="V180" s="1367"/>
      <c r="W180" s="1637"/>
      <c r="X180" s="1367"/>
      <c r="Y180" s="1367"/>
      <c r="Z180" s="545"/>
      <c r="AA180" s="1367"/>
      <c r="AB180" s="1367"/>
      <c r="AC180" s="1367"/>
      <c r="AD180" s="1367"/>
      <c r="AE180" s="1367"/>
      <c r="AF180" s="1633"/>
      <c r="AG180" s="623"/>
      <c r="AH180" s="623"/>
      <c r="AI180" s="623"/>
      <c r="AJ180" s="623"/>
      <c r="AK180" s="1642">
        <v>11</v>
      </c>
    </row>
    <row s="1642" customFormat="1" customHeight="1" ht="11.549999999999999">
      <c r="A181" s="988"/>
      <c r="B181" s="988"/>
      <c r="C181" s="988"/>
      <c r="D181" s="988"/>
      <c r="E181" s="988"/>
      <c r="F181" s="1637"/>
      <c r="G181" s="1637"/>
      <c r="H181" s="352"/>
      <c r="N181" s="1367"/>
      <c r="P181" s="1367"/>
      <c r="Q181" s="1637"/>
      <c r="R181" s="1637"/>
      <c r="S181" s="1367"/>
      <c r="T181" s="1367"/>
      <c r="U181" s="1367"/>
      <c r="V181" s="1367"/>
      <c r="W181" s="1637"/>
      <c r="X181" s="1367"/>
      <c r="Y181" s="1367"/>
      <c r="Z181" s="545"/>
      <c r="AA181" s="1367"/>
      <c r="AB181" s="1367"/>
      <c r="AC181" s="1367"/>
      <c r="AD181" s="1367"/>
      <c r="AE181" s="1367"/>
      <c r="AF181" s="1633"/>
      <c r="AG181" s="623"/>
      <c r="AH181" s="623"/>
      <c r="AI181" s="623"/>
      <c r="AJ181" s="623"/>
      <c r="AK181" s="1642">
        <v>11</v>
      </c>
    </row>
    <row s="1642" customFormat="1" customHeight="1" ht="11.549999999999999">
      <c r="A182" s="988"/>
      <c r="B182" s="988"/>
      <c r="C182" s="988"/>
      <c r="D182" s="988"/>
      <c r="E182" s="988"/>
      <c r="F182" s="1637"/>
      <c r="G182" s="1637"/>
      <c r="H182" s="352"/>
      <c r="N182" s="1367"/>
      <c r="P182" s="1367"/>
      <c r="Q182" s="1637"/>
      <c r="R182" s="1637"/>
      <c r="S182" s="1367"/>
      <c r="T182" s="1367"/>
      <c r="U182" s="1367"/>
      <c r="V182" s="1367"/>
      <c r="W182" s="1637"/>
      <c r="X182" s="1367"/>
      <c r="Y182" s="1367"/>
      <c r="Z182" s="545"/>
      <c r="AA182" s="1367"/>
      <c r="AB182" s="1367"/>
      <c r="AC182" s="1367"/>
      <c r="AD182" s="1367"/>
      <c r="AE182" s="1367"/>
      <c r="AF182" s="1633"/>
      <c r="AG182" s="623"/>
      <c r="AH182" s="623"/>
      <c r="AI182" s="623"/>
      <c r="AJ182" s="623"/>
      <c r="AK182" s="1642">
        <v>11</v>
      </c>
    </row>
    <row s="1642" customFormat="1" customHeight="1" ht="11.549999999999999">
      <c r="A183" s="988"/>
      <c r="B183" s="988"/>
      <c r="C183" s="988"/>
      <c r="D183" s="988"/>
      <c r="E183" s="988"/>
      <c r="F183" s="1637"/>
      <c r="G183" s="1637"/>
      <c r="H183" s="352"/>
      <c r="N183" s="1367"/>
      <c r="P183" s="1367"/>
      <c r="Q183" s="1637"/>
      <c r="R183" s="1637"/>
      <c r="S183" s="1367"/>
      <c r="T183" s="1367"/>
      <c r="U183" s="1367"/>
      <c r="V183" s="1367"/>
      <c r="W183" s="1637"/>
      <c r="X183" s="1367"/>
      <c r="Y183" s="1367"/>
      <c r="Z183" s="545"/>
      <c r="AA183" s="1367"/>
      <c r="AB183" s="1367"/>
      <c r="AC183" s="1367"/>
      <c r="AD183" s="1367"/>
      <c r="AE183" s="1367"/>
      <c r="AF183" s="1633"/>
      <c r="AG183" s="623"/>
      <c r="AH183" s="623"/>
      <c r="AI183" s="623"/>
      <c r="AJ183" s="623"/>
      <c r="AK183" s="1642">
        <v>11</v>
      </c>
    </row>
    <row s="1642" customFormat="1" customHeight="1" ht="11.549999999999999">
      <c r="A184" s="988"/>
      <c r="B184" s="988"/>
      <c r="C184" s="988"/>
      <c r="D184" s="988"/>
      <c r="E184" s="988"/>
      <c r="F184" s="1637"/>
      <c r="G184" s="1637"/>
      <c r="H184" s="352"/>
      <c r="N184" s="1367"/>
      <c r="P184" s="1367"/>
      <c r="Q184" s="1637"/>
      <c r="R184" s="1637"/>
      <c r="S184" s="1367"/>
      <c r="T184" s="1367"/>
      <c r="U184" s="1367"/>
      <c r="V184" s="1367"/>
      <c r="W184" s="1637"/>
      <c r="X184" s="1367"/>
      <c r="Y184" s="1367"/>
      <c r="Z184" s="545"/>
      <c r="AA184" s="1367"/>
      <c r="AB184" s="1367"/>
      <c r="AC184" s="1367"/>
      <c r="AD184" s="1367"/>
      <c r="AE184" s="1367"/>
      <c r="AF184" s="1633"/>
      <c r="AG184" s="623"/>
      <c r="AH184" s="623"/>
      <c r="AI184" s="623"/>
      <c r="AJ184" s="623"/>
      <c r="AK184" s="1642">
        <v>11</v>
      </c>
    </row>
    <row s="1642" customFormat="1" customHeight="1" ht="11.549999999999999">
      <c r="A185" s="988"/>
      <c r="B185" s="988"/>
      <c r="C185" s="988"/>
      <c r="D185" s="988"/>
      <c r="E185" s="988"/>
      <c r="F185" s="1637"/>
      <c r="G185" s="1637"/>
      <c r="H185" s="352"/>
      <c r="N185" s="1367"/>
      <c r="P185" s="1367"/>
      <c r="Q185" s="1637"/>
      <c r="R185" s="1637"/>
      <c r="S185" s="1367"/>
      <c r="T185" s="1367"/>
      <c r="U185" s="1367"/>
      <c r="V185" s="1367"/>
      <c r="W185" s="1637"/>
      <c r="X185" s="1367"/>
      <c r="Y185" s="1367"/>
      <c r="Z185" s="545"/>
      <c r="AA185" s="1367"/>
      <c r="AB185" s="1367"/>
      <c r="AC185" s="1367"/>
      <c r="AD185" s="1367"/>
      <c r="AE185" s="1367"/>
      <c r="AF185" s="1633"/>
      <c r="AG185" s="623"/>
      <c r="AH185" s="623"/>
      <c r="AI185" s="623"/>
      <c r="AJ185" s="623"/>
      <c r="AK185" s="1642">
        <v>11</v>
      </c>
    </row>
    <row s="1642" customFormat="1" customHeight="1" ht="11.549999999999999">
      <c r="A186" s="988"/>
      <c r="B186" s="988"/>
      <c r="C186" s="988"/>
      <c r="D186" s="988"/>
      <c r="E186" s="988"/>
      <c r="F186" s="1637"/>
      <c r="G186" s="1637"/>
      <c r="H186" s="352"/>
      <c r="N186" s="1367"/>
      <c r="P186" s="1367"/>
      <c r="Q186" s="1637"/>
      <c r="R186" s="1637"/>
      <c r="S186" s="1367"/>
      <c r="T186" s="1367"/>
      <c r="U186" s="1367"/>
      <c r="V186" s="1367"/>
      <c r="W186" s="1637"/>
      <c r="X186" s="1367"/>
      <c r="Y186" s="1367"/>
      <c r="Z186" s="545"/>
      <c r="AA186" s="1367"/>
      <c r="AB186" s="1367"/>
      <c r="AC186" s="1367"/>
      <c r="AD186" s="1367"/>
      <c r="AE186" s="1367"/>
      <c r="AF186" s="1633"/>
      <c r="AG186" s="623"/>
      <c r="AH186" s="623"/>
      <c r="AI186" s="623"/>
      <c r="AJ186" s="623"/>
      <c r="AK186" s="1642">
        <v>11</v>
      </c>
    </row>
    <row s="1642" customFormat="1" customHeight="1" ht="11.549999999999999">
      <c r="A187" s="988"/>
      <c r="B187" s="988"/>
      <c r="C187" s="988"/>
      <c r="D187" s="988"/>
      <c r="E187" s="988"/>
      <c r="F187" s="1637"/>
      <c r="G187" s="1637"/>
      <c r="H187" s="352"/>
      <c r="N187" s="1367"/>
      <c r="P187" s="1367"/>
      <c r="Q187" s="1637"/>
      <c r="R187" s="1637"/>
      <c r="S187" s="1367"/>
      <c r="T187" s="1367"/>
      <c r="U187" s="1367"/>
      <c r="V187" s="1367"/>
      <c r="W187" s="1637"/>
      <c r="X187" s="1367"/>
      <c r="Y187" s="1367"/>
      <c r="Z187" s="545"/>
      <c r="AA187" s="1367"/>
      <c r="AB187" s="1367"/>
      <c r="AC187" s="1367"/>
      <c r="AD187" s="1367"/>
      <c r="AE187" s="1367"/>
      <c r="AF187" s="1633"/>
      <c r="AG187" s="623"/>
      <c r="AH187" s="623"/>
      <c r="AI187" s="623"/>
      <c r="AJ187" s="623"/>
      <c r="AK187" s="1642">
        <v>11</v>
      </c>
    </row>
    <row s="1642" customFormat="1" customHeight="1" ht="11.549999999999999">
      <c r="A188" s="988"/>
      <c r="B188" s="988"/>
      <c r="C188" s="988"/>
      <c r="D188" s="988"/>
      <c r="E188" s="988"/>
      <c r="F188" s="1637"/>
      <c r="G188" s="1637"/>
      <c r="H188" s="352"/>
      <c r="N188" s="1367"/>
      <c r="P188" s="1367"/>
      <c r="Q188" s="1637"/>
      <c r="R188" s="1637"/>
      <c r="S188" s="1367"/>
      <c r="T188" s="1367"/>
      <c r="U188" s="1367"/>
      <c r="V188" s="1367"/>
      <c r="W188" s="1637"/>
      <c r="X188" s="1367"/>
      <c r="Y188" s="1367"/>
      <c r="Z188" s="545"/>
      <c r="AA188" s="1367"/>
      <c r="AB188" s="1367"/>
      <c r="AC188" s="1367"/>
      <c r="AD188" s="1367"/>
      <c r="AE188" s="1367"/>
      <c r="AF188" s="1633"/>
      <c r="AG188" s="623"/>
      <c r="AH188" s="623"/>
      <c r="AI188" s="623"/>
      <c r="AJ188" s="623"/>
      <c r="AK188" s="1642">
        <v>11</v>
      </c>
    </row>
    <row s="1642" customFormat="1" customHeight="1" ht="11.549999999999999">
      <c r="A189" s="988"/>
      <c r="B189" s="988"/>
      <c r="C189" s="988"/>
      <c r="D189" s="988"/>
      <c r="E189" s="988"/>
      <c r="F189" s="1637"/>
      <c r="G189" s="1637"/>
      <c r="H189" s="352"/>
      <c r="N189" s="1367"/>
      <c r="P189" s="1367"/>
      <c r="Q189" s="1637"/>
      <c r="R189" s="1637"/>
      <c r="S189" s="1367"/>
      <c r="T189" s="1367"/>
      <c r="U189" s="1367"/>
      <c r="V189" s="1367"/>
      <c r="W189" s="1637"/>
      <c r="X189" s="1367"/>
      <c r="Y189" s="1367"/>
      <c r="Z189" s="545"/>
      <c r="AA189" s="1367"/>
      <c r="AB189" s="1367"/>
      <c r="AC189" s="1367"/>
      <c r="AD189" s="1367"/>
      <c r="AE189" s="1367"/>
      <c r="AF189" s="1633"/>
      <c r="AG189" s="623"/>
      <c r="AH189" s="623"/>
      <c r="AI189" s="623"/>
      <c r="AJ189" s="623"/>
      <c r="AK189" s="1642">
        <v>11</v>
      </c>
    </row>
    <row customHeight="1" ht="11.549999999999999">
      <c r="AK190" s="1632">
        <v>11</v>
      </c>
    </row>
    <row customHeight="1" ht="11.549999999999999">
      <c r="AK191" s="1632">
        <v>11</v>
      </c>
    </row>
    <row customHeight="1" ht="11.549999999999999">
      <c r="AK192" s="1632">
        <v>11</v>
      </c>
    </row>
    <row customHeight="1" ht="11.549999999999999">
      <c r="A193" s="991"/>
      <c r="B193" s="991"/>
      <c r="C193" s="991"/>
      <c r="D193" s="991"/>
      <c r="E193" s="991"/>
      <c r="F193" s="1632"/>
      <c r="H193" s="1632"/>
      <c r="N193" s="1632"/>
      <c r="P193" s="1632"/>
      <c r="S193" s="1632"/>
      <c r="T193" s="1632"/>
      <c r="U193" s="1632"/>
      <c r="V193" s="1632"/>
      <c r="X193" s="1632"/>
      <c r="Y193" s="1632"/>
      <c r="Z193" s="1632"/>
      <c r="AA193" s="1632"/>
      <c r="AB193" s="1632"/>
      <c r="AC193" s="1632"/>
      <c r="AD193" s="1632"/>
      <c r="AE193" s="1632"/>
      <c r="AF193" s="1632"/>
      <c r="AG193" s="1632"/>
      <c r="AH193" s="1632"/>
      <c r="AI193" s="1632"/>
      <c r="AJ193" s="1632"/>
      <c r="AK193" s="1632">
        <v>11</v>
      </c>
    </row>
    <row customHeight="1" ht="11.549999999999999">
      <c r="A194" s="991"/>
      <c r="B194" s="991"/>
      <c r="C194" s="991"/>
      <c r="D194" s="991"/>
      <c r="E194" s="991"/>
      <c r="F194" s="1632"/>
      <c r="H194" s="1632"/>
      <c r="N194" s="1632"/>
      <c r="P194" s="1632"/>
      <c r="S194" s="1632"/>
      <c r="T194" s="1632"/>
      <c r="U194" s="1632"/>
      <c r="V194" s="1632"/>
      <c r="X194" s="1632"/>
      <c r="Y194" s="1632"/>
      <c r="Z194" s="1632"/>
      <c r="AA194" s="1632"/>
      <c r="AB194" s="1632"/>
      <c r="AC194" s="1632"/>
      <c r="AD194" s="1632"/>
      <c r="AE194" s="1632"/>
      <c r="AF194" s="1632"/>
      <c r="AG194" s="1632"/>
      <c r="AH194" s="1632"/>
      <c r="AI194" s="1632"/>
      <c r="AJ194" s="1632"/>
      <c r="AK194" s="1632">
        <v>11</v>
      </c>
    </row>
    <row customHeight="1" ht="11.549999999999999">
      <c r="A195" s="991"/>
      <c r="B195" s="991"/>
      <c r="C195" s="991"/>
      <c r="D195" s="991"/>
      <c r="E195" s="991"/>
      <c r="F195" s="1632"/>
      <c r="H195" s="1632"/>
      <c r="N195" s="1632"/>
      <c r="P195" s="1632"/>
      <c r="S195" s="1632"/>
      <c r="T195" s="1632"/>
      <c r="U195" s="1632"/>
      <c r="V195" s="1632"/>
      <c r="X195" s="1632"/>
      <c r="Y195" s="1632"/>
      <c r="Z195" s="1632"/>
      <c r="AA195" s="1632"/>
      <c r="AB195" s="1632"/>
      <c r="AC195" s="1632"/>
      <c r="AD195" s="1632"/>
      <c r="AE195" s="1632"/>
      <c r="AF195" s="1632"/>
      <c r="AG195" s="1632"/>
      <c r="AH195" s="1632"/>
      <c r="AI195" s="1632"/>
      <c r="AJ195" s="1632"/>
      <c r="AK195" s="1632">
        <v>11</v>
      </c>
    </row>
    <row customHeight="1" ht="11.549999999999999">
      <c r="A196" s="991"/>
      <c r="B196" s="991"/>
      <c r="C196" s="991"/>
      <c r="D196" s="991"/>
      <c r="E196" s="991"/>
      <c r="F196" s="1632"/>
      <c r="H196" s="1632"/>
      <c r="N196" s="1632"/>
      <c r="P196" s="1632"/>
      <c r="S196" s="1632"/>
      <c r="T196" s="1632"/>
      <c r="U196" s="1632"/>
      <c r="V196" s="1632"/>
      <c r="X196" s="1632"/>
      <c r="Y196" s="1632"/>
      <c r="Z196" s="1632"/>
      <c r="AA196" s="1632"/>
      <c r="AB196" s="1632"/>
      <c r="AC196" s="1632"/>
      <c r="AD196" s="1632"/>
      <c r="AE196" s="1632"/>
      <c r="AF196" s="1632"/>
      <c r="AG196" s="1632"/>
      <c r="AH196" s="1632"/>
      <c r="AI196" s="1632"/>
      <c r="AJ196" s="1632"/>
      <c r="AK196" s="1632">
        <v>11</v>
      </c>
    </row>
    <row customHeight="1" ht="11.549999999999999">
      <c r="A197" s="991"/>
      <c r="B197" s="991"/>
      <c r="C197" s="991"/>
      <c r="D197" s="991"/>
      <c r="E197" s="991"/>
      <c r="F197" s="1632"/>
      <c r="H197" s="1632"/>
      <c r="N197" s="1632"/>
      <c r="P197" s="1632"/>
      <c r="S197" s="1632"/>
      <c r="T197" s="1632"/>
      <c r="U197" s="1632"/>
      <c r="V197" s="1632"/>
      <c r="X197" s="1632"/>
      <c r="Y197" s="1632"/>
      <c r="Z197" s="1632"/>
      <c r="AA197" s="1632"/>
      <c r="AB197" s="1632"/>
      <c r="AC197" s="1632"/>
      <c r="AD197" s="1632"/>
      <c r="AE197" s="1632"/>
      <c r="AF197" s="1632"/>
      <c r="AG197" s="1632"/>
      <c r="AH197" s="1632"/>
      <c r="AI197" s="1632"/>
      <c r="AJ197" s="1632"/>
      <c r="AK197" s="1632">
        <v>11</v>
      </c>
    </row>
    <row customHeight="1" ht="11.549999999999999">
      <c r="A198" s="991"/>
      <c r="B198" s="991"/>
      <c r="C198" s="991"/>
      <c r="D198" s="991"/>
      <c r="E198" s="991"/>
      <c r="F198" s="1632"/>
      <c r="H198" s="1632"/>
      <c r="N198" s="1632"/>
      <c r="P198" s="1632"/>
      <c r="S198" s="1632"/>
      <c r="T198" s="1632"/>
      <c r="U198" s="1632"/>
      <c r="V198" s="1632"/>
      <c r="X198" s="1632"/>
      <c r="Y198" s="1632"/>
      <c r="Z198" s="1632"/>
      <c r="AA198" s="1632"/>
      <c r="AB198" s="1632"/>
      <c r="AC198" s="1632"/>
      <c r="AD198" s="1632"/>
      <c r="AE198" s="1632"/>
      <c r="AF198" s="1632"/>
      <c r="AG198" s="1632"/>
      <c r="AH198" s="1632"/>
      <c r="AI198" s="1632"/>
      <c r="AJ198" s="1632"/>
      <c r="AK198" s="1632">
        <v>11</v>
      </c>
    </row>
    <row customHeight="1" ht="11.549999999999999">
      <c r="A199" s="991"/>
      <c r="B199" s="991"/>
      <c r="C199" s="991"/>
      <c r="D199" s="991"/>
      <c r="E199" s="991"/>
      <c r="F199" s="1632"/>
      <c r="H199" s="1632"/>
      <c r="N199" s="1632"/>
      <c r="P199" s="1632"/>
      <c r="S199" s="1632"/>
      <c r="T199" s="1632"/>
      <c r="U199" s="1632"/>
      <c r="V199" s="1632"/>
      <c r="X199" s="1632"/>
      <c r="Y199" s="1632"/>
      <c r="Z199" s="1632"/>
      <c r="AA199" s="1632"/>
      <c r="AB199" s="1632"/>
      <c r="AC199" s="1632"/>
      <c r="AD199" s="1632"/>
      <c r="AE199" s="1632"/>
      <c r="AF199" s="1632"/>
      <c r="AG199" s="1632"/>
      <c r="AH199" s="1632"/>
      <c r="AI199" s="1632"/>
      <c r="AJ199" s="1632"/>
      <c r="AK199" s="1632">
        <v>11</v>
      </c>
    </row>
    <row customHeight="1" ht="11.549999999999999">
      <c r="A200" s="991"/>
      <c r="B200" s="991"/>
      <c r="C200" s="991"/>
      <c r="D200" s="991"/>
      <c r="E200" s="991"/>
      <c r="F200" s="1632"/>
      <c r="H200" s="1632"/>
      <c r="N200" s="1632"/>
      <c r="P200" s="1632"/>
      <c r="S200" s="1632"/>
      <c r="T200" s="1632"/>
      <c r="U200" s="1632"/>
      <c r="V200" s="1632"/>
      <c r="X200" s="1632"/>
      <c r="Y200" s="1632"/>
      <c r="Z200" s="1632"/>
      <c r="AA200" s="1632"/>
      <c r="AB200" s="1632"/>
      <c r="AC200" s="1632"/>
      <c r="AD200" s="1632"/>
      <c r="AE200" s="1632"/>
      <c r="AF200" s="1632"/>
      <c r="AG200" s="1632"/>
      <c r="AH200" s="1632"/>
      <c r="AI200" s="1632"/>
      <c r="AJ200" s="1632"/>
      <c r="AK200" s="1632">
        <v>11</v>
      </c>
    </row>
    <row customHeight="1" ht="11.549999999999999">
      <c r="A201" s="991"/>
      <c r="B201" s="991"/>
      <c r="C201" s="991"/>
      <c r="D201" s="991"/>
      <c r="E201" s="991"/>
      <c r="F201" s="1632"/>
      <c r="H201" s="1632"/>
      <c r="N201" s="1632"/>
      <c r="P201" s="1632"/>
      <c r="S201" s="1632"/>
      <c r="T201" s="1632"/>
      <c r="U201" s="1632"/>
      <c r="V201" s="1632"/>
      <c r="X201" s="1632"/>
      <c r="Y201" s="1632"/>
      <c r="Z201" s="1632"/>
      <c r="AA201" s="1632"/>
      <c r="AB201" s="1632"/>
      <c r="AC201" s="1632"/>
      <c r="AD201" s="1632"/>
      <c r="AE201" s="1632"/>
      <c r="AF201" s="1632"/>
      <c r="AG201" s="1632"/>
      <c r="AH201" s="1632"/>
      <c r="AI201" s="1632"/>
      <c r="AJ201" s="1632"/>
      <c r="AK201" s="1632">
        <v>11</v>
      </c>
    </row>
    <row customHeight="1" ht="11.549999999999999">
      <c r="A202" s="991"/>
      <c r="B202" s="991"/>
      <c r="C202" s="991"/>
      <c r="D202" s="991"/>
      <c r="E202" s="991"/>
      <c r="F202" s="1632"/>
      <c r="H202" s="1632"/>
      <c r="N202" s="1632"/>
      <c r="P202" s="1632"/>
      <c r="S202" s="1632"/>
      <c r="T202" s="1632"/>
      <c r="U202" s="1632"/>
      <c r="V202" s="1632"/>
      <c r="X202" s="1632"/>
      <c r="Y202" s="1632"/>
      <c r="Z202" s="1632"/>
      <c r="AA202" s="1632"/>
      <c r="AB202" s="1632"/>
      <c r="AC202" s="1632"/>
      <c r="AD202" s="1632"/>
      <c r="AE202" s="1632"/>
      <c r="AF202" s="1632"/>
      <c r="AG202" s="1632"/>
      <c r="AH202" s="1632"/>
      <c r="AI202" s="1632"/>
      <c r="AJ202" s="1632"/>
      <c r="AK202" s="1632">
        <v>11</v>
      </c>
    </row>
    <row customHeight="1" ht="11.549999999999999">
      <c r="A203" s="991"/>
      <c r="B203" s="991"/>
      <c r="C203" s="991"/>
      <c r="D203" s="991"/>
      <c r="E203" s="991"/>
      <c r="F203" s="1632"/>
      <c r="H203" s="1632"/>
      <c r="N203" s="1632"/>
      <c r="P203" s="1632"/>
      <c r="S203" s="1632"/>
      <c r="T203" s="1632"/>
      <c r="U203" s="1632"/>
      <c r="V203" s="1632"/>
      <c r="X203" s="1632"/>
      <c r="Y203" s="1632"/>
      <c r="Z203" s="1632"/>
      <c r="AA203" s="1632"/>
      <c r="AB203" s="1632"/>
      <c r="AC203" s="1632"/>
      <c r="AD203" s="1632"/>
      <c r="AE203" s="1632"/>
      <c r="AF203" s="1632"/>
      <c r="AG203" s="1632"/>
      <c r="AH203" s="1632"/>
      <c r="AI203" s="1632"/>
      <c r="AJ203" s="1632"/>
      <c r="AK203" s="1632">
        <v>11</v>
      </c>
    </row>
    <row customHeight="1" ht="12.75" hidden="1">
      <c r="A204" s="988" t="s">
        <v>84</v>
      </c>
      <c r="B204" s="988" t="s">
        <v>152</v>
      </c>
      <c r="C204" s="988" t="s">
        <v>152</v>
      </c>
      <c r="D204" s="988" t="s">
        <v>152</v>
      </c>
      <c r="E204" s="988" t="s">
        <v>152</v>
      </c>
      <c r="F204" s="1636">
        <v>16</v>
      </c>
      <c r="G204" s="1637">
        <v>0</v>
      </c>
      <c r="H204" s="1636">
        <v>3</v>
      </c>
      <c r="I204" s="1632">
        <v>7</v>
      </c>
      <c r="J204" s="1632">
        <v>56</v>
      </c>
      <c r="K204" s="1632">
        <v>10</v>
      </c>
      <c r="L204" s="1632">
        <v>40</v>
      </c>
      <c r="M204" s="1632">
        <v>40</v>
      </c>
      <c r="N204" s="1367">
        <v>9</v>
      </c>
      <c r="O204" s="1632">
        <v>102</v>
      </c>
      <c r="P204" s="1367">
        <v>9</v>
      </c>
      <c r="Q204" s="1637">
        <v>5</v>
      </c>
      <c r="R204" s="1637">
        <v>3</v>
      </c>
      <c r="S204" s="1367">
        <v>3</v>
      </c>
      <c r="T204" s="1367">
        <v>3</v>
      </c>
      <c r="U204" s="1367">
        <v>3</v>
      </c>
      <c r="V204" s="1367">
        <v>3</v>
      </c>
      <c r="W204" s="1637">
        <v>10</v>
      </c>
      <c r="X204" s="1367">
        <v>34</v>
      </c>
      <c r="Y204" s="1367">
        <v>9</v>
      </c>
      <c r="Z204" s="545">
        <v>8</v>
      </c>
      <c r="AA204" s="1367">
        <v>8</v>
      </c>
      <c r="AB204" s="1367">
        <v>8</v>
      </c>
      <c r="AC204" s="1367">
        <v>8</v>
      </c>
      <c r="AD204" s="1367">
        <v>8</v>
      </c>
      <c r="AE204" s="1367">
        <v>8</v>
      </c>
      <c r="AF204" s="1633">
        <v>8</v>
      </c>
      <c r="AG204" s="1633">
        <v>8</v>
      </c>
      <c r="AH204" s="1633">
        <v>8</v>
      </c>
      <c r="AI204" s="1633">
        <v>8</v>
      </c>
      <c r="AJ204" s="1633">
        <v>8</v>
      </c>
      <c r="AK204" s="1632">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2AAAF2-E13A-A8CA-19E2-0.9AD830D5}" mc:Ignorable="x14ac xr xr2 xr3">
  <sheetPr>
    <tabColor theme="9" tint="-0.25"/>
  </sheetPr>
  <dimension ref="A1:W16"/>
  <sheetViews>
    <sheetView topLeftCell="A1" showGridLines="0" zoomScale="90" workbookViewId="0">
      <selection activeCell="A1" sqref="A1"/>
    </sheetView>
  </sheetViews>
  <sheetFormatPr defaultColWidth="10.57421875" customHeight="1" defaultRowHeight="14.25"/>
  <cols>
    <col min="1" max="4" style="1636" width="10.57421875" hidden="1"/>
    <col min="5" max="5" style="2398" width="9.140625" hidden="1" customWidth="1"/>
    <col min="6" max="7" style="1367" width="9.140625" hidden="1" customWidth="1"/>
    <col min="8" max="8" style="345" width="3.00390625" customWidth="1"/>
    <col min="9" max="9" style="1636" width="6.00390625" customWidth="1"/>
    <col min="10" max="10" style="1636" width="63.00390625" customWidth="1"/>
    <col min="11" max="11" style="1636" width="9.00390625" customWidth="1"/>
    <col min="12" max="12" style="1636" width="39.00390625" customWidth="1"/>
    <col min="13" max="13" style="1636" width="89.00390625" customWidth="1"/>
    <col min="14" max="14" style="1636" width="10.00390625" customWidth="1"/>
    <col min="15" max="16" style="1625" width="10.00390625" customWidth="1"/>
    <col min="17" max="22" style="1636" width="10.00390625" customWidth="1"/>
    <col min="23" max="23" style="1636" width="10.57421875" hidden="1"/>
  </cols>
  <sheetData>
    <row customHeight="1" ht="22.5" hidden="1">
      <c r="S1" s="256"/>
      <c r="T1" s="256"/>
      <c r="V1" s="256"/>
      <c r="W1" s="1632" t="s">
        <v>14</v>
      </c>
    </row>
    <row customHeight="1" ht="22.5" hidden="1">
      <c r="B2" s="2054" t="s">
        <v>698</v>
      </c>
      <c r="C2" s="2054" t="s">
        <v>699</v>
      </c>
      <c r="D2" s="2053" t="s">
        <v>638</v>
      </c>
      <c r="E2" s="2059">
        <f>I2-3</f>
        <v>-3</v>
      </c>
      <c r="F2" s="2059">
        <f>J2</f>
        <v>0</v>
      </c>
      <c r="H2" s="1731" t="s">
        <v>234</v>
      </c>
      <c r="I2" s="2025"/>
      <c r="J2" s="1683"/>
      <c r="K2" s="2019" t="s">
        <v>318</v>
      </c>
      <c r="L2" s="1165"/>
      <c r="M2" s="298"/>
      <c r="N2" s="1625"/>
      <c r="P2" s="1632"/>
      <c r="W2" s="1632">
        <v>0</v>
      </c>
    </row>
    <row customHeight="1" ht="14.25" hidden="1">
      <c r="W3" s="1632">
        <v>0</v>
      </c>
    </row>
    <row customHeight="1" ht="6.3">
      <c r="H4" s="377"/>
      <c r="I4" s="458"/>
      <c r="J4" s="458"/>
      <c r="K4" s="458"/>
      <c r="L4" s="86"/>
      <c r="M4" s="86"/>
      <c r="W4" s="1632">
        <v>6</v>
      </c>
    </row>
    <row customHeight="1" ht="50.25">
      <c r="H5" s="377"/>
      <c r="I5" s="2249" t="s">
        <v>700</v>
      </c>
      <c r="J5" s="2249"/>
      <c r="K5" s="2249"/>
      <c r="L5" s="2249"/>
      <c r="M5" s="267"/>
      <c r="W5" s="1632">
        <v>48</v>
      </c>
    </row>
    <row customHeight="1" ht="18">
      <c r="H6" s="377"/>
      <c r="I6" s="2250" t="str">
        <f>IF(org=0,"Не определено",org)</f>
        <v>ИМУП «ПОСЖИЛКОМСЕРВИС»</v>
      </c>
      <c r="J6" s="2250"/>
      <c r="K6" s="2250"/>
      <c r="L6" s="2250"/>
      <c r="M6" s="267"/>
      <c r="W6" s="1632">
        <v>17</v>
      </c>
    </row>
    <row customHeight="1" ht="14.699999999999998">
      <c r="H7" s="377"/>
      <c r="I7" s="458"/>
      <c r="J7" s="464"/>
      <c r="K7" s="464"/>
      <c r="L7" s="753"/>
      <c r="M7" s="194"/>
      <c r="W7" s="1632">
        <v>14</v>
      </c>
    </row>
    <row customHeight="1" ht="14.699999999999998">
      <c r="H8" s="377"/>
      <c r="I8" s="2387" t="s">
        <v>312</v>
      </c>
      <c r="J8" s="2388"/>
      <c r="K8" s="2388"/>
      <c r="L8" s="2389"/>
      <c r="M8" s="2390" t="s">
        <v>313</v>
      </c>
      <c r="W8" s="1632">
        <v>14</v>
      </c>
    </row>
    <row customHeight="1" ht="35.699999999999996">
      <c r="E9" s="2052" t="s">
        <v>629</v>
      </c>
      <c r="F9" s="2052" t="s">
        <v>635</v>
      </c>
      <c r="H9" s="377"/>
      <c r="I9" s="2026" t="s">
        <v>90</v>
      </c>
      <c r="J9" s="2027" t="s">
        <v>314</v>
      </c>
      <c r="K9" s="2065" t="s">
        <v>577</v>
      </c>
      <c r="L9" s="2066" t="s">
        <v>315</v>
      </c>
      <c r="M9" s="2390"/>
      <c r="W9" s="1632">
        <v>34</v>
      </c>
    </row>
    <row customHeight="1" ht="35.699999999999996">
      <c r="B10" s="2054" t="s">
        <v>701</v>
      </c>
      <c r="C10" s="2054" t="s">
        <v>702</v>
      </c>
      <c r="D10" s="2053" t="s">
        <v>638</v>
      </c>
      <c r="E10" s="2057" t="s">
        <v>639</v>
      </c>
      <c r="F10" s="2057" t="s">
        <v>639</v>
      </c>
      <c r="H10" s="377"/>
      <c r="I10" s="2025" t="s">
        <v>112</v>
      </c>
      <c r="J10" s="1887" t="s">
        <v>703</v>
      </c>
      <c r="K10" s="2019" t="s">
        <v>318</v>
      </c>
      <c r="L10" s="819"/>
      <c r="M10" s="298" t="s">
        <v>704</v>
      </c>
      <c r="W10" s="1632">
        <v>34</v>
      </c>
    </row>
    <row customHeight="1" ht="50.25">
      <c r="B11" s="2054" t="s">
        <v>705</v>
      </c>
      <c r="C11" s="2054" t="s">
        <v>706</v>
      </c>
      <c r="D11" s="2053" t="s">
        <v>638</v>
      </c>
      <c r="E11" s="2057" t="s">
        <v>639</v>
      </c>
      <c r="F11" s="2057" t="s">
        <v>639</v>
      </c>
      <c r="H11" s="377"/>
      <c r="I11" s="2025" t="s">
        <v>113</v>
      </c>
      <c r="J11" s="1887" t="s">
        <v>707</v>
      </c>
      <c r="K11" s="2019" t="s">
        <v>318</v>
      </c>
      <c r="L11" s="819"/>
      <c r="M11" s="298" t="s">
        <v>704</v>
      </c>
      <c r="W11" s="1632">
        <v>48</v>
      </c>
    </row>
    <row customHeight="1" ht="48.29999999999999">
      <c r="B12" s="2054" t="s">
        <v>708</v>
      </c>
      <c r="C12" s="2054" t="s">
        <v>709</v>
      </c>
      <c r="D12" s="2053" t="s">
        <v>638</v>
      </c>
      <c r="E12" s="2057" t="s">
        <v>639</v>
      </c>
      <c r="F12" s="2057" t="s">
        <v>639</v>
      </c>
      <c r="H12" s="1689"/>
      <c r="I12" s="2025" t="s">
        <v>92</v>
      </c>
      <c r="J12" s="2032" t="s">
        <v>710</v>
      </c>
      <c r="K12" s="2019" t="s">
        <v>318</v>
      </c>
      <c r="L12" s="819"/>
      <c r="M12" s="298" t="s">
        <v>711</v>
      </c>
      <c r="N12" s="1625"/>
      <c r="P12" s="1632"/>
      <c r="W12" s="1632">
        <v>46</v>
      </c>
    </row>
    <row customHeight="1" ht="14.699999999999998">
      <c r="E13" s="344"/>
      <c r="H13" s="377"/>
      <c r="I13" s="348"/>
      <c r="J13" s="652" t="s">
        <v>712</v>
      </c>
      <c r="K13" s="572"/>
      <c r="L13" s="215"/>
      <c r="M13" s="298"/>
      <c r="W13" s="1632">
        <v>14</v>
      </c>
    </row>
    <row customHeight="1" ht="14.699999999999998">
      <c r="E14" s="344"/>
      <c r="H14" s="377"/>
      <c r="I14" s="1058"/>
      <c r="J14" s="1678"/>
      <c r="K14" s="1679"/>
      <c r="L14" s="1680"/>
      <c r="M14" s="2029"/>
      <c r="W14" s="1632">
        <v>14</v>
      </c>
    </row>
    <row customHeight="1" ht="14.699999999999998">
      <c r="I15" s="1682"/>
      <c r="J15" s="2386"/>
      <c r="K15" s="2386"/>
      <c r="L15" s="2386"/>
      <c r="M15" s="2386"/>
      <c r="W15" s="1632">
        <v>14</v>
      </c>
    </row>
    <row customHeight="1" ht="21" hidden="1">
      <c r="A16" s="2031" t="s">
        <v>84</v>
      </c>
      <c r="B16" s="1632">
        <v>9</v>
      </c>
      <c r="C16" s="1632">
        <v>9</v>
      </c>
      <c r="D16" s="1632">
        <v>9</v>
      </c>
      <c r="E16" s="2031" t="s">
        <v>151</v>
      </c>
      <c r="F16" s="2056" t="s">
        <v>151</v>
      </c>
      <c r="G16" s="2058"/>
      <c r="H16" s="345">
        <v>3</v>
      </c>
      <c r="I16" s="1632">
        <v>6</v>
      </c>
      <c r="J16" s="1632">
        <v>63</v>
      </c>
      <c r="K16" s="1632">
        <v>9</v>
      </c>
      <c r="L16" s="1632">
        <v>39</v>
      </c>
      <c r="M16" s="1632">
        <v>89</v>
      </c>
      <c r="N16" s="1632">
        <v>10</v>
      </c>
      <c r="O16" s="1625">
        <v>10</v>
      </c>
      <c r="P16" s="1625">
        <v>10</v>
      </c>
      <c r="Q16" s="1632">
        <v>10</v>
      </c>
      <c r="R16" s="1632">
        <v>10</v>
      </c>
      <c r="S16" s="1632">
        <v>10</v>
      </c>
      <c r="T16" s="1632">
        <v>10</v>
      </c>
      <c r="U16" s="1632">
        <v>10</v>
      </c>
      <c r="V16" s="1632">
        <v>10</v>
      </c>
      <c r="W16" s="1632">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 type="textLength" operator="lessThanOrEqual" allowBlank="1" showInputMessage="1" showErrorMessage="1" errorTitle="Ошибка" error="Допускается ввод не более 900 символов!" sqref="M10 J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7F8B74B-6E6C-CE7E-B024-0.046D8D6B}" mc:Ignorable="x14ac xr xr2 xr3">
  <sheetPr>
    <tabColor theme="9" tint="-0.25"/>
  </sheetPr>
  <dimension ref="A1:AF217"/>
  <sheetViews>
    <sheetView topLeftCell="A1" showGridLines="0" zoomScale="90" workbookViewId="0">
      <selection activeCell="A1" sqref="A1"/>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6.00390625" customWidth="1"/>
    <col min="7" max="7" style="1636" width="10.00390625" customWidth="1"/>
    <col min="8" max="8" style="1636" width="40.7109375" hidden="1" customWidth="1"/>
    <col min="9" max="9" style="1636" width="40.00390625" customWidth="1"/>
    <col min="10" max="10" style="1636" width="102.00390625" customWidth="1"/>
    <col min="11" max="11" style="1367" width="9.00390625" customWidth="1"/>
    <col min="12" max="12" style="1643" width="5.00390625" customWidth="1"/>
    <col min="13" max="13" style="1643" width="3.00390625" customWidth="1"/>
    <col min="14" max="17" style="1367" width="3.00390625" customWidth="1"/>
    <col min="18" max="18" style="1643" width="10.00390625" customWidth="1"/>
    <col min="19" max="19" style="1367" width="34.00390625" customWidth="1"/>
    <col min="20" max="20" style="1367" width="9.00390625" customWidth="1"/>
    <col min="21" max="21" style="737" width="8.00390625" customWidth="1"/>
    <col min="22" max="26" style="1367" width="8.00390625" customWidth="1"/>
    <col min="27" max="31" style="1633" width="8.00390625" customWidth="1"/>
    <col min="32" max="32" style="1636" width="10.421875" hidden="1" customWidth="1"/>
  </cols>
  <sheetData>
    <row s="1367" customFormat="1" customHeight="1" ht="22.5" hidden="1">
      <c r="A1" s="988"/>
      <c r="C1" s="1637"/>
      <c r="D1" s="538"/>
      <c r="H1" s="1161">
        <v>4</v>
      </c>
      <c r="I1" s="1161">
        <v>4</v>
      </c>
      <c r="L1" s="1637"/>
      <c r="M1" s="1637"/>
      <c r="R1" s="1637"/>
      <c r="AF1" s="1161" t="s">
        <v>14</v>
      </c>
    </row>
    <row s="1367" customFormat="1" customHeight="1" ht="22.5" hidden="1">
      <c r="A2" s="988"/>
      <c r="C2" s="1637"/>
      <c r="D2" s="539"/>
      <c r="E2" s="1638"/>
      <c r="F2" s="541"/>
      <c r="G2" s="1640" t="s">
        <v>563</v>
      </c>
      <c r="H2" s="542"/>
      <c r="I2" s="542"/>
      <c r="J2" s="543" t="s">
        <v>713</v>
      </c>
      <c r="K2" s="544"/>
      <c r="L2" s="1637"/>
      <c r="M2" s="1637"/>
      <c r="R2" s="1637"/>
      <c r="U2" s="545"/>
      <c r="AA2" s="1633"/>
      <c r="AB2" s="1633"/>
      <c r="AC2" s="1633"/>
      <c r="AD2" s="1633"/>
      <c r="AE2" s="1633"/>
      <c r="AF2" s="1161">
        <v>0</v>
      </c>
    </row>
    <row customHeight="1" ht="11.25" hidden="1">
      <c r="AF3" s="1632">
        <v>0</v>
      </c>
    </row>
    <row s="1633" customFormat="1" customHeight="1" ht="11.25" hidden="1">
      <c r="A4" s="988"/>
      <c r="B4" s="1161"/>
      <c r="C4" s="1637"/>
      <c r="D4" s="363"/>
      <c r="J4" s="1633">
        <v>4</v>
      </c>
      <c r="K4" s="1161"/>
      <c r="L4" s="1637"/>
      <c r="M4" s="1637"/>
      <c r="N4" s="1161"/>
      <c r="O4" s="1161"/>
      <c r="P4" s="1161"/>
      <c r="Q4" s="1161"/>
      <c r="R4" s="1637"/>
      <c r="S4" s="1161"/>
      <c r="T4" s="1161"/>
      <c r="U4" s="545"/>
      <c r="V4" s="1161"/>
      <c r="W4" s="1161"/>
      <c r="X4" s="1161"/>
      <c r="Y4" s="1161"/>
      <c r="Z4" s="1161"/>
      <c r="AF4" s="1633">
        <v>0</v>
      </c>
    </row>
    <row customHeight="1" ht="11.549999999999999">
      <c r="AF5" s="1632">
        <v>11</v>
      </c>
    </row>
    <row customHeight="1" ht="31.5">
      <c r="E6" s="2308" t="s">
        <v>714</v>
      </c>
      <c r="F6" s="2308"/>
      <c r="G6" s="2308"/>
      <c r="H6" s="2308"/>
      <c r="I6" s="2308"/>
      <c r="J6" s="557"/>
      <c r="AF6" s="1632">
        <v>30</v>
      </c>
    </row>
    <row customHeight="1" ht="11.549999999999999">
      <c r="E7" s="2250" t="str">
        <f>IF(org=0,"Не определено",org)</f>
        <v>ИМУП «ПОСЖИЛКОМСЕРВИС»</v>
      </c>
      <c r="F7" s="2250"/>
      <c r="G7" s="2250"/>
      <c r="H7" s="2250"/>
      <c r="I7" s="2250"/>
      <c r="AF7" s="1632">
        <v>11</v>
      </c>
    </row>
    <row customHeight="1" ht="11.549999999999999">
      <c r="E8" s="1136"/>
      <c r="F8" s="1136"/>
      <c r="G8" s="1136"/>
      <c r="H8" s="1136"/>
      <c r="I8" s="1136"/>
      <c r="AF8" s="1632">
        <v>11</v>
      </c>
    </row>
    <row s="1643" customFormat="1" customHeight="1" ht="4.2">
      <c r="A9" s="1168"/>
      <c r="D9" s="1643"/>
      <c r="H9" s="890"/>
      <c r="I9" s="890" t="s">
        <v>120</v>
      </c>
      <c r="AF9" s="1637">
        <v>4</v>
      </c>
    </row>
    <row customHeight="1" ht="11.549999999999999">
      <c r="E10" s="712"/>
      <c r="F10" s="2368" t="s">
        <v>108</v>
      </c>
      <c r="G10" s="2369"/>
      <c r="H10" s="1553" t="str">
        <f>IF(H9="","",INDEX(DIFFERENTIATION_UNMERGE_VD,MATCH(H9,DIFFERENTIATION_ID_DIFF,0)))</f>
        <v/>
      </c>
      <c r="I10" s="1553">
        <f>IF(I9="","",INDEX(DIFFERENTIATION_UNMERGE_VD,MATCH(I9,DIFFERENTIATION_ID_DIFF,0)))</f>
        <v>0</v>
      </c>
      <c r="J10" s="2128"/>
      <c r="AF10" s="1632">
        <v>11</v>
      </c>
    </row>
    <row customHeight="1" ht="11.549999999999999">
      <c r="E11" s="712"/>
      <c r="F11" s="2368" t="s">
        <v>575</v>
      </c>
      <c r="G11" s="2369"/>
      <c r="H11" s="1553" t="str">
        <f>IF(H9="","",INDEX(DIFFERENTIATION_UNMERGE_AREA,MATCH(H9,DIFFERENTIATION_ID_DIFF,0)))</f>
        <v/>
      </c>
      <c r="I11" s="1553" t="str">
        <f>IF(I9="","",INDEX(DIFFERENTIATION_UNMERGE_AREA,MATCH(I9,DIFFERENTIATION_ID_DIFF,0)))</f>
        <v/>
      </c>
      <c r="J11" s="2128"/>
      <c r="AF11" s="1632">
        <v>11</v>
      </c>
    </row>
    <row customHeight="1" ht="1.05">
      <c r="E12" s="1663"/>
      <c r="F12" s="2391" t="s">
        <v>576</v>
      </c>
      <c r="G12" s="2392"/>
      <c r="H12" s="1664" t="str">
        <f>IF(H9="","",INDEX(DIFFERENTIATION_UNMERGE_SYSTEM,MATCH(H9,DIFFERENTIATION_ID_DIFF,0)))</f>
        <v/>
      </c>
      <c r="I12" s="1664" t="str">
        <f>IF(I9="","",INDEX(DIFFERENTIATION_UNMERGE_SYSTEM,MATCH(I9,DIFFERENTIATION_ID_DIFF,0)))</f>
        <v>без дифференциации</v>
      </c>
      <c r="J12" s="2128"/>
      <c r="AF12" s="1632">
        <v>1</v>
      </c>
    </row>
    <row customHeight="1" ht="11.549999999999999">
      <c r="E13" s="2370" t="s">
        <v>312</v>
      </c>
      <c r="F13" s="2371"/>
      <c r="G13" s="2371"/>
      <c r="H13" s="1552"/>
      <c r="I13" s="1552"/>
      <c r="J13" s="2128"/>
      <c r="AF13" s="1632">
        <v>11</v>
      </c>
    </row>
    <row customHeight="1" ht="24">
      <c r="E14" s="1640" t="s">
        <v>90</v>
      </c>
      <c r="F14" s="1635" t="s">
        <v>314</v>
      </c>
      <c r="G14" s="1635" t="s">
        <v>577</v>
      </c>
      <c r="H14" s="1635" t="s">
        <v>315</v>
      </c>
      <c r="I14" s="1635" t="s">
        <v>315</v>
      </c>
      <c r="J14" s="2128"/>
      <c r="AF14" s="1632">
        <v>23</v>
      </c>
    </row>
    <row customHeight="1" ht="19.95">
      <c r="D15" s="1639"/>
      <c r="E15" s="1631" t="s">
        <v>112</v>
      </c>
      <c r="F15" s="708" t="s">
        <v>715</v>
      </c>
      <c r="G15" s="1647" t="s">
        <v>563</v>
      </c>
      <c r="H15" s="558"/>
      <c r="I15" s="558"/>
      <c r="J15" s="290" t="s">
        <v>716</v>
      </c>
      <c r="K15" s="544" t="s">
        <v>641</v>
      </c>
      <c r="AF15" s="1632">
        <v>19</v>
      </c>
    </row>
    <row customHeight="1" ht="35.699999999999996">
      <c r="D16" s="1639"/>
      <c r="E16" s="1631" t="s">
        <v>113</v>
      </c>
      <c r="F16" s="708" t="s">
        <v>717</v>
      </c>
      <c r="G16" s="1647" t="s">
        <v>563</v>
      </c>
      <c r="H16" s="559">
        <f>SUM(H17,H20:H32)</f>
        <v>0</v>
      </c>
      <c r="I16" s="559">
        <f>SUM(I17,I20,I23,I26,I29:I32)</f>
        <v>0</v>
      </c>
      <c r="J16" s="290" t="s">
        <v>718</v>
      </c>
      <c r="K16" s="544" t="s">
        <v>641</v>
      </c>
      <c r="AF16" s="1632">
        <v>34</v>
      </c>
    </row>
    <row customHeight="1" ht="19.95">
      <c r="D17" s="1639"/>
      <c r="E17" s="1665" t="s">
        <v>719</v>
      </c>
      <c r="F17" s="955" t="s">
        <v>720</v>
      </c>
      <c r="G17" s="1644" t="s">
        <v>563</v>
      </c>
      <c r="H17" s="558"/>
      <c r="I17" s="558"/>
      <c r="J17" s="290" t="s">
        <v>721</v>
      </c>
      <c r="K17" s="544"/>
      <c r="AF17" s="1632">
        <v>19</v>
      </c>
    </row>
    <row customHeight="1" ht="24">
      <c r="D18" s="1639"/>
      <c r="E18" s="1665" t="s">
        <v>722</v>
      </c>
      <c r="F18" s="1651" t="s">
        <v>723</v>
      </c>
      <c r="G18" s="1644" t="s">
        <v>563</v>
      </c>
      <c r="H18" s="558"/>
      <c r="I18" s="558"/>
      <c r="J18" s="290" t="s">
        <v>724</v>
      </c>
      <c r="K18" s="544"/>
      <c r="AF18" s="1632">
        <v>23</v>
      </c>
    </row>
    <row customHeight="1" ht="35.699999999999996">
      <c r="D19" s="1639"/>
      <c r="E19" s="1665" t="s">
        <v>725</v>
      </c>
      <c r="F19" s="1651" t="s">
        <v>726</v>
      </c>
      <c r="G19" s="1644" t="s">
        <v>563</v>
      </c>
      <c r="H19" s="558"/>
      <c r="I19" s="558"/>
      <c r="J19" s="290"/>
      <c r="K19" s="544"/>
      <c r="AF19" s="1632">
        <v>34</v>
      </c>
    </row>
    <row customHeight="1" ht="19.95">
      <c r="D20" s="1639"/>
      <c r="E20" s="1665" t="s">
        <v>319</v>
      </c>
      <c r="F20" s="955" t="s">
        <v>727</v>
      </c>
      <c r="G20" s="1644" t="s">
        <v>563</v>
      </c>
      <c r="H20" s="558"/>
      <c r="I20" s="558"/>
      <c r="J20" s="290" t="s">
        <v>728</v>
      </c>
      <c r="K20" s="544"/>
      <c r="AF20" s="1632">
        <v>19</v>
      </c>
    </row>
    <row customHeight="1" ht="19.95">
      <c r="D21" s="1639"/>
      <c r="E21" s="1665" t="s">
        <v>729</v>
      </c>
      <c r="F21" s="1651" t="s">
        <v>730</v>
      </c>
      <c r="G21" s="1644" t="s">
        <v>563</v>
      </c>
      <c r="H21" s="558"/>
      <c r="I21" s="558"/>
      <c r="J21" s="290"/>
      <c r="K21" s="544"/>
      <c r="AF21" s="1632">
        <v>19</v>
      </c>
    </row>
    <row customHeight="1" ht="19.95">
      <c r="D22" s="1639"/>
      <c r="E22" s="1665" t="s">
        <v>731</v>
      </c>
      <c r="F22" s="1651" t="s">
        <v>732</v>
      </c>
      <c r="G22" s="1644" t="s">
        <v>563</v>
      </c>
      <c r="H22" s="558"/>
      <c r="I22" s="558"/>
      <c r="J22" s="290"/>
      <c r="K22" s="544"/>
      <c r="AF22" s="1632">
        <v>19</v>
      </c>
    </row>
    <row customHeight="1" ht="24">
      <c r="D23" s="1639"/>
      <c r="E23" s="1665" t="s">
        <v>322</v>
      </c>
      <c r="F23" s="955" t="s">
        <v>733</v>
      </c>
      <c r="G23" s="1644" t="s">
        <v>563</v>
      </c>
      <c r="H23" s="558"/>
      <c r="I23" s="558"/>
      <c r="J23" s="290" t="s">
        <v>734</v>
      </c>
      <c r="K23" s="544"/>
      <c r="AF23" s="1632">
        <v>23</v>
      </c>
    </row>
    <row customHeight="1" ht="19.95">
      <c r="D24" s="1639"/>
      <c r="E24" s="1665" t="s">
        <v>735</v>
      </c>
      <c r="F24" s="1651" t="s">
        <v>736</v>
      </c>
      <c r="G24" s="1644" t="s">
        <v>563</v>
      </c>
      <c r="H24" s="558"/>
      <c r="I24" s="558"/>
      <c r="J24" s="290"/>
      <c r="K24" s="544"/>
      <c r="AF24" s="1632">
        <v>19</v>
      </c>
    </row>
    <row customHeight="1" ht="35.699999999999996">
      <c r="D25" s="1639"/>
      <c r="E25" s="1665" t="s">
        <v>737</v>
      </c>
      <c r="F25" s="1651" t="s">
        <v>738</v>
      </c>
      <c r="G25" s="1644" t="s">
        <v>563</v>
      </c>
      <c r="H25" s="558"/>
      <c r="I25" s="558"/>
      <c r="J25" s="290"/>
      <c r="K25" s="544"/>
      <c r="AF25" s="1632">
        <v>34</v>
      </c>
    </row>
    <row customHeight="1" ht="24">
      <c r="D26" s="1639"/>
      <c r="E26" s="1665" t="s">
        <v>739</v>
      </c>
      <c r="F26" s="955" t="s">
        <v>740</v>
      </c>
      <c r="G26" s="1644" t="s">
        <v>563</v>
      </c>
      <c r="H26" s="558"/>
      <c r="I26" s="558"/>
      <c r="J26" s="290" t="s">
        <v>741</v>
      </c>
      <c r="K26" s="544"/>
      <c r="AF26" s="1632">
        <v>23</v>
      </c>
    </row>
    <row customHeight="1" ht="19.95">
      <c r="D27" s="1639"/>
      <c r="E27" s="1676" t="s">
        <v>742</v>
      </c>
      <c r="F27" s="1651" t="s">
        <v>743</v>
      </c>
      <c r="G27" s="1655" t="s">
        <v>563</v>
      </c>
      <c r="H27" s="1677"/>
      <c r="I27" s="1677"/>
      <c r="J27" s="290"/>
      <c r="K27" s="544"/>
      <c r="AF27" s="1632">
        <v>19</v>
      </c>
    </row>
    <row customHeight="1" ht="19.95">
      <c r="D28" s="1639"/>
      <c r="E28" s="1676" t="s">
        <v>744</v>
      </c>
      <c r="F28" s="1651" t="s">
        <v>745</v>
      </c>
      <c r="G28" s="1655" t="s">
        <v>563</v>
      </c>
      <c r="H28" s="1677"/>
      <c r="I28" s="1677"/>
      <c r="J28" s="290"/>
      <c r="K28" s="544"/>
      <c r="AF28" s="1632">
        <v>19</v>
      </c>
    </row>
    <row customHeight="1" ht="19.95">
      <c r="D29" s="1639"/>
      <c r="E29" s="1676" t="s">
        <v>746</v>
      </c>
      <c r="F29" s="955" t="s">
        <v>747</v>
      </c>
      <c r="G29" s="1655" t="s">
        <v>563</v>
      </c>
      <c r="H29" s="1677"/>
      <c r="I29" s="1677"/>
      <c r="J29" s="290"/>
      <c r="K29" s="544"/>
      <c r="AF29" s="1632">
        <v>19</v>
      </c>
    </row>
    <row customHeight="1" ht="19.95">
      <c r="D30" s="1639"/>
      <c r="E30" s="1676" t="s">
        <v>748</v>
      </c>
      <c r="F30" s="955" t="s">
        <v>749</v>
      </c>
      <c r="G30" s="1655" t="s">
        <v>563</v>
      </c>
      <c r="H30" s="1677"/>
      <c r="I30" s="1677"/>
      <c r="J30" s="290"/>
      <c r="K30" s="544"/>
      <c r="AF30" s="1632">
        <v>19</v>
      </c>
    </row>
    <row customHeight="1" ht="19.95">
      <c r="D31" s="1639"/>
      <c r="E31" s="1676" t="s">
        <v>750</v>
      </c>
      <c r="F31" s="955" t="s">
        <v>751</v>
      </c>
      <c r="G31" s="1655" t="s">
        <v>563</v>
      </c>
      <c r="H31" s="1677"/>
      <c r="I31" s="1677"/>
      <c r="J31" s="290"/>
      <c r="K31" s="544"/>
      <c r="AF31" s="1632">
        <v>19</v>
      </c>
    </row>
    <row s="1367" customFormat="1" customHeight="1" ht="35.699999999999996">
      <c r="A32" s="988"/>
      <c r="C32" s="1637"/>
      <c r="D32" s="1639"/>
      <c r="E32" s="1676" t="s">
        <v>752</v>
      </c>
      <c r="F32" s="955" t="s">
        <v>753</v>
      </c>
      <c r="G32" s="1645" t="s">
        <v>563</v>
      </c>
      <c r="H32" s="580">
        <f>SUM(H33:H34)</f>
        <v>0</v>
      </c>
      <c r="I32" s="580">
        <f>SUM(I33:I34)</f>
        <v>0</v>
      </c>
      <c r="J32" s="290" t="s">
        <v>754</v>
      </c>
      <c r="K32" s="544"/>
      <c r="L32" s="1637"/>
      <c r="M32" s="1637"/>
      <c r="R32" s="1637"/>
      <c r="U32" s="545"/>
      <c r="AA32" s="1633"/>
      <c r="AB32" s="1633"/>
      <c r="AC32" s="1633"/>
      <c r="AD32" s="1633"/>
      <c r="AE32" s="1633"/>
      <c r="AF32" s="1161">
        <v>34</v>
      </c>
    </row>
    <row s="1643" customFormat="1" customHeight="1" ht="1.05">
      <c r="A33" s="1168"/>
      <c r="D33" s="549"/>
      <c r="E33" s="803" t="str">
        <f>E32&amp;".0"</f>
        <v>2.8.0</v>
      </c>
      <c r="F33" s="992"/>
      <c r="G33" s="552"/>
      <c r="H33" s="993"/>
      <c r="I33" s="993"/>
      <c r="J33" s="994"/>
      <c r="AF33" s="1637">
        <v>1</v>
      </c>
    </row>
    <row s="1367" customFormat="1" customHeight="1" ht="19.95">
      <c r="A34" s="988"/>
      <c r="C34" s="1637"/>
      <c r="D34" s="1634"/>
      <c r="E34" s="571"/>
      <c r="F34" s="1667" t="s">
        <v>588</v>
      </c>
      <c r="G34" s="573"/>
      <c r="H34" s="574"/>
      <c r="I34" s="574"/>
      <c r="J34" s="302" t="s">
        <v>755</v>
      </c>
      <c r="K34" s="544"/>
      <c r="L34" s="1637"/>
      <c r="M34" s="1637"/>
      <c r="R34" s="1637"/>
      <c r="U34" s="545"/>
      <c r="AA34" s="1633"/>
      <c r="AB34" s="1633"/>
      <c r="AC34" s="1633"/>
      <c r="AD34" s="1633"/>
      <c r="AE34" s="1633"/>
      <c r="AF34" s="1161">
        <v>19</v>
      </c>
    </row>
    <row customHeight="1" ht="60">
      <c r="D35" s="1639"/>
      <c r="E35" s="1676" t="s">
        <v>756</v>
      </c>
      <c r="F35" s="955" t="s">
        <v>757</v>
      </c>
      <c r="G35" s="1655" t="s">
        <v>563</v>
      </c>
      <c r="H35" s="1677"/>
      <c r="I35" s="1677"/>
      <c r="J35" s="290" t="s">
        <v>758</v>
      </c>
      <c r="K35" s="544"/>
      <c r="AF35" s="1632">
        <v>57</v>
      </c>
    </row>
    <row s="1367" customFormat="1" customHeight="1" ht="24">
      <c r="A36" s="990" t="s">
        <v>589</v>
      </c>
      <c r="C36" s="1637"/>
      <c r="D36" s="1639"/>
      <c r="E36" s="1665" t="s">
        <v>92</v>
      </c>
      <c r="F36" s="708" t="s">
        <v>759</v>
      </c>
      <c r="G36" s="1644" t="s">
        <v>563</v>
      </c>
      <c r="H36" s="558"/>
      <c r="I36" s="558"/>
      <c r="J36" s="290" t="s">
        <v>760</v>
      </c>
      <c r="K36" s="544"/>
      <c r="L36" s="1637"/>
      <c r="M36" s="1637"/>
      <c r="R36" s="1637"/>
      <c r="U36" s="545"/>
      <c r="AA36" s="1633"/>
      <c r="AB36" s="1633"/>
      <c r="AC36" s="1633"/>
      <c r="AD36" s="1633"/>
      <c r="AE36" s="1633"/>
      <c r="AF36" s="1161">
        <v>23</v>
      </c>
    </row>
    <row s="1367" customFormat="1" customHeight="1" ht="35.699999999999996">
      <c r="A37" s="990"/>
      <c r="C37" s="1637"/>
      <c r="D37" s="1639"/>
      <c r="E37" s="1665" t="s">
        <v>336</v>
      </c>
      <c r="F37" s="955" t="s">
        <v>761</v>
      </c>
      <c r="G37" s="1655"/>
      <c r="H37" s="558"/>
      <c r="I37" s="558"/>
      <c r="J37" s="290"/>
      <c r="K37" s="544"/>
      <c r="L37" s="1637"/>
      <c r="M37" s="1637"/>
      <c r="R37" s="1637"/>
      <c r="U37" s="545"/>
      <c r="AA37" s="1633"/>
      <c r="AB37" s="1633"/>
      <c r="AC37" s="1633"/>
      <c r="AD37" s="1633"/>
      <c r="AE37" s="1633"/>
      <c r="AF37" s="1161">
        <v>34</v>
      </c>
    </row>
    <row s="1367" customFormat="1" customHeight="1" ht="19.95">
      <c r="A38" s="988"/>
      <c r="C38" s="1637"/>
      <c r="D38" s="576"/>
      <c r="E38" s="1665" t="s">
        <v>93</v>
      </c>
      <c r="F38" s="708" t="s">
        <v>762</v>
      </c>
      <c r="G38" s="1644" t="s">
        <v>563</v>
      </c>
      <c r="H38" s="558"/>
      <c r="I38" s="558"/>
      <c r="J38" s="290" t="s">
        <v>763</v>
      </c>
      <c r="K38" s="544"/>
      <c r="L38" s="1637"/>
      <c r="M38" s="1637"/>
      <c r="R38" s="1637"/>
      <c r="U38" s="545"/>
      <c r="AA38" s="1633"/>
      <c r="AB38" s="1633"/>
      <c r="AC38" s="1633"/>
      <c r="AD38" s="1633"/>
      <c r="AE38" s="1633"/>
      <c r="AF38" s="1161">
        <v>19</v>
      </c>
    </row>
    <row s="1367" customFormat="1" customHeight="1" ht="24">
      <c r="A39" s="988"/>
      <c r="C39" s="1637"/>
      <c r="D39" s="576"/>
      <c r="E39" s="1665" t="s">
        <v>764</v>
      </c>
      <c r="F39" s="955" t="s">
        <v>765</v>
      </c>
      <c r="G39" s="1655" t="s">
        <v>563</v>
      </c>
      <c r="H39" s="558"/>
      <c r="I39" s="558"/>
      <c r="J39" s="290" t="s">
        <v>766</v>
      </c>
      <c r="K39" s="544"/>
      <c r="L39" s="1637"/>
      <c r="M39" s="1637"/>
      <c r="R39" s="1637"/>
      <c r="U39" s="545"/>
      <c r="AA39" s="1633"/>
      <c r="AB39" s="1633"/>
      <c r="AC39" s="1633"/>
      <c r="AD39" s="1633"/>
      <c r="AE39" s="1633"/>
      <c r="AF39" s="1161">
        <v>23</v>
      </c>
    </row>
    <row s="1367" customFormat="1" customHeight="1" ht="24">
      <c r="A40" s="988"/>
      <c r="C40" s="1637"/>
      <c r="D40" s="1639"/>
      <c r="E40" s="1665" t="s">
        <v>767</v>
      </c>
      <c r="F40" s="1651" t="s">
        <v>768</v>
      </c>
      <c r="G40" s="1644" t="s">
        <v>563</v>
      </c>
      <c r="H40" s="558"/>
      <c r="I40" s="558"/>
      <c r="J40" s="290" t="s">
        <v>769</v>
      </c>
      <c r="K40" s="544"/>
      <c r="L40" s="1637"/>
      <c r="M40" s="1637"/>
      <c r="R40" s="1637"/>
      <c r="U40" s="545"/>
      <c r="AA40" s="1633"/>
      <c r="AB40" s="1633"/>
      <c r="AC40" s="1633"/>
      <c r="AD40" s="1633"/>
      <c r="AE40" s="1633"/>
      <c r="AF40" s="1161">
        <v>23</v>
      </c>
    </row>
    <row s="1367" customFormat="1" customHeight="1" ht="24">
      <c r="A41" s="988"/>
      <c r="C41" s="1637"/>
      <c r="D41" s="1639"/>
      <c r="E41" s="1665" t="s">
        <v>770</v>
      </c>
      <c r="F41" s="1651" t="s">
        <v>771</v>
      </c>
      <c r="G41" s="1644" t="s">
        <v>563</v>
      </c>
      <c r="H41" s="558"/>
      <c r="I41" s="558"/>
      <c r="J41" s="290" t="s">
        <v>772</v>
      </c>
      <c r="K41" s="544"/>
      <c r="L41" s="1637"/>
      <c r="M41" s="1637"/>
      <c r="R41" s="1637"/>
      <c r="U41" s="545"/>
      <c r="AA41" s="1633"/>
      <c r="AB41" s="1633"/>
      <c r="AC41" s="1633"/>
      <c r="AD41" s="1633"/>
      <c r="AE41" s="1633"/>
      <c r="AF41" s="1161">
        <v>23</v>
      </c>
    </row>
    <row s="1367" customFormat="1" customHeight="1" ht="24">
      <c r="A42" s="988"/>
      <c r="C42" s="1637"/>
      <c r="D42" s="1639"/>
      <c r="E42" s="1665" t="s">
        <v>773</v>
      </c>
      <c r="F42" s="1651" t="s">
        <v>774</v>
      </c>
      <c r="G42" s="1644" t="s">
        <v>563</v>
      </c>
      <c r="H42" s="558"/>
      <c r="I42" s="558"/>
      <c r="J42" s="290" t="s">
        <v>775</v>
      </c>
      <c r="K42" s="544"/>
      <c r="L42" s="1637"/>
      <c r="M42" s="1637"/>
      <c r="R42" s="1637"/>
      <c r="U42" s="545"/>
      <c r="AA42" s="1633"/>
      <c r="AB42" s="1633"/>
      <c r="AC42" s="1633"/>
      <c r="AD42" s="1633"/>
      <c r="AE42" s="1633"/>
      <c r="AF42" s="1161">
        <v>23</v>
      </c>
    </row>
    <row s="1367" customFormat="1" customHeight="1" ht="35.699999999999996">
      <c r="A43" s="988"/>
      <c r="C43" s="1637" t="s">
        <v>599</v>
      </c>
      <c r="D43" s="1639"/>
      <c r="E43" s="1665" t="s">
        <v>114</v>
      </c>
      <c r="F43" s="708" t="s">
        <v>640</v>
      </c>
      <c r="G43" s="1647" t="s">
        <v>776</v>
      </c>
      <c r="H43" s="402"/>
      <c r="I43" s="402"/>
      <c r="J43" s="290" t="s">
        <v>777</v>
      </c>
      <c r="K43" s="544"/>
      <c r="L43" s="1637"/>
      <c r="M43" s="1637"/>
      <c r="R43" s="1637"/>
      <c r="U43" s="545"/>
      <c r="AA43" s="1633"/>
      <c r="AB43" s="1633"/>
      <c r="AC43" s="1633"/>
      <c r="AD43" s="1633"/>
      <c r="AE43" s="1633"/>
      <c r="AF43" s="1161">
        <v>34</v>
      </c>
    </row>
    <row s="1367" customFormat="1" customHeight="1" ht="35.699999999999996">
      <c r="A44" s="988"/>
      <c r="C44" s="1637"/>
      <c r="D44" s="1639"/>
      <c r="E44" s="1665" t="s">
        <v>94</v>
      </c>
      <c r="F44" s="708" t="s">
        <v>778</v>
      </c>
      <c r="G44" s="1644" t="s">
        <v>779</v>
      </c>
      <c r="H44" s="546"/>
      <c r="I44" s="546"/>
      <c r="J44" s="290" t="s">
        <v>780</v>
      </c>
      <c r="K44" s="544"/>
      <c r="L44" s="1637"/>
      <c r="M44" s="1637"/>
      <c r="R44" s="1637"/>
      <c r="U44" s="545"/>
      <c r="AA44" s="1633"/>
      <c r="AB44" s="1633"/>
      <c r="AC44" s="1633"/>
      <c r="AD44" s="1633"/>
      <c r="AE44" s="1633"/>
      <c r="AF44" s="1161">
        <v>34</v>
      </c>
    </row>
    <row s="1367" customFormat="1" customHeight="1" ht="24">
      <c r="A45" s="988"/>
      <c r="C45" s="1637"/>
      <c r="D45" s="1639"/>
      <c r="E45" s="1665" t="s">
        <v>95</v>
      </c>
      <c r="F45" s="708" t="s">
        <v>781</v>
      </c>
      <c r="G45" s="1655" t="s">
        <v>782</v>
      </c>
      <c r="H45" s="546"/>
      <c r="I45" s="546"/>
      <c r="J45" s="290" t="s">
        <v>783</v>
      </c>
      <c r="K45" s="544"/>
      <c r="L45" s="1637"/>
      <c r="M45" s="1637"/>
      <c r="R45" s="1637"/>
      <c r="U45" s="545"/>
      <c r="AA45" s="1633"/>
      <c r="AB45" s="1633"/>
      <c r="AC45" s="1633"/>
      <c r="AD45" s="1633"/>
      <c r="AE45" s="1633"/>
      <c r="AF45" s="1161">
        <v>23</v>
      </c>
    </row>
    <row s="1367" customFormat="1" customHeight="1" ht="19.95">
      <c r="A46" s="988"/>
      <c r="C46" s="1637"/>
      <c r="D46" s="1639"/>
      <c r="E46" s="1665" t="s">
        <v>115</v>
      </c>
      <c r="F46" s="708" t="s">
        <v>784</v>
      </c>
      <c r="G46" s="1644" t="s">
        <v>601</v>
      </c>
      <c r="H46" s="578"/>
      <c r="I46" s="578"/>
      <c r="J46" s="290"/>
      <c r="K46" s="544"/>
      <c r="L46" s="1637"/>
      <c r="M46" s="1637"/>
      <c r="R46" s="1637"/>
      <c r="U46" s="545"/>
      <c r="AA46" s="1633"/>
      <c r="AB46" s="1633"/>
      <c r="AC46" s="1633"/>
      <c r="AD46" s="1633"/>
      <c r="AE46" s="1633"/>
      <c r="AF46" s="1161">
        <v>19</v>
      </c>
    </row>
    <row customHeight="1" ht="11.549999999999999">
      <c r="D47" s="1639"/>
      <c r="AF47" s="1632">
        <v>11</v>
      </c>
    </row>
    <row s="1642" customFormat="1" customHeight="1" ht="11.549999999999999">
      <c r="A48" s="988"/>
      <c r="B48" s="1637"/>
      <c r="C48" s="1637"/>
      <c r="D48" s="352"/>
      <c r="K48" s="1161"/>
      <c r="L48" s="1637"/>
      <c r="M48" s="1637"/>
      <c r="N48" s="1161"/>
      <c r="O48" s="1161"/>
      <c r="P48" s="1161"/>
      <c r="Q48" s="1161"/>
      <c r="R48" s="1637"/>
      <c r="S48" s="1161"/>
      <c r="T48" s="1161"/>
      <c r="U48" s="545"/>
      <c r="V48" s="1161"/>
      <c r="W48" s="1161"/>
      <c r="X48" s="1161"/>
      <c r="Y48" s="1161"/>
      <c r="Z48" s="1161"/>
      <c r="AA48" s="1633"/>
      <c r="AB48" s="567"/>
      <c r="AC48" s="567"/>
      <c r="AD48" s="567"/>
      <c r="AE48" s="567"/>
      <c r="AF48" s="1642">
        <v>11</v>
      </c>
    </row>
    <row s="1642" customFormat="1" customHeight="1" ht="11.549999999999999">
      <c r="A49" s="988"/>
      <c r="B49" s="1637"/>
      <c r="C49" s="1637"/>
      <c r="D49" s="352"/>
      <c r="K49" s="1161"/>
      <c r="L49" s="1637"/>
      <c r="M49" s="1637"/>
      <c r="N49" s="1161"/>
      <c r="O49" s="1161"/>
      <c r="P49" s="1161"/>
      <c r="Q49" s="1161"/>
      <c r="R49" s="1637"/>
      <c r="S49" s="1161"/>
      <c r="T49" s="1161"/>
      <c r="U49" s="545"/>
      <c r="V49" s="1161"/>
      <c r="W49" s="1161"/>
      <c r="X49" s="1161"/>
      <c r="Y49" s="1161"/>
      <c r="Z49" s="1161"/>
      <c r="AA49" s="1633"/>
      <c r="AB49" s="567"/>
      <c r="AC49" s="567"/>
      <c r="AD49" s="567"/>
      <c r="AE49" s="567"/>
      <c r="AF49" s="1642">
        <v>11</v>
      </c>
    </row>
    <row s="1642" customFormat="1" customHeight="1" ht="11.549999999999999">
      <c r="A50" s="988"/>
      <c r="B50" s="1637"/>
      <c r="C50" s="1637"/>
      <c r="D50" s="352"/>
      <c r="H50" s="567"/>
      <c r="I50" s="567"/>
      <c r="K50" s="1161"/>
      <c r="L50" s="1637"/>
      <c r="M50" s="1637"/>
      <c r="N50" s="1161"/>
      <c r="O50" s="1161"/>
      <c r="P50" s="1161"/>
      <c r="Q50" s="1161"/>
      <c r="R50" s="1637"/>
      <c r="S50" s="1161"/>
      <c r="T50" s="1161"/>
      <c r="U50" s="545"/>
      <c r="V50" s="1161"/>
      <c r="W50" s="1161"/>
      <c r="X50" s="1161"/>
      <c r="Y50" s="1161"/>
      <c r="Z50" s="1161"/>
      <c r="AA50" s="1633"/>
      <c r="AB50" s="567"/>
      <c r="AC50" s="567"/>
      <c r="AD50" s="567"/>
      <c r="AE50" s="567"/>
      <c r="AF50" s="1642">
        <v>11</v>
      </c>
    </row>
    <row s="1642" customFormat="1" customHeight="1" ht="11.549999999999999">
      <c r="A51" s="988"/>
      <c r="B51" s="1637"/>
      <c r="C51" s="1637"/>
      <c r="D51" s="352"/>
      <c r="K51" s="1161"/>
      <c r="L51" s="1637"/>
      <c r="M51" s="1637"/>
      <c r="N51" s="1161"/>
      <c r="O51" s="1161"/>
      <c r="P51" s="1161"/>
      <c r="Q51" s="1161"/>
      <c r="R51" s="1637"/>
      <c r="S51" s="1161"/>
      <c r="T51" s="1161"/>
      <c r="U51" s="545"/>
      <c r="V51" s="1161"/>
      <c r="W51" s="1161"/>
      <c r="X51" s="1161"/>
      <c r="Y51" s="1161"/>
      <c r="Z51" s="1161"/>
      <c r="AA51" s="1633"/>
      <c r="AB51" s="567"/>
      <c r="AC51" s="567"/>
      <c r="AD51" s="567"/>
      <c r="AE51" s="567"/>
      <c r="AF51" s="1642">
        <v>11</v>
      </c>
    </row>
    <row s="1642" customFormat="1" customHeight="1" ht="11.549999999999999">
      <c r="A52" s="988"/>
      <c r="B52" s="1637"/>
      <c r="C52" s="1637"/>
      <c r="D52" s="352"/>
      <c r="K52" s="1161"/>
      <c r="L52" s="1637"/>
      <c r="M52" s="1637"/>
      <c r="N52" s="1161"/>
      <c r="O52" s="1161"/>
      <c r="P52" s="1161"/>
      <c r="Q52" s="1161"/>
      <c r="R52" s="1637"/>
      <c r="S52" s="1161"/>
      <c r="T52" s="1161"/>
      <c r="U52" s="545"/>
      <c r="V52" s="1161"/>
      <c r="W52" s="1161"/>
      <c r="X52" s="1161"/>
      <c r="Y52" s="1161"/>
      <c r="Z52" s="1161"/>
      <c r="AA52" s="1633"/>
      <c r="AB52" s="567"/>
      <c r="AC52" s="567"/>
      <c r="AD52" s="567"/>
      <c r="AE52" s="567"/>
      <c r="AF52" s="1642">
        <v>11</v>
      </c>
    </row>
    <row s="1642" customFormat="1" customHeight="1" ht="11.549999999999999">
      <c r="A53" s="988"/>
      <c r="B53" s="1637"/>
      <c r="C53" s="1637"/>
      <c r="D53" s="352"/>
      <c r="K53" s="1161"/>
      <c r="L53" s="1637"/>
      <c r="M53" s="1637"/>
      <c r="N53" s="1161"/>
      <c r="O53" s="1161"/>
      <c r="P53" s="1161"/>
      <c r="Q53" s="1161"/>
      <c r="R53" s="1637"/>
      <c r="S53" s="1161"/>
      <c r="T53" s="1161"/>
      <c r="U53" s="545"/>
      <c r="V53" s="1161"/>
      <c r="W53" s="1161"/>
      <c r="X53" s="1161"/>
      <c r="Y53" s="1161"/>
      <c r="Z53" s="1161"/>
      <c r="AA53" s="1633"/>
      <c r="AB53" s="567"/>
      <c r="AC53" s="567"/>
      <c r="AD53" s="567"/>
      <c r="AE53" s="567"/>
      <c r="AF53" s="1642">
        <v>11</v>
      </c>
    </row>
    <row s="1642" customFormat="1" customHeight="1" ht="11.549999999999999">
      <c r="A54" s="988"/>
      <c r="B54" s="1637"/>
      <c r="C54" s="1637"/>
      <c r="D54" s="352"/>
      <c r="K54" s="1161"/>
      <c r="L54" s="1637"/>
      <c r="M54" s="1637"/>
      <c r="N54" s="1161"/>
      <c r="O54" s="1161"/>
      <c r="P54" s="1161"/>
      <c r="Q54" s="1161"/>
      <c r="R54" s="1637"/>
      <c r="S54" s="1161"/>
      <c r="T54" s="1161"/>
      <c r="U54" s="545"/>
      <c r="V54" s="1161"/>
      <c r="W54" s="1161"/>
      <c r="X54" s="1161"/>
      <c r="Y54" s="1161"/>
      <c r="Z54" s="1161"/>
      <c r="AA54" s="1633"/>
      <c r="AB54" s="567"/>
      <c r="AC54" s="567"/>
      <c r="AD54" s="567"/>
      <c r="AE54" s="567"/>
      <c r="AF54" s="1642">
        <v>11</v>
      </c>
    </row>
    <row s="1642" customFormat="1" customHeight="1" ht="11.549999999999999">
      <c r="A55" s="988"/>
      <c r="B55" s="1637"/>
      <c r="C55" s="1637"/>
      <c r="D55" s="352"/>
      <c r="K55" s="1161"/>
      <c r="L55" s="1637"/>
      <c r="M55" s="1637"/>
      <c r="N55" s="1161"/>
      <c r="O55" s="1161"/>
      <c r="P55" s="1161"/>
      <c r="Q55" s="1161"/>
      <c r="R55" s="1637"/>
      <c r="S55" s="1161"/>
      <c r="T55" s="1161"/>
      <c r="U55" s="545"/>
      <c r="V55" s="1161"/>
      <c r="W55" s="1161"/>
      <c r="X55" s="1161"/>
      <c r="Y55" s="1161"/>
      <c r="Z55" s="1161"/>
      <c r="AA55" s="1633"/>
      <c r="AB55" s="567"/>
      <c r="AC55" s="567"/>
      <c r="AD55" s="567"/>
      <c r="AE55" s="567"/>
      <c r="AF55" s="1642">
        <v>11</v>
      </c>
    </row>
    <row s="1642" customFormat="1" customHeight="1" ht="11.549999999999999">
      <c r="A56" s="988"/>
      <c r="B56" s="1637"/>
      <c r="C56" s="1637"/>
      <c r="D56" s="352"/>
      <c r="K56" s="1161"/>
      <c r="L56" s="1637"/>
      <c r="M56" s="1637"/>
      <c r="N56" s="1161"/>
      <c r="O56" s="1161"/>
      <c r="P56" s="1161"/>
      <c r="Q56" s="1161"/>
      <c r="R56" s="1637"/>
      <c r="S56" s="1161"/>
      <c r="T56" s="1161"/>
      <c r="U56" s="545"/>
      <c r="V56" s="1161"/>
      <c r="W56" s="1161"/>
      <c r="X56" s="1161"/>
      <c r="Y56" s="1161"/>
      <c r="Z56" s="1161"/>
      <c r="AA56" s="1633"/>
      <c r="AB56" s="567"/>
      <c r="AC56" s="567"/>
      <c r="AD56" s="567"/>
      <c r="AE56" s="567"/>
      <c r="AF56" s="1642">
        <v>11</v>
      </c>
    </row>
    <row s="1642" customFormat="1" customHeight="1" ht="11.549999999999999">
      <c r="A57" s="988"/>
      <c r="B57" s="1637"/>
      <c r="C57" s="1637"/>
      <c r="D57" s="352"/>
      <c r="K57" s="1161"/>
      <c r="L57" s="1637"/>
      <c r="M57" s="1637"/>
      <c r="N57" s="1161"/>
      <c r="O57" s="1161"/>
      <c r="P57" s="1161"/>
      <c r="Q57" s="1161"/>
      <c r="R57" s="1637"/>
      <c r="S57" s="1161"/>
      <c r="T57" s="1161"/>
      <c r="U57" s="545"/>
      <c r="V57" s="1161"/>
      <c r="W57" s="1161"/>
      <c r="X57" s="1161"/>
      <c r="Y57" s="1161"/>
      <c r="Z57" s="1161"/>
      <c r="AA57" s="1633"/>
      <c r="AB57" s="567"/>
      <c r="AC57" s="567"/>
      <c r="AD57" s="567"/>
      <c r="AE57" s="567"/>
      <c r="AF57" s="1642">
        <v>11</v>
      </c>
    </row>
    <row s="1642" customFormat="1" customHeight="1" ht="11.549999999999999">
      <c r="A58" s="988"/>
      <c r="B58" s="1637"/>
      <c r="C58" s="1637"/>
      <c r="D58" s="352"/>
      <c r="K58" s="1161"/>
      <c r="L58" s="1637"/>
      <c r="M58" s="1637"/>
      <c r="N58" s="1161"/>
      <c r="O58" s="1161"/>
      <c r="P58" s="1161"/>
      <c r="Q58" s="1161"/>
      <c r="R58" s="1637"/>
      <c r="S58" s="1161"/>
      <c r="T58" s="1161"/>
      <c r="U58" s="545"/>
      <c r="V58" s="1161"/>
      <c r="W58" s="1161"/>
      <c r="X58" s="1161"/>
      <c r="Y58" s="1161"/>
      <c r="Z58" s="1161"/>
      <c r="AA58" s="1633"/>
      <c r="AB58" s="567"/>
      <c r="AC58" s="567"/>
      <c r="AD58" s="567"/>
      <c r="AE58" s="567"/>
      <c r="AF58" s="1642">
        <v>11</v>
      </c>
    </row>
    <row s="1642" customFormat="1" customHeight="1" ht="11.549999999999999">
      <c r="A59" s="988"/>
      <c r="B59" s="1637"/>
      <c r="C59" s="1637"/>
      <c r="D59" s="352"/>
      <c r="K59" s="1161"/>
      <c r="L59" s="1637"/>
      <c r="M59" s="1637"/>
      <c r="N59" s="1161"/>
      <c r="O59" s="1161"/>
      <c r="P59" s="1161"/>
      <c r="Q59" s="1161"/>
      <c r="R59" s="1637"/>
      <c r="S59" s="1161"/>
      <c r="T59" s="1161"/>
      <c r="U59" s="545"/>
      <c r="V59" s="1161"/>
      <c r="W59" s="1161"/>
      <c r="X59" s="1161"/>
      <c r="Y59" s="1161"/>
      <c r="Z59" s="1161"/>
      <c r="AA59" s="1633"/>
      <c r="AB59" s="567"/>
      <c r="AC59" s="567"/>
      <c r="AD59" s="567"/>
      <c r="AE59" s="567"/>
      <c r="AF59" s="1642">
        <v>11</v>
      </c>
    </row>
    <row s="1642" customFormat="1" customHeight="1" ht="11.549999999999999">
      <c r="A60" s="988"/>
      <c r="B60" s="1637"/>
      <c r="C60" s="1637"/>
      <c r="D60" s="352"/>
      <c r="K60" s="1161"/>
      <c r="L60" s="1637"/>
      <c r="M60" s="1637"/>
      <c r="N60" s="1161"/>
      <c r="O60" s="1161"/>
      <c r="P60" s="1161"/>
      <c r="Q60" s="1161"/>
      <c r="R60" s="1637"/>
      <c r="S60" s="1161"/>
      <c r="T60" s="1161"/>
      <c r="U60" s="545"/>
      <c r="V60" s="1161"/>
      <c r="W60" s="1161"/>
      <c r="X60" s="1161"/>
      <c r="Y60" s="1161"/>
      <c r="Z60" s="1161"/>
      <c r="AA60" s="1633"/>
      <c r="AB60" s="567"/>
      <c r="AC60" s="567"/>
      <c r="AD60" s="567"/>
      <c r="AE60" s="567"/>
      <c r="AF60" s="1642">
        <v>11</v>
      </c>
    </row>
    <row s="1642" customFormat="1" customHeight="1" ht="11.549999999999999">
      <c r="A61" s="988"/>
      <c r="B61" s="1637"/>
      <c r="C61" s="1637"/>
      <c r="D61" s="352"/>
      <c r="K61" s="1161"/>
      <c r="L61" s="1637"/>
      <c r="M61" s="1637"/>
      <c r="N61" s="1161"/>
      <c r="O61" s="1161"/>
      <c r="P61" s="1161"/>
      <c r="Q61" s="1161"/>
      <c r="R61" s="1637"/>
      <c r="S61" s="1161"/>
      <c r="T61" s="1161"/>
      <c r="U61" s="545"/>
      <c r="V61" s="1161"/>
      <c r="W61" s="1161"/>
      <c r="X61" s="1161"/>
      <c r="Y61" s="1161"/>
      <c r="Z61" s="1161"/>
      <c r="AA61" s="1633"/>
      <c r="AB61" s="567"/>
      <c r="AC61" s="567"/>
      <c r="AD61" s="567"/>
      <c r="AE61" s="567"/>
      <c r="AF61" s="1642">
        <v>11</v>
      </c>
    </row>
    <row s="1642" customFormat="1" customHeight="1" ht="11.549999999999999">
      <c r="A62" s="988"/>
      <c r="B62" s="1637"/>
      <c r="C62" s="1637"/>
      <c r="D62" s="352"/>
      <c r="K62" s="1161"/>
      <c r="L62" s="1637"/>
      <c r="M62" s="1637"/>
      <c r="N62" s="1161"/>
      <c r="O62" s="1161"/>
      <c r="P62" s="1161"/>
      <c r="Q62" s="1161"/>
      <c r="R62" s="1637"/>
      <c r="S62" s="1161"/>
      <c r="T62" s="1161"/>
      <c r="U62" s="545"/>
      <c r="V62" s="1161"/>
      <c r="W62" s="1161"/>
      <c r="X62" s="1161"/>
      <c r="Y62" s="1161"/>
      <c r="Z62" s="1161"/>
      <c r="AA62" s="1633"/>
      <c r="AB62" s="567"/>
      <c r="AC62" s="567"/>
      <c r="AD62" s="567"/>
      <c r="AE62" s="567"/>
      <c r="AF62" s="1642">
        <v>11</v>
      </c>
    </row>
    <row s="1642" customFormat="1" customHeight="1" ht="11.549999999999999">
      <c r="A63" s="988"/>
      <c r="B63" s="1637"/>
      <c r="C63" s="1637"/>
      <c r="D63" s="352"/>
      <c r="K63" s="1161"/>
      <c r="L63" s="1637"/>
      <c r="M63" s="1637"/>
      <c r="N63" s="1161"/>
      <c r="O63" s="1161"/>
      <c r="P63" s="1161"/>
      <c r="Q63" s="1161"/>
      <c r="R63" s="1637"/>
      <c r="S63" s="1161"/>
      <c r="T63" s="1161"/>
      <c r="U63" s="545"/>
      <c r="V63" s="1161"/>
      <c r="W63" s="1161"/>
      <c r="X63" s="1161"/>
      <c r="Y63" s="1161"/>
      <c r="Z63" s="1161"/>
      <c r="AA63" s="1633"/>
      <c r="AB63" s="567"/>
      <c r="AC63" s="567"/>
      <c r="AD63" s="567"/>
      <c r="AE63" s="567"/>
      <c r="AF63" s="1642">
        <v>11</v>
      </c>
    </row>
    <row s="1642" customFormat="1" customHeight="1" ht="11.549999999999999">
      <c r="A64" s="988"/>
      <c r="B64" s="1637"/>
      <c r="C64" s="1637"/>
      <c r="D64" s="352"/>
      <c r="K64" s="1161"/>
      <c r="L64" s="1637"/>
      <c r="M64" s="1637"/>
      <c r="N64" s="1161"/>
      <c r="O64" s="1161"/>
      <c r="P64" s="1161"/>
      <c r="Q64" s="1161"/>
      <c r="R64" s="1637"/>
      <c r="S64" s="1161"/>
      <c r="T64" s="1161"/>
      <c r="U64" s="545"/>
      <c r="V64" s="1161"/>
      <c r="W64" s="1161"/>
      <c r="X64" s="1161"/>
      <c r="Y64" s="1161"/>
      <c r="Z64" s="1161"/>
      <c r="AA64" s="1633"/>
      <c r="AB64" s="567"/>
      <c r="AC64" s="567"/>
      <c r="AD64" s="567"/>
      <c r="AE64" s="567"/>
      <c r="AF64" s="1642">
        <v>11</v>
      </c>
    </row>
    <row s="1642" customFormat="1" customHeight="1" ht="11.549999999999999">
      <c r="A65" s="988"/>
      <c r="B65" s="1637"/>
      <c r="C65" s="1637"/>
      <c r="D65" s="352"/>
      <c r="K65" s="1161"/>
      <c r="L65" s="1637"/>
      <c r="M65" s="1637"/>
      <c r="N65" s="1161"/>
      <c r="O65" s="1161"/>
      <c r="P65" s="1161"/>
      <c r="Q65" s="1161"/>
      <c r="R65" s="1637"/>
      <c r="S65" s="1161"/>
      <c r="T65" s="1161"/>
      <c r="U65" s="545"/>
      <c r="V65" s="1161"/>
      <c r="W65" s="1161"/>
      <c r="X65" s="1161"/>
      <c r="Y65" s="1161"/>
      <c r="Z65" s="1161"/>
      <c r="AA65" s="1633"/>
      <c r="AB65" s="567"/>
      <c r="AC65" s="567"/>
      <c r="AD65" s="567"/>
      <c r="AE65" s="567"/>
      <c r="AF65" s="1642">
        <v>11</v>
      </c>
    </row>
    <row s="1642" customFormat="1" customHeight="1" ht="11.549999999999999">
      <c r="A66" s="988"/>
      <c r="B66" s="1637"/>
      <c r="C66" s="1637"/>
      <c r="D66" s="352"/>
      <c r="K66" s="1161"/>
      <c r="L66" s="1637"/>
      <c r="M66" s="1637"/>
      <c r="N66" s="1161"/>
      <c r="O66" s="1161"/>
      <c r="P66" s="1161"/>
      <c r="Q66" s="1161"/>
      <c r="R66" s="1637"/>
      <c r="S66" s="1161"/>
      <c r="T66" s="1161"/>
      <c r="U66" s="545"/>
      <c r="V66" s="1161"/>
      <c r="W66" s="1161"/>
      <c r="X66" s="1161"/>
      <c r="Y66" s="1161"/>
      <c r="Z66" s="1161"/>
      <c r="AA66" s="1633"/>
      <c r="AB66" s="567"/>
      <c r="AC66" s="567"/>
      <c r="AD66" s="567"/>
      <c r="AE66" s="567"/>
      <c r="AF66" s="1642">
        <v>11</v>
      </c>
    </row>
    <row s="1642" customFormat="1" customHeight="1" ht="11.549999999999999">
      <c r="A67" s="988"/>
      <c r="B67" s="1637"/>
      <c r="C67" s="1637"/>
      <c r="D67" s="352"/>
      <c r="K67" s="1161"/>
      <c r="L67" s="1637"/>
      <c r="M67" s="1637"/>
      <c r="N67" s="1161"/>
      <c r="O67" s="1161"/>
      <c r="P67" s="1161"/>
      <c r="Q67" s="1161"/>
      <c r="R67" s="1637"/>
      <c r="S67" s="1161"/>
      <c r="T67" s="1161"/>
      <c r="U67" s="545"/>
      <c r="V67" s="1161"/>
      <c r="W67" s="1161"/>
      <c r="X67" s="1161"/>
      <c r="Y67" s="1161"/>
      <c r="Z67" s="1161"/>
      <c r="AA67" s="1633"/>
      <c r="AB67" s="567"/>
      <c r="AC67" s="567"/>
      <c r="AD67" s="567"/>
      <c r="AE67" s="567"/>
      <c r="AF67" s="1642">
        <v>11</v>
      </c>
    </row>
    <row s="1642" customFormat="1" customHeight="1" ht="11.549999999999999">
      <c r="A68" s="988"/>
      <c r="B68" s="1637"/>
      <c r="C68" s="1637"/>
      <c r="D68" s="352"/>
      <c r="K68" s="1161"/>
      <c r="L68" s="1637"/>
      <c r="M68" s="1637"/>
      <c r="N68" s="1161"/>
      <c r="O68" s="1161"/>
      <c r="P68" s="1161"/>
      <c r="Q68" s="1161"/>
      <c r="R68" s="1637"/>
      <c r="S68" s="1161"/>
      <c r="T68" s="1161"/>
      <c r="U68" s="545"/>
      <c r="V68" s="1161"/>
      <c r="W68" s="1161"/>
      <c r="X68" s="1161"/>
      <c r="Y68" s="1161"/>
      <c r="Z68" s="1161"/>
      <c r="AA68" s="1633"/>
      <c r="AB68" s="567"/>
      <c r="AC68" s="567"/>
      <c r="AD68" s="567"/>
      <c r="AE68" s="567"/>
      <c r="AF68" s="1642">
        <v>11</v>
      </c>
    </row>
    <row s="1642" customFormat="1" customHeight="1" ht="11.549999999999999">
      <c r="A69" s="988"/>
      <c r="B69" s="1637"/>
      <c r="C69" s="1637"/>
      <c r="D69" s="352"/>
      <c r="K69" s="1161"/>
      <c r="L69" s="1637"/>
      <c r="M69" s="1637"/>
      <c r="N69" s="1161"/>
      <c r="O69" s="1161"/>
      <c r="P69" s="1161"/>
      <c r="Q69" s="1161"/>
      <c r="R69" s="1637"/>
      <c r="S69" s="1161"/>
      <c r="T69" s="1161"/>
      <c r="U69" s="545"/>
      <c r="V69" s="1161"/>
      <c r="W69" s="1161"/>
      <c r="X69" s="1161"/>
      <c r="Y69" s="1161"/>
      <c r="Z69" s="1161"/>
      <c r="AA69" s="1633"/>
      <c r="AB69" s="567"/>
      <c r="AC69" s="567"/>
      <c r="AD69" s="567"/>
      <c r="AE69" s="567"/>
      <c r="AF69" s="1642">
        <v>11</v>
      </c>
    </row>
    <row s="1642" customFormat="1" customHeight="1" ht="11.549999999999999">
      <c r="A70" s="988"/>
      <c r="B70" s="1637"/>
      <c r="C70" s="1637"/>
      <c r="D70" s="352"/>
      <c r="K70" s="1161"/>
      <c r="L70" s="1637"/>
      <c r="M70" s="1637"/>
      <c r="N70" s="1161"/>
      <c r="O70" s="1161"/>
      <c r="P70" s="1161"/>
      <c r="Q70" s="1161"/>
      <c r="R70" s="1637"/>
      <c r="S70" s="1161"/>
      <c r="T70" s="1161"/>
      <c r="U70" s="545"/>
      <c r="V70" s="1161"/>
      <c r="W70" s="1161"/>
      <c r="X70" s="1161"/>
      <c r="Y70" s="1161"/>
      <c r="Z70" s="1161"/>
      <c r="AA70" s="1633"/>
      <c r="AB70" s="567"/>
      <c r="AC70" s="567"/>
      <c r="AD70" s="567"/>
      <c r="AE70" s="567"/>
      <c r="AF70" s="1642">
        <v>11</v>
      </c>
    </row>
    <row s="1642" customFormat="1" customHeight="1" ht="11.549999999999999">
      <c r="A71" s="988"/>
      <c r="B71" s="1637"/>
      <c r="C71" s="1637"/>
      <c r="D71" s="352"/>
      <c r="K71" s="1161"/>
      <c r="L71" s="1637"/>
      <c r="M71" s="1637"/>
      <c r="N71" s="1161"/>
      <c r="O71" s="1161"/>
      <c r="P71" s="1161"/>
      <c r="Q71" s="1161"/>
      <c r="R71" s="1637"/>
      <c r="S71" s="1161"/>
      <c r="T71" s="1161"/>
      <c r="U71" s="545"/>
      <c r="V71" s="1161"/>
      <c r="W71" s="1161"/>
      <c r="X71" s="1161"/>
      <c r="Y71" s="1161"/>
      <c r="Z71" s="1161"/>
      <c r="AA71" s="1633"/>
      <c r="AB71" s="567"/>
      <c r="AC71" s="567"/>
      <c r="AD71" s="567"/>
      <c r="AE71" s="567"/>
      <c r="AF71" s="1642">
        <v>11</v>
      </c>
    </row>
    <row s="1642" customFormat="1" customHeight="1" ht="11.549999999999999">
      <c r="A72" s="988"/>
      <c r="B72" s="1637"/>
      <c r="C72" s="1637"/>
      <c r="D72" s="352"/>
      <c r="K72" s="1161"/>
      <c r="L72" s="1637"/>
      <c r="M72" s="1637"/>
      <c r="N72" s="1161"/>
      <c r="O72" s="1161"/>
      <c r="P72" s="1161"/>
      <c r="Q72" s="1161"/>
      <c r="R72" s="1637"/>
      <c r="S72" s="1161"/>
      <c r="T72" s="1161"/>
      <c r="U72" s="545"/>
      <c r="V72" s="1161"/>
      <c r="W72" s="1161"/>
      <c r="X72" s="1161"/>
      <c r="Y72" s="1161"/>
      <c r="Z72" s="1161"/>
      <c r="AA72" s="1633"/>
      <c r="AB72" s="567"/>
      <c r="AC72" s="567"/>
      <c r="AD72" s="567"/>
      <c r="AE72" s="567"/>
      <c r="AF72" s="1642">
        <v>11</v>
      </c>
    </row>
    <row s="1642" customFormat="1" customHeight="1" ht="11.549999999999999">
      <c r="A73" s="988"/>
      <c r="B73" s="1637"/>
      <c r="C73" s="1637"/>
      <c r="D73" s="352"/>
      <c r="K73" s="1161"/>
      <c r="L73" s="1637"/>
      <c r="M73" s="1637"/>
      <c r="N73" s="1161"/>
      <c r="O73" s="1161"/>
      <c r="P73" s="1161"/>
      <c r="Q73" s="1161"/>
      <c r="R73" s="1637"/>
      <c r="S73" s="1161"/>
      <c r="T73" s="1161"/>
      <c r="U73" s="545"/>
      <c r="V73" s="1161"/>
      <c r="W73" s="1161"/>
      <c r="X73" s="1161"/>
      <c r="Y73" s="1161"/>
      <c r="Z73" s="1161"/>
      <c r="AA73" s="1633"/>
      <c r="AB73" s="567"/>
      <c r="AC73" s="567"/>
      <c r="AD73" s="567"/>
      <c r="AE73" s="567"/>
      <c r="AF73" s="1642">
        <v>11</v>
      </c>
    </row>
    <row s="1642" customFormat="1" customHeight="1" ht="11.549999999999999">
      <c r="A74" s="988"/>
      <c r="B74" s="1637"/>
      <c r="C74" s="1637"/>
      <c r="D74" s="352"/>
      <c r="K74" s="1161"/>
      <c r="L74" s="1637"/>
      <c r="M74" s="1637"/>
      <c r="N74" s="1161"/>
      <c r="O74" s="1161"/>
      <c r="P74" s="1161"/>
      <c r="Q74" s="1161"/>
      <c r="R74" s="1637"/>
      <c r="S74" s="1161"/>
      <c r="T74" s="1161"/>
      <c r="U74" s="545"/>
      <c r="V74" s="1161"/>
      <c r="W74" s="1161"/>
      <c r="X74" s="1161"/>
      <c r="Y74" s="1161"/>
      <c r="Z74" s="1161"/>
      <c r="AA74" s="1633"/>
      <c r="AB74" s="567"/>
      <c r="AC74" s="567"/>
      <c r="AD74" s="567"/>
      <c r="AE74" s="567"/>
      <c r="AF74" s="1642">
        <v>11</v>
      </c>
    </row>
    <row s="1642" customFormat="1" customHeight="1" ht="11.549999999999999">
      <c r="A75" s="988"/>
      <c r="B75" s="1637"/>
      <c r="C75" s="1637"/>
      <c r="D75" s="352"/>
      <c r="K75" s="1161"/>
      <c r="L75" s="1637"/>
      <c r="M75" s="1637"/>
      <c r="N75" s="1161"/>
      <c r="O75" s="1161"/>
      <c r="P75" s="1161"/>
      <c r="Q75" s="1161"/>
      <c r="R75" s="1637"/>
      <c r="S75" s="1161"/>
      <c r="T75" s="1161"/>
      <c r="U75" s="545"/>
      <c r="V75" s="1161"/>
      <c r="W75" s="1161"/>
      <c r="X75" s="1161"/>
      <c r="Y75" s="1161"/>
      <c r="Z75" s="1161"/>
      <c r="AA75" s="1633"/>
      <c r="AB75" s="567"/>
      <c r="AC75" s="567"/>
      <c r="AD75" s="567"/>
      <c r="AE75" s="567"/>
      <c r="AF75" s="1642">
        <v>11</v>
      </c>
    </row>
    <row s="1642" customFormat="1" customHeight="1" ht="11.549999999999999">
      <c r="A76" s="988"/>
      <c r="B76" s="1637"/>
      <c r="C76" s="1637"/>
      <c r="D76" s="352"/>
      <c r="K76" s="1161"/>
      <c r="L76" s="1637"/>
      <c r="M76" s="1637"/>
      <c r="N76" s="1161"/>
      <c r="O76" s="1161"/>
      <c r="P76" s="1161"/>
      <c r="Q76" s="1161"/>
      <c r="R76" s="1637"/>
      <c r="S76" s="1161"/>
      <c r="T76" s="1161"/>
      <c r="U76" s="545"/>
      <c r="V76" s="1161"/>
      <c r="W76" s="1161"/>
      <c r="X76" s="1161"/>
      <c r="Y76" s="1161"/>
      <c r="Z76" s="1161"/>
      <c r="AA76" s="1633"/>
      <c r="AB76" s="567"/>
      <c r="AC76" s="567"/>
      <c r="AD76" s="567"/>
      <c r="AE76" s="567"/>
      <c r="AF76" s="1642">
        <v>11</v>
      </c>
    </row>
    <row s="1642" customFormat="1" customHeight="1" ht="11.549999999999999">
      <c r="A77" s="988"/>
      <c r="B77" s="1637"/>
      <c r="C77" s="1637"/>
      <c r="D77" s="352"/>
      <c r="K77" s="1161"/>
      <c r="L77" s="1637"/>
      <c r="M77" s="1637"/>
      <c r="N77" s="1161"/>
      <c r="O77" s="1161"/>
      <c r="P77" s="1161"/>
      <c r="Q77" s="1161"/>
      <c r="R77" s="1637"/>
      <c r="S77" s="1161"/>
      <c r="T77" s="1161"/>
      <c r="U77" s="545"/>
      <c r="V77" s="1161"/>
      <c r="W77" s="1161"/>
      <c r="X77" s="1161"/>
      <c r="Y77" s="1161"/>
      <c r="Z77" s="1161"/>
      <c r="AA77" s="1633"/>
      <c r="AB77" s="567"/>
      <c r="AC77" s="567"/>
      <c r="AD77" s="567"/>
      <c r="AE77" s="567"/>
      <c r="AF77" s="1642">
        <v>11</v>
      </c>
    </row>
    <row s="1642" customFormat="1" customHeight="1" ht="11.549999999999999">
      <c r="A78" s="988"/>
      <c r="B78" s="1637"/>
      <c r="C78" s="1637"/>
      <c r="D78" s="352"/>
      <c r="K78" s="1161"/>
      <c r="L78" s="1637"/>
      <c r="M78" s="1637"/>
      <c r="N78" s="1161"/>
      <c r="O78" s="1161"/>
      <c r="P78" s="1161"/>
      <c r="Q78" s="1161"/>
      <c r="R78" s="1637"/>
      <c r="S78" s="1161"/>
      <c r="T78" s="1161"/>
      <c r="U78" s="545"/>
      <c r="V78" s="1161"/>
      <c r="W78" s="1161"/>
      <c r="X78" s="1161"/>
      <c r="Y78" s="1161"/>
      <c r="Z78" s="1161"/>
      <c r="AA78" s="1633"/>
      <c r="AB78" s="567"/>
      <c r="AC78" s="567"/>
      <c r="AD78" s="567"/>
      <c r="AE78" s="567"/>
      <c r="AF78" s="1642">
        <v>11</v>
      </c>
    </row>
    <row s="1642" customFormat="1" customHeight="1" ht="11.549999999999999">
      <c r="A79" s="988"/>
      <c r="B79" s="1637"/>
      <c r="C79" s="1637"/>
      <c r="D79" s="352"/>
      <c r="K79" s="1161"/>
      <c r="L79" s="1637"/>
      <c r="M79" s="1637"/>
      <c r="N79" s="1161"/>
      <c r="O79" s="1161"/>
      <c r="P79" s="1161"/>
      <c r="Q79" s="1161"/>
      <c r="R79" s="1637"/>
      <c r="S79" s="1161"/>
      <c r="T79" s="1161"/>
      <c r="U79" s="545"/>
      <c r="V79" s="1161"/>
      <c r="W79" s="1161"/>
      <c r="X79" s="1161"/>
      <c r="Y79" s="1161"/>
      <c r="Z79" s="1161"/>
      <c r="AA79" s="1633"/>
      <c r="AB79" s="567"/>
      <c r="AC79" s="567"/>
      <c r="AD79" s="567"/>
      <c r="AE79" s="567"/>
      <c r="AF79" s="1642">
        <v>11</v>
      </c>
    </row>
    <row s="1642" customFormat="1" customHeight="1" ht="11.549999999999999">
      <c r="A80" s="988"/>
      <c r="B80" s="1637"/>
      <c r="C80" s="1637"/>
      <c r="D80" s="352"/>
      <c r="K80" s="1161"/>
      <c r="L80" s="1637"/>
      <c r="M80" s="1637"/>
      <c r="N80" s="1161"/>
      <c r="O80" s="1161"/>
      <c r="P80" s="1161"/>
      <c r="Q80" s="1161"/>
      <c r="R80" s="1637"/>
      <c r="S80" s="1161"/>
      <c r="T80" s="1161"/>
      <c r="U80" s="545"/>
      <c r="V80" s="1161"/>
      <c r="W80" s="1161"/>
      <c r="X80" s="1161"/>
      <c r="Y80" s="1161"/>
      <c r="Z80" s="1161"/>
      <c r="AA80" s="1633"/>
      <c r="AB80" s="567"/>
      <c r="AC80" s="567"/>
      <c r="AD80" s="567"/>
      <c r="AE80" s="567"/>
      <c r="AF80" s="1642">
        <v>11</v>
      </c>
    </row>
    <row s="1642" customFormat="1" customHeight="1" ht="11.549999999999999">
      <c r="A81" s="988"/>
      <c r="B81" s="1637"/>
      <c r="C81" s="1637"/>
      <c r="D81" s="352"/>
      <c r="K81" s="1161"/>
      <c r="L81" s="1637"/>
      <c r="M81" s="1637"/>
      <c r="N81" s="1161"/>
      <c r="O81" s="1161"/>
      <c r="P81" s="1161"/>
      <c r="Q81" s="1161"/>
      <c r="R81" s="1637"/>
      <c r="S81" s="1161"/>
      <c r="T81" s="1161"/>
      <c r="U81" s="545"/>
      <c r="V81" s="1161"/>
      <c r="W81" s="1161"/>
      <c r="X81" s="1161"/>
      <c r="Y81" s="1161"/>
      <c r="Z81" s="1161"/>
      <c r="AA81" s="1633"/>
      <c r="AB81" s="567"/>
      <c r="AC81" s="567"/>
      <c r="AD81" s="567"/>
      <c r="AE81" s="567"/>
      <c r="AF81" s="1642">
        <v>11</v>
      </c>
    </row>
    <row s="1642" customFormat="1" customHeight="1" ht="11.549999999999999">
      <c r="A82" s="988"/>
      <c r="B82" s="1637"/>
      <c r="C82" s="1637"/>
      <c r="D82" s="352"/>
      <c r="K82" s="1161"/>
      <c r="L82" s="1637"/>
      <c r="M82" s="1637"/>
      <c r="N82" s="1161"/>
      <c r="O82" s="1161"/>
      <c r="P82" s="1161"/>
      <c r="Q82" s="1161"/>
      <c r="R82" s="1637"/>
      <c r="S82" s="1161"/>
      <c r="T82" s="1161"/>
      <c r="U82" s="545"/>
      <c r="V82" s="1161"/>
      <c r="W82" s="1161"/>
      <c r="X82" s="1161"/>
      <c r="Y82" s="1161"/>
      <c r="Z82" s="1161"/>
      <c r="AA82" s="1633"/>
      <c r="AB82" s="567"/>
      <c r="AC82" s="567"/>
      <c r="AD82" s="567"/>
      <c r="AE82" s="567"/>
      <c r="AF82" s="1642">
        <v>11</v>
      </c>
    </row>
    <row s="1642" customFormat="1" customHeight="1" ht="11.549999999999999">
      <c r="A83" s="988"/>
      <c r="B83" s="1637"/>
      <c r="C83" s="1637"/>
      <c r="D83" s="352"/>
      <c r="K83" s="1161"/>
      <c r="L83" s="1637"/>
      <c r="M83" s="1637"/>
      <c r="N83" s="1161"/>
      <c r="O83" s="1161"/>
      <c r="P83" s="1161"/>
      <c r="Q83" s="1161"/>
      <c r="R83" s="1637"/>
      <c r="S83" s="1161"/>
      <c r="T83" s="1161"/>
      <c r="U83" s="545"/>
      <c r="V83" s="1161"/>
      <c r="W83" s="1161"/>
      <c r="X83" s="1161"/>
      <c r="Y83" s="1161"/>
      <c r="Z83" s="1161"/>
      <c r="AA83" s="1633"/>
      <c r="AB83" s="567"/>
      <c r="AC83" s="567"/>
      <c r="AD83" s="567"/>
      <c r="AE83" s="567"/>
      <c r="AF83" s="1642">
        <v>11</v>
      </c>
    </row>
    <row s="1642" customFormat="1" customHeight="1" ht="11.549999999999999">
      <c r="A84" s="988"/>
      <c r="B84" s="1637"/>
      <c r="C84" s="1637"/>
      <c r="D84" s="352"/>
      <c r="K84" s="1161"/>
      <c r="L84" s="1637"/>
      <c r="M84" s="1637"/>
      <c r="N84" s="1161"/>
      <c r="O84" s="1161"/>
      <c r="P84" s="1161"/>
      <c r="Q84" s="1161"/>
      <c r="R84" s="1637"/>
      <c r="S84" s="1161"/>
      <c r="T84" s="1161"/>
      <c r="U84" s="545"/>
      <c r="V84" s="1161"/>
      <c r="W84" s="1161"/>
      <c r="X84" s="1161"/>
      <c r="Y84" s="1161"/>
      <c r="Z84" s="1161"/>
      <c r="AA84" s="1633"/>
      <c r="AB84" s="567"/>
      <c r="AC84" s="567"/>
      <c r="AD84" s="567"/>
      <c r="AE84" s="567"/>
      <c r="AF84" s="1642">
        <v>11</v>
      </c>
    </row>
    <row s="1642" customFormat="1" customHeight="1" ht="11.549999999999999">
      <c r="A85" s="988"/>
      <c r="B85" s="1637"/>
      <c r="C85" s="1637"/>
      <c r="D85" s="352"/>
      <c r="K85" s="1161"/>
      <c r="L85" s="1637"/>
      <c r="M85" s="1637"/>
      <c r="N85" s="1161"/>
      <c r="O85" s="1161"/>
      <c r="P85" s="1161"/>
      <c r="Q85" s="1161"/>
      <c r="R85" s="1637"/>
      <c r="S85" s="1161"/>
      <c r="T85" s="1161"/>
      <c r="U85" s="545"/>
      <c r="V85" s="1161"/>
      <c r="W85" s="1161"/>
      <c r="X85" s="1161"/>
      <c r="Y85" s="1161"/>
      <c r="Z85" s="1161"/>
      <c r="AA85" s="1633"/>
      <c r="AB85" s="567"/>
      <c r="AC85" s="567"/>
      <c r="AD85" s="567"/>
      <c r="AE85" s="567"/>
      <c r="AF85" s="1642">
        <v>11</v>
      </c>
    </row>
    <row s="1642" customFormat="1" customHeight="1" ht="11.549999999999999">
      <c r="A86" s="988"/>
      <c r="B86" s="1637"/>
      <c r="C86" s="1637"/>
      <c r="D86" s="352"/>
      <c r="K86" s="1161"/>
      <c r="L86" s="1637"/>
      <c r="M86" s="1637"/>
      <c r="N86" s="1161"/>
      <c r="O86" s="1161"/>
      <c r="P86" s="1161"/>
      <c r="Q86" s="1161"/>
      <c r="R86" s="1637"/>
      <c r="S86" s="1161"/>
      <c r="T86" s="1161"/>
      <c r="U86" s="545"/>
      <c r="V86" s="1161"/>
      <c r="W86" s="1161"/>
      <c r="X86" s="1161"/>
      <c r="Y86" s="1161"/>
      <c r="Z86" s="1161"/>
      <c r="AA86" s="1633"/>
      <c r="AB86" s="567"/>
      <c r="AC86" s="567"/>
      <c r="AD86" s="567"/>
      <c r="AE86" s="567"/>
      <c r="AF86" s="1642">
        <v>11</v>
      </c>
    </row>
    <row s="1642" customFormat="1" customHeight="1" ht="11.549999999999999">
      <c r="A87" s="988"/>
      <c r="B87" s="1637"/>
      <c r="C87" s="1637"/>
      <c r="D87" s="352"/>
      <c r="K87" s="1161"/>
      <c r="L87" s="1637"/>
      <c r="M87" s="1637"/>
      <c r="N87" s="1161"/>
      <c r="O87" s="1161"/>
      <c r="P87" s="1161"/>
      <c r="Q87" s="1161"/>
      <c r="R87" s="1637"/>
      <c r="S87" s="1161"/>
      <c r="T87" s="1161"/>
      <c r="U87" s="545"/>
      <c r="V87" s="1161"/>
      <c r="W87" s="1161"/>
      <c r="X87" s="1161"/>
      <c r="Y87" s="1161"/>
      <c r="Z87" s="1161"/>
      <c r="AA87" s="1633"/>
      <c r="AB87" s="567"/>
      <c r="AC87" s="567"/>
      <c r="AD87" s="567"/>
      <c r="AE87" s="567"/>
      <c r="AF87" s="1642">
        <v>11</v>
      </c>
    </row>
    <row s="1642" customFormat="1" customHeight="1" ht="11.549999999999999">
      <c r="A88" s="988"/>
      <c r="B88" s="1637"/>
      <c r="C88" s="1637"/>
      <c r="D88" s="352"/>
      <c r="K88" s="1161"/>
      <c r="L88" s="1637"/>
      <c r="M88" s="1637"/>
      <c r="N88" s="1161"/>
      <c r="O88" s="1161"/>
      <c r="P88" s="1161"/>
      <c r="Q88" s="1161"/>
      <c r="R88" s="1637"/>
      <c r="S88" s="1161"/>
      <c r="T88" s="1161"/>
      <c r="U88" s="545"/>
      <c r="V88" s="1161"/>
      <c r="W88" s="1161"/>
      <c r="X88" s="1161"/>
      <c r="Y88" s="1161"/>
      <c r="Z88" s="1161"/>
      <c r="AA88" s="1633"/>
      <c r="AB88" s="567"/>
      <c r="AC88" s="567"/>
      <c r="AD88" s="567"/>
      <c r="AE88" s="567"/>
      <c r="AF88" s="1642">
        <v>11</v>
      </c>
    </row>
    <row s="1642" customFormat="1" customHeight="1" ht="11.549999999999999">
      <c r="A89" s="988"/>
      <c r="B89" s="1637"/>
      <c r="C89" s="1637"/>
      <c r="D89" s="352"/>
      <c r="K89" s="1161"/>
      <c r="L89" s="1637"/>
      <c r="M89" s="1637"/>
      <c r="N89" s="1161"/>
      <c r="O89" s="1161"/>
      <c r="P89" s="1161"/>
      <c r="Q89" s="1161"/>
      <c r="R89" s="1637"/>
      <c r="S89" s="1161"/>
      <c r="T89" s="1161"/>
      <c r="U89" s="545"/>
      <c r="V89" s="1161"/>
      <c r="W89" s="1161"/>
      <c r="X89" s="1161"/>
      <c r="Y89" s="1161"/>
      <c r="Z89" s="1161"/>
      <c r="AA89" s="1633"/>
      <c r="AB89" s="567"/>
      <c r="AC89" s="567"/>
      <c r="AD89" s="567"/>
      <c r="AE89" s="567"/>
      <c r="AF89" s="1642">
        <v>11</v>
      </c>
    </row>
    <row s="1642" customFormat="1" customHeight="1" ht="11.549999999999999">
      <c r="A90" s="988"/>
      <c r="B90" s="1637"/>
      <c r="C90" s="1637"/>
      <c r="D90" s="352"/>
      <c r="K90" s="1161"/>
      <c r="L90" s="1637"/>
      <c r="M90" s="1637"/>
      <c r="N90" s="1161"/>
      <c r="O90" s="1161"/>
      <c r="P90" s="1161"/>
      <c r="Q90" s="1161"/>
      <c r="R90" s="1637"/>
      <c r="S90" s="1161"/>
      <c r="T90" s="1161"/>
      <c r="U90" s="545"/>
      <c r="V90" s="1161"/>
      <c r="W90" s="1161"/>
      <c r="X90" s="1161"/>
      <c r="Y90" s="1161"/>
      <c r="Z90" s="1161"/>
      <c r="AA90" s="1633"/>
      <c r="AB90" s="567"/>
      <c r="AC90" s="567"/>
      <c r="AD90" s="567"/>
      <c r="AE90" s="567"/>
      <c r="AF90" s="1642">
        <v>11</v>
      </c>
    </row>
    <row s="1642" customFormat="1" customHeight="1" ht="11.549999999999999">
      <c r="A91" s="988"/>
      <c r="B91" s="1637"/>
      <c r="C91" s="1637"/>
      <c r="D91" s="352"/>
      <c r="K91" s="1161"/>
      <c r="L91" s="1637"/>
      <c r="M91" s="1637"/>
      <c r="N91" s="1161"/>
      <c r="O91" s="1161"/>
      <c r="P91" s="1161"/>
      <c r="Q91" s="1161"/>
      <c r="R91" s="1637"/>
      <c r="S91" s="1161"/>
      <c r="T91" s="1161"/>
      <c r="U91" s="545"/>
      <c r="V91" s="1161"/>
      <c r="W91" s="1161"/>
      <c r="X91" s="1161"/>
      <c r="Y91" s="1161"/>
      <c r="Z91" s="1161"/>
      <c r="AA91" s="1633"/>
      <c r="AB91" s="567"/>
      <c r="AC91" s="567"/>
      <c r="AD91" s="567"/>
      <c r="AE91" s="567"/>
      <c r="AF91" s="1642">
        <v>11</v>
      </c>
    </row>
    <row s="1642" customFormat="1" customHeight="1" ht="11.549999999999999">
      <c r="A92" s="988"/>
      <c r="B92" s="1637"/>
      <c r="C92" s="1637"/>
      <c r="D92" s="352"/>
      <c r="K92" s="1161"/>
      <c r="L92" s="1637"/>
      <c r="M92" s="1637"/>
      <c r="N92" s="1161"/>
      <c r="O92" s="1161"/>
      <c r="P92" s="1161"/>
      <c r="Q92" s="1161"/>
      <c r="R92" s="1637"/>
      <c r="S92" s="1161"/>
      <c r="T92" s="1161"/>
      <c r="U92" s="545"/>
      <c r="V92" s="1161"/>
      <c r="W92" s="1161"/>
      <c r="X92" s="1161"/>
      <c r="Y92" s="1161"/>
      <c r="Z92" s="1161"/>
      <c r="AA92" s="1633"/>
      <c r="AB92" s="567"/>
      <c r="AC92" s="567"/>
      <c r="AD92" s="567"/>
      <c r="AE92" s="567"/>
      <c r="AF92" s="1642">
        <v>11</v>
      </c>
    </row>
    <row s="1642" customFormat="1" customHeight="1" ht="11.549999999999999">
      <c r="A93" s="988"/>
      <c r="B93" s="1637"/>
      <c r="C93" s="1637"/>
      <c r="D93" s="352"/>
      <c r="K93" s="1161"/>
      <c r="L93" s="1637"/>
      <c r="M93" s="1637"/>
      <c r="N93" s="1161"/>
      <c r="O93" s="1161"/>
      <c r="P93" s="1161"/>
      <c r="Q93" s="1161"/>
      <c r="R93" s="1637"/>
      <c r="S93" s="1161"/>
      <c r="T93" s="1161"/>
      <c r="U93" s="545"/>
      <c r="V93" s="1161"/>
      <c r="W93" s="1161"/>
      <c r="X93" s="1161"/>
      <c r="Y93" s="1161"/>
      <c r="Z93" s="1161"/>
      <c r="AA93" s="1633"/>
      <c r="AB93" s="567"/>
      <c r="AC93" s="567"/>
      <c r="AD93" s="567"/>
      <c r="AE93" s="567"/>
      <c r="AF93" s="1642">
        <v>11</v>
      </c>
    </row>
    <row s="1642" customFormat="1" customHeight="1" ht="11.549999999999999">
      <c r="A94" s="988"/>
      <c r="B94" s="1637"/>
      <c r="C94" s="1637"/>
      <c r="D94" s="352"/>
      <c r="K94" s="1161"/>
      <c r="L94" s="1637"/>
      <c r="M94" s="1637"/>
      <c r="N94" s="1161"/>
      <c r="O94" s="1161"/>
      <c r="P94" s="1161"/>
      <c r="Q94" s="1161"/>
      <c r="R94" s="1637"/>
      <c r="S94" s="1161"/>
      <c r="T94" s="1161"/>
      <c r="U94" s="545"/>
      <c r="V94" s="1161"/>
      <c r="W94" s="1161"/>
      <c r="X94" s="1161"/>
      <c r="Y94" s="1161"/>
      <c r="Z94" s="1161"/>
      <c r="AA94" s="1633"/>
      <c r="AB94" s="567"/>
      <c r="AC94" s="567"/>
      <c r="AD94" s="567"/>
      <c r="AE94" s="567"/>
      <c r="AF94" s="1642">
        <v>11</v>
      </c>
    </row>
    <row s="1642" customFormat="1" customHeight="1" ht="11.549999999999999">
      <c r="A95" s="988"/>
      <c r="B95" s="1637"/>
      <c r="C95" s="1637"/>
      <c r="D95" s="352"/>
      <c r="K95" s="1161"/>
      <c r="L95" s="1637"/>
      <c r="M95" s="1637"/>
      <c r="N95" s="1161"/>
      <c r="O95" s="1161"/>
      <c r="P95" s="1161"/>
      <c r="Q95" s="1161"/>
      <c r="R95" s="1637"/>
      <c r="S95" s="1161"/>
      <c r="T95" s="1161"/>
      <c r="U95" s="545"/>
      <c r="V95" s="1161"/>
      <c r="W95" s="1161"/>
      <c r="X95" s="1161"/>
      <c r="Y95" s="1161"/>
      <c r="Z95" s="1161"/>
      <c r="AA95" s="1633"/>
      <c r="AB95" s="567"/>
      <c r="AC95" s="567"/>
      <c r="AD95" s="567"/>
      <c r="AE95" s="567"/>
      <c r="AF95" s="1642">
        <v>11</v>
      </c>
    </row>
    <row s="1642" customFormat="1" customHeight="1" ht="11.549999999999999">
      <c r="A96" s="988"/>
      <c r="B96" s="1637"/>
      <c r="C96" s="1637"/>
      <c r="D96" s="352"/>
      <c r="K96" s="1161"/>
      <c r="L96" s="1637"/>
      <c r="M96" s="1637"/>
      <c r="N96" s="1161"/>
      <c r="O96" s="1161"/>
      <c r="P96" s="1161"/>
      <c r="Q96" s="1161"/>
      <c r="R96" s="1637"/>
      <c r="S96" s="1161"/>
      <c r="T96" s="1161"/>
      <c r="U96" s="545"/>
      <c r="V96" s="1161"/>
      <c r="W96" s="1161"/>
      <c r="X96" s="1161"/>
      <c r="Y96" s="1161"/>
      <c r="Z96" s="1161"/>
      <c r="AA96" s="1633"/>
      <c r="AB96" s="567"/>
      <c r="AC96" s="567"/>
      <c r="AD96" s="567"/>
      <c r="AE96" s="567"/>
      <c r="AF96" s="1642">
        <v>11</v>
      </c>
    </row>
    <row s="1642" customFormat="1" customHeight="1" ht="11.549999999999999">
      <c r="A97" s="988"/>
      <c r="B97" s="1637"/>
      <c r="C97" s="1637"/>
      <c r="D97" s="352"/>
      <c r="K97" s="1161"/>
      <c r="L97" s="1637"/>
      <c r="M97" s="1637"/>
      <c r="N97" s="1161"/>
      <c r="O97" s="1161"/>
      <c r="P97" s="1161"/>
      <c r="Q97" s="1161"/>
      <c r="R97" s="1637"/>
      <c r="S97" s="1161"/>
      <c r="T97" s="1161"/>
      <c r="U97" s="545"/>
      <c r="V97" s="1161"/>
      <c r="W97" s="1161"/>
      <c r="X97" s="1161"/>
      <c r="Y97" s="1161"/>
      <c r="Z97" s="1161"/>
      <c r="AA97" s="1633"/>
      <c r="AB97" s="567"/>
      <c r="AC97" s="567"/>
      <c r="AD97" s="567"/>
      <c r="AE97" s="567"/>
      <c r="AF97" s="1642">
        <v>11</v>
      </c>
    </row>
    <row s="1642" customFormat="1" customHeight="1" ht="11.549999999999999">
      <c r="A98" s="988"/>
      <c r="B98" s="1637"/>
      <c r="C98" s="1637"/>
      <c r="D98" s="352"/>
      <c r="K98" s="1161"/>
      <c r="L98" s="1637"/>
      <c r="M98" s="1637"/>
      <c r="N98" s="1161"/>
      <c r="O98" s="1161"/>
      <c r="P98" s="1161"/>
      <c r="Q98" s="1161"/>
      <c r="R98" s="1637"/>
      <c r="S98" s="1161"/>
      <c r="T98" s="1161"/>
      <c r="U98" s="545"/>
      <c r="V98" s="1161"/>
      <c r="W98" s="1161"/>
      <c r="X98" s="1161"/>
      <c r="Y98" s="1161"/>
      <c r="Z98" s="1161"/>
      <c r="AA98" s="1633"/>
      <c r="AB98" s="567"/>
      <c r="AC98" s="567"/>
      <c r="AD98" s="567"/>
      <c r="AE98" s="567"/>
      <c r="AF98" s="1642">
        <v>11</v>
      </c>
    </row>
    <row s="1642" customFormat="1" customHeight="1" ht="11.549999999999999">
      <c r="A99" s="988"/>
      <c r="B99" s="1637"/>
      <c r="C99" s="1637"/>
      <c r="D99" s="352"/>
      <c r="K99" s="1161"/>
      <c r="L99" s="1637"/>
      <c r="M99" s="1637"/>
      <c r="N99" s="1161"/>
      <c r="O99" s="1161"/>
      <c r="P99" s="1161"/>
      <c r="Q99" s="1161"/>
      <c r="R99" s="1637"/>
      <c r="S99" s="1161"/>
      <c r="T99" s="1161"/>
      <c r="U99" s="545"/>
      <c r="V99" s="1161"/>
      <c r="W99" s="1161"/>
      <c r="X99" s="1161"/>
      <c r="Y99" s="1161"/>
      <c r="Z99" s="1161"/>
      <c r="AA99" s="1633"/>
      <c r="AB99" s="567"/>
      <c r="AC99" s="567"/>
      <c r="AD99" s="567"/>
      <c r="AE99" s="567"/>
      <c r="AF99" s="1642">
        <v>11</v>
      </c>
    </row>
    <row s="1642" customFormat="1" customHeight="1" ht="11.549999999999999">
      <c r="A100" s="988"/>
      <c r="B100" s="1637"/>
      <c r="C100" s="1637"/>
      <c r="D100" s="352"/>
      <c r="K100" s="1161"/>
      <c r="L100" s="1637"/>
      <c r="M100" s="1637"/>
      <c r="N100" s="1161"/>
      <c r="O100" s="1161"/>
      <c r="P100" s="1161"/>
      <c r="Q100" s="1161"/>
      <c r="R100" s="1637"/>
      <c r="S100" s="1161"/>
      <c r="T100" s="1161"/>
      <c r="U100" s="545"/>
      <c r="V100" s="1161"/>
      <c r="W100" s="1161"/>
      <c r="X100" s="1161"/>
      <c r="Y100" s="1161"/>
      <c r="Z100" s="1161"/>
      <c r="AA100" s="1633"/>
      <c r="AB100" s="567"/>
      <c r="AC100" s="567"/>
      <c r="AD100" s="567"/>
      <c r="AE100" s="567"/>
      <c r="AF100" s="1642">
        <v>11</v>
      </c>
    </row>
    <row s="1642" customFormat="1" customHeight="1" ht="11.549999999999999">
      <c r="A101" s="988"/>
      <c r="B101" s="1637"/>
      <c r="C101" s="1637"/>
      <c r="D101" s="352"/>
      <c r="K101" s="1161"/>
      <c r="L101" s="1637"/>
      <c r="M101" s="1637"/>
      <c r="N101" s="1161"/>
      <c r="O101" s="1161"/>
      <c r="P101" s="1161"/>
      <c r="Q101" s="1161"/>
      <c r="R101" s="1637"/>
      <c r="S101" s="1161"/>
      <c r="T101" s="1161"/>
      <c r="U101" s="545"/>
      <c r="V101" s="1161"/>
      <c r="W101" s="1161"/>
      <c r="X101" s="1161"/>
      <c r="Y101" s="1161"/>
      <c r="Z101" s="1161"/>
      <c r="AA101" s="1633"/>
      <c r="AB101" s="567"/>
      <c r="AC101" s="567"/>
      <c r="AD101" s="567"/>
      <c r="AE101" s="567"/>
      <c r="AF101" s="1642">
        <v>11</v>
      </c>
    </row>
    <row s="1642" customFormat="1" customHeight="1" ht="11.549999999999999">
      <c r="A102" s="988"/>
      <c r="B102" s="1637"/>
      <c r="C102" s="1637"/>
      <c r="D102" s="352"/>
      <c r="K102" s="1161"/>
      <c r="L102" s="1637"/>
      <c r="M102" s="1637"/>
      <c r="N102" s="1161"/>
      <c r="O102" s="1161"/>
      <c r="P102" s="1161"/>
      <c r="Q102" s="1161"/>
      <c r="R102" s="1637"/>
      <c r="S102" s="1161"/>
      <c r="T102" s="1161"/>
      <c r="U102" s="545"/>
      <c r="V102" s="1161"/>
      <c r="W102" s="1161"/>
      <c r="X102" s="1161"/>
      <c r="Y102" s="1161"/>
      <c r="Z102" s="1161"/>
      <c r="AA102" s="1633"/>
      <c r="AB102" s="567"/>
      <c r="AC102" s="567"/>
      <c r="AD102" s="567"/>
      <c r="AE102" s="567"/>
      <c r="AF102" s="1642">
        <v>11</v>
      </c>
    </row>
    <row s="1642" customFormat="1" customHeight="1" ht="11.549999999999999">
      <c r="A103" s="988"/>
      <c r="B103" s="1637"/>
      <c r="C103" s="1637"/>
      <c r="D103" s="352"/>
      <c r="K103" s="1161"/>
      <c r="L103" s="1637"/>
      <c r="M103" s="1637"/>
      <c r="N103" s="1161"/>
      <c r="O103" s="1161"/>
      <c r="P103" s="1161"/>
      <c r="Q103" s="1161"/>
      <c r="R103" s="1637"/>
      <c r="S103" s="1161"/>
      <c r="T103" s="1161"/>
      <c r="U103" s="545"/>
      <c r="V103" s="1161"/>
      <c r="W103" s="1161"/>
      <c r="X103" s="1161"/>
      <c r="Y103" s="1161"/>
      <c r="Z103" s="1161"/>
      <c r="AA103" s="1633"/>
      <c r="AB103" s="567"/>
      <c r="AC103" s="567"/>
      <c r="AD103" s="567"/>
      <c r="AE103" s="567"/>
      <c r="AF103" s="1642">
        <v>11</v>
      </c>
    </row>
    <row s="1642" customFormat="1" customHeight="1" ht="11.549999999999999">
      <c r="A104" s="988"/>
      <c r="B104" s="1637"/>
      <c r="C104" s="1637"/>
      <c r="D104" s="352"/>
      <c r="K104" s="1161"/>
      <c r="L104" s="1637"/>
      <c r="M104" s="1637"/>
      <c r="N104" s="1161"/>
      <c r="O104" s="1161"/>
      <c r="P104" s="1161"/>
      <c r="Q104" s="1161"/>
      <c r="R104" s="1637"/>
      <c r="S104" s="1161"/>
      <c r="T104" s="1161"/>
      <c r="U104" s="545"/>
      <c r="V104" s="1161"/>
      <c r="W104" s="1161"/>
      <c r="X104" s="1161"/>
      <c r="Y104" s="1161"/>
      <c r="Z104" s="1161"/>
      <c r="AA104" s="1633"/>
      <c r="AB104" s="567"/>
      <c r="AC104" s="567"/>
      <c r="AD104" s="567"/>
      <c r="AE104" s="567"/>
      <c r="AF104" s="1642">
        <v>11</v>
      </c>
    </row>
    <row s="1642" customFormat="1" customHeight="1" ht="11.549999999999999">
      <c r="A105" s="988"/>
      <c r="B105" s="1637"/>
      <c r="C105" s="1637"/>
      <c r="D105" s="352"/>
      <c r="K105" s="1161"/>
      <c r="L105" s="1637"/>
      <c r="M105" s="1637"/>
      <c r="N105" s="1161"/>
      <c r="O105" s="1161"/>
      <c r="P105" s="1161"/>
      <c r="Q105" s="1161"/>
      <c r="R105" s="1637"/>
      <c r="S105" s="1161"/>
      <c r="T105" s="1161"/>
      <c r="U105" s="545"/>
      <c r="V105" s="1161"/>
      <c r="W105" s="1161"/>
      <c r="X105" s="1161"/>
      <c r="Y105" s="1161"/>
      <c r="Z105" s="1161"/>
      <c r="AA105" s="1633"/>
      <c r="AB105" s="567"/>
      <c r="AC105" s="567"/>
      <c r="AD105" s="567"/>
      <c r="AE105" s="567"/>
      <c r="AF105" s="1642">
        <v>11</v>
      </c>
    </row>
    <row s="1642" customFormat="1" customHeight="1" ht="11.549999999999999">
      <c r="A106" s="988"/>
      <c r="B106" s="1637"/>
      <c r="C106" s="1637"/>
      <c r="D106" s="352"/>
      <c r="K106" s="1161"/>
      <c r="L106" s="1637"/>
      <c r="M106" s="1637"/>
      <c r="N106" s="1161"/>
      <c r="O106" s="1161"/>
      <c r="P106" s="1161"/>
      <c r="Q106" s="1161"/>
      <c r="R106" s="1637"/>
      <c r="S106" s="1161"/>
      <c r="T106" s="1161"/>
      <c r="U106" s="545"/>
      <c r="V106" s="1161"/>
      <c r="W106" s="1161"/>
      <c r="X106" s="1161"/>
      <c r="Y106" s="1161"/>
      <c r="Z106" s="1161"/>
      <c r="AA106" s="1633"/>
      <c r="AB106" s="567"/>
      <c r="AC106" s="567"/>
      <c r="AD106" s="567"/>
      <c r="AE106" s="567"/>
      <c r="AF106" s="1642">
        <v>11</v>
      </c>
    </row>
    <row s="1642" customFormat="1" customHeight="1" ht="11.549999999999999">
      <c r="A107" s="988"/>
      <c r="B107" s="1637"/>
      <c r="C107" s="1637"/>
      <c r="D107" s="352"/>
      <c r="K107" s="1161"/>
      <c r="L107" s="1637"/>
      <c r="M107" s="1637"/>
      <c r="N107" s="1161"/>
      <c r="O107" s="1161"/>
      <c r="P107" s="1161"/>
      <c r="Q107" s="1161"/>
      <c r="R107" s="1637"/>
      <c r="S107" s="1161"/>
      <c r="T107" s="1161"/>
      <c r="U107" s="545"/>
      <c r="V107" s="1161"/>
      <c r="W107" s="1161"/>
      <c r="X107" s="1161"/>
      <c r="Y107" s="1161"/>
      <c r="Z107" s="1161"/>
      <c r="AA107" s="1633"/>
      <c r="AB107" s="567"/>
      <c r="AC107" s="567"/>
      <c r="AD107" s="567"/>
      <c r="AE107" s="567"/>
      <c r="AF107" s="1642">
        <v>11</v>
      </c>
    </row>
    <row s="1642" customFormat="1" customHeight="1" ht="11.549999999999999">
      <c r="A108" s="988"/>
      <c r="B108" s="1637"/>
      <c r="C108" s="1637"/>
      <c r="D108" s="352"/>
      <c r="K108" s="1161"/>
      <c r="L108" s="1637"/>
      <c r="M108" s="1637"/>
      <c r="N108" s="1161"/>
      <c r="O108" s="1161"/>
      <c r="P108" s="1161"/>
      <c r="Q108" s="1161"/>
      <c r="R108" s="1637"/>
      <c r="S108" s="1161"/>
      <c r="T108" s="1161"/>
      <c r="U108" s="545"/>
      <c r="V108" s="1161"/>
      <c r="W108" s="1161"/>
      <c r="X108" s="1161"/>
      <c r="Y108" s="1161"/>
      <c r="Z108" s="1161"/>
      <c r="AA108" s="1633"/>
      <c r="AB108" s="567"/>
      <c r="AC108" s="567"/>
      <c r="AD108" s="567"/>
      <c r="AE108" s="567"/>
      <c r="AF108" s="1642">
        <v>11</v>
      </c>
    </row>
    <row s="1642" customFormat="1" customHeight="1" ht="11.549999999999999">
      <c r="A109" s="988"/>
      <c r="B109" s="1637"/>
      <c r="C109" s="1637"/>
      <c r="D109" s="352"/>
      <c r="K109" s="1161"/>
      <c r="L109" s="1637"/>
      <c r="M109" s="1637"/>
      <c r="N109" s="1161"/>
      <c r="O109" s="1161"/>
      <c r="P109" s="1161"/>
      <c r="Q109" s="1161"/>
      <c r="R109" s="1637"/>
      <c r="S109" s="1161"/>
      <c r="T109" s="1161"/>
      <c r="U109" s="545"/>
      <c r="V109" s="1161"/>
      <c r="W109" s="1161"/>
      <c r="X109" s="1161"/>
      <c r="Y109" s="1161"/>
      <c r="Z109" s="1161"/>
      <c r="AA109" s="1633"/>
      <c r="AB109" s="567"/>
      <c r="AC109" s="567"/>
      <c r="AD109" s="567"/>
      <c r="AE109" s="567"/>
      <c r="AF109" s="1642">
        <v>11</v>
      </c>
    </row>
    <row s="1642" customFormat="1" customHeight="1" ht="11.549999999999999">
      <c r="A110" s="988"/>
      <c r="B110" s="1637"/>
      <c r="C110" s="1637"/>
      <c r="D110" s="352"/>
      <c r="K110" s="1161"/>
      <c r="L110" s="1637"/>
      <c r="M110" s="1637"/>
      <c r="N110" s="1161"/>
      <c r="O110" s="1161"/>
      <c r="P110" s="1161"/>
      <c r="Q110" s="1161"/>
      <c r="R110" s="1637"/>
      <c r="S110" s="1161"/>
      <c r="T110" s="1161"/>
      <c r="U110" s="545"/>
      <c r="V110" s="1161"/>
      <c r="W110" s="1161"/>
      <c r="X110" s="1161"/>
      <c r="Y110" s="1161"/>
      <c r="Z110" s="1161"/>
      <c r="AA110" s="1633"/>
      <c r="AB110" s="567"/>
      <c r="AC110" s="567"/>
      <c r="AD110" s="567"/>
      <c r="AE110" s="567"/>
      <c r="AF110" s="1642">
        <v>11</v>
      </c>
    </row>
    <row s="1642" customFormat="1" customHeight="1" ht="11.549999999999999">
      <c r="A111" s="988"/>
      <c r="B111" s="1637"/>
      <c r="C111" s="1637"/>
      <c r="D111" s="352"/>
      <c r="K111" s="1161"/>
      <c r="L111" s="1637"/>
      <c r="M111" s="1637"/>
      <c r="N111" s="1161"/>
      <c r="O111" s="1161"/>
      <c r="P111" s="1161"/>
      <c r="Q111" s="1161"/>
      <c r="R111" s="1637"/>
      <c r="S111" s="1161"/>
      <c r="T111" s="1161"/>
      <c r="U111" s="545"/>
      <c r="V111" s="1161"/>
      <c r="W111" s="1161"/>
      <c r="X111" s="1161"/>
      <c r="Y111" s="1161"/>
      <c r="Z111" s="1161"/>
      <c r="AA111" s="1633"/>
      <c r="AB111" s="567"/>
      <c r="AC111" s="567"/>
      <c r="AD111" s="567"/>
      <c r="AE111" s="567"/>
      <c r="AF111" s="1642">
        <v>11</v>
      </c>
    </row>
    <row s="1642" customFormat="1" customHeight="1" ht="11.549999999999999">
      <c r="A112" s="988"/>
      <c r="B112" s="1637"/>
      <c r="C112" s="1637"/>
      <c r="D112" s="352"/>
      <c r="K112" s="1161"/>
      <c r="L112" s="1637"/>
      <c r="M112" s="1637"/>
      <c r="N112" s="1161"/>
      <c r="O112" s="1161"/>
      <c r="P112" s="1161"/>
      <c r="Q112" s="1161"/>
      <c r="R112" s="1637"/>
      <c r="S112" s="1161"/>
      <c r="T112" s="1161"/>
      <c r="U112" s="545"/>
      <c r="V112" s="1161"/>
      <c r="W112" s="1161"/>
      <c r="X112" s="1161"/>
      <c r="Y112" s="1161"/>
      <c r="Z112" s="1161"/>
      <c r="AA112" s="1633"/>
      <c r="AB112" s="567"/>
      <c r="AC112" s="567"/>
      <c r="AD112" s="567"/>
      <c r="AE112" s="567"/>
      <c r="AF112" s="1642">
        <v>11</v>
      </c>
    </row>
    <row s="1642" customFormat="1" customHeight="1" ht="11.549999999999999">
      <c r="A113" s="988"/>
      <c r="B113" s="1637"/>
      <c r="C113" s="1637"/>
      <c r="D113" s="352"/>
      <c r="K113" s="1161"/>
      <c r="L113" s="1637"/>
      <c r="M113" s="1637"/>
      <c r="N113" s="1161"/>
      <c r="O113" s="1161"/>
      <c r="P113" s="1161"/>
      <c r="Q113" s="1161"/>
      <c r="R113" s="1637"/>
      <c r="S113" s="1161"/>
      <c r="T113" s="1161"/>
      <c r="U113" s="545"/>
      <c r="V113" s="1161"/>
      <c r="W113" s="1161"/>
      <c r="X113" s="1161"/>
      <c r="Y113" s="1161"/>
      <c r="Z113" s="1161"/>
      <c r="AA113" s="1633"/>
      <c r="AB113" s="567"/>
      <c r="AC113" s="567"/>
      <c r="AD113" s="567"/>
      <c r="AE113" s="567"/>
      <c r="AF113" s="1642">
        <v>11</v>
      </c>
    </row>
    <row s="1642" customFormat="1" customHeight="1" ht="11.549999999999999">
      <c r="A114" s="988"/>
      <c r="B114" s="1637"/>
      <c r="C114" s="1637"/>
      <c r="D114" s="352"/>
      <c r="K114" s="1161"/>
      <c r="L114" s="1637"/>
      <c r="M114" s="1637"/>
      <c r="N114" s="1161"/>
      <c r="O114" s="1161"/>
      <c r="P114" s="1161"/>
      <c r="Q114" s="1161"/>
      <c r="R114" s="1637"/>
      <c r="S114" s="1161"/>
      <c r="T114" s="1161"/>
      <c r="U114" s="545"/>
      <c r="V114" s="1161"/>
      <c r="W114" s="1161"/>
      <c r="X114" s="1161"/>
      <c r="Y114" s="1161"/>
      <c r="Z114" s="1161"/>
      <c r="AA114" s="1633"/>
      <c r="AB114" s="567"/>
      <c r="AC114" s="567"/>
      <c r="AD114" s="567"/>
      <c r="AE114" s="567"/>
      <c r="AF114" s="1642">
        <v>11</v>
      </c>
    </row>
    <row s="1642" customFormat="1" customHeight="1" ht="11.549999999999999">
      <c r="A115" s="988"/>
      <c r="B115" s="1637"/>
      <c r="C115" s="1637"/>
      <c r="D115" s="352"/>
      <c r="K115" s="1161"/>
      <c r="L115" s="1637"/>
      <c r="M115" s="1637"/>
      <c r="N115" s="1161"/>
      <c r="O115" s="1161"/>
      <c r="P115" s="1161"/>
      <c r="Q115" s="1161"/>
      <c r="R115" s="1637"/>
      <c r="S115" s="1161"/>
      <c r="T115" s="1161"/>
      <c r="U115" s="545"/>
      <c r="V115" s="1161"/>
      <c r="W115" s="1161"/>
      <c r="X115" s="1161"/>
      <c r="Y115" s="1161"/>
      <c r="Z115" s="1161"/>
      <c r="AA115" s="1633"/>
      <c r="AB115" s="567"/>
      <c r="AC115" s="567"/>
      <c r="AD115" s="567"/>
      <c r="AE115" s="567"/>
      <c r="AF115" s="1642">
        <v>11</v>
      </c>
    </row>
    <row s="1642" customFormat="1" customHeight="1" ht="11.549999999999999">
      <c r="A116" s="988"/>
      <c r="B116" s="1637"/>
      <c r="C116" s="1637"/>
      <c r="D116" s="352"/>
      <c r="K116" s="1161"/>
      <c r="L116" s="1637"/>
      <c r="M116" s="1637"/>
      <c r="N116" s="1161"/>
      <c r="O116" s="1161"/>
      <c r="P116" s="1161"/>
      <c r="Q116" s="1161"/>
      <c r="R116" s="1637"/>
      <c r="S116" s="1161"/>
      <c r="T116" s="1161"/>
      <c r="U116" s="545"/>
      <c r="V116" s="1161"/>
      <c r="W116" s="1161"/>
      <c r="X116" s="1161"/>
      <c r="Y116" s="1161"/>
      <c r="Z116" s="1161"/>
      <c r="AA116" s="1633"/>
      <c r="AB116" s="567"/>
      <c r="AC116" s="567"/>
      <c r="AD116" s="567"/>
      <c r="AE116" s="567"/>
      <c r="AF116" s="1642">
        <v>11</v>
      </c>
    </row>
    <row s="1642" customFormat="1" customHeight="1" ht="11.549999999999999">
      <c r="A117" s="988"/>
      <c r="B117" s="1637"/>
      <c r="C117" s="1637"/>
      <c r="D117" s="352"/>
      <c r="K117" s="1161"/>
      <c r="L117" s="1637"/>
      <c r="M117" s="1637"/>
      <c r="N117" s="1161"/>
      <c r="O117" s="1161"/>
      <c r="P117" s="1161"/>
      <c r="Q117" s="1161"/>
      <c r="R117" s="1637"/>
      <c r="S117" s="1161"/>
      <c r="T117" s="1161"/>
      <c r="U117" s="545"/>
      <c r="V117" s="1161"/>
      <c r="W117" s="1161"/>
      <c r="X117" s="1161"/>
      <c r="Y117" s="1161"/>
      <c r="Z117" s="1161"/>
      <c r="AA117" s="1633"/>
      <c r="AB117" s="567"/>
      <c r="AC117" s="567"/>
      <c r="AD117" s="567"/>
      <c r="AE117" s="567"/>
      <c r="AF117" s="1642">
        <v>11</v>
      </c>
    </row>
    <row s="1642" customFormat="1" customHeight="1" ht="11.549999999999999">
      <c r="A118" s="988"/>
      <c r="B118" s="1637"/>
      <c r="C118" s="1637"/>
      <c r="D118" s="352"/>
      <c r="K118" s="1161"/>
      <c r="L118" s="1637"/>
      <c r="M118" s="1637"/>
      <c r="N118" s="1161"/>
      <c r="O118" s="1161"/>
      <c r="P118" s="1161"/>
      <c r="Q118" s="1161"/>
      <c r="R118" s="1637"/>
      <c r="S118" s="1161"/>
      <c r="T118" s="1161"/>
      <c r="U118" s="545"/>
      <c r="V118" s="1161"/>
      <c r="W118" s="1161"/>
      <c r="X118" s="1161"/>
      <c r="Y118" s="1161"/>
      <c r="Z118" s="1161"/>
      <c r="AA118" s="1633"/>
      <c r="AB118" s="567"/>
      <c r="AC118" s="567"/>
      <c r="AD118" s="567"/>
      <c r="AE118" s="567"/>
      <c r="AF118" s="1642">
        <v>11</v>
      </c>
    </row>
    <row s="1642" customFormat="1" customHeight="1" ht="11.549999999999999">
      <c r="A119" s="988"/>
      <c r="B119" s="1637"/>
      <c r="C119" s="1637"/>
      <c r="D119" s="352"/>
      <c r="K119" s="1161"/>
      <c r="L119" s="1637"/>
      <c r="M119" s="1637"/>
      <c r="N119" s="1161"/>
      <c r="O119" s="1161"/>
      <c r="P119" s="1161"/>
      <c r="Q119" s="1161"/>
      <c r="R119" s="1637"/>
      <c r="S119" s="1161"/>
      <c r="T119" s="1161"/>
      <c r="U119" s="545"/>
      <c r="V119" s="1161"/>
      <c r="W119" s="1161"/>
      <c r="X119" s="1161"/>
      <c r="Y119" s="1161"/>
      <c r="Z119" s="1161"/>
      <c r="AA119" s="1633"/>
      <c r="AB119" s="567"/>
      <c r="AC119" s="567"/>
      <c r="AD119" s="567"/>
      <c r="AE119" s="567"/>
      <c r="AF119" s="1642">
        <v>11</v>
      </c>
    </row>
    <row s="1642" customFormat="1" customHeight="1" ht="11.549999999999999">
      <c r="A120" s="988"/>
      <c r="B120" s="1637"/>
      <c r="C120" s="1637"/>
      <c r="D120" s="352"/>
      <c r="K120" s="1161"/>
      <c r="L120" s="1637"/>
      <c r="M120" s="1637"/>
      <c r="N120" s="1161"/>
      <c r="O120" s="1161"/>
      <c r="P120" s="1161"/>
      <c r="Q120" s="1161"/>
      <c r="R120" s="1637"/>
      <c r="S120" s="1161"/>
      <c r="T120" s="1161"/>
      <c r="U120" s="545"/>
      <c r="V120" s="1161"/>
      <c r="W120" s="1161"/>
      <c r="X120" s="1161"/>
      <c r="Y120" s="1161"/>
      <c r="Z120" s="1161"/>
      <c r="AA120" s="1633"/>
      <c r="AB120" s="567"/>
      <c r="AC120" s="567"/>
      <c r="AD120" s="567"/>
      <c r="AE120" s="567"/>
      <c r="AF120" s="1642">
        <v>11</v>
      </c>
    </row>
    <row s="1642" customFormat="1" customHeight="1" ht="11.549999999999999">
      <c r="A121" s="988"/>
      <c r="B121" s="1637"/>
      <c r="C121" s="1637"/>
      <c r="D121" s="352"/>
      <c r="K121" s="1161"/>
      <c r="L121" s="1637"/>
      <c r="M121" s="1637"/>
      <c r="N121" s="1161"/>
      <c r="O121" s="1161"/>
      <c r="P121" s="1161"/>
      <c r="Q121" s="1161"/>
      <c r="R121" s="1637"/>
      <c r="S121" s="1161"/>
      <c r="T121" s="1161"/>
      <c r="U121" s="545"/>
      <c r="V121" s="1161"/>
      <c r="W121" s="1161"/>
      <c r="X121" s="1161"/>
      <c r="Y121" s="1161"/>
      <c r="Z121" s="1161"/>
      <c r="AA121" s="1633"/>
      <c r="AB121" s="567"/>
      <c r="AC121" s="567"/>
      <c r="AD121" s="567"/>
      <c r="AE121" s="567"/>
      <c r="AF121" s="1642">
        <v>11</v>
      </c>
    </row>
    <row s="1642" customFormat="1" customHeight="1" ht="11.549999999999999">
      <c r="A122" s="988"/>
      <c r="B122" s="1637"/>
      <c r="C122" s="1637"/>
      <c r="D122" s="352"/>
      <c r="K122" s="1161"/>
      <c r="L122" s="1637"/>
      <c r="M122" s="1637"/>
      <c r="N122" s="1161"/>
      <c r="O122" s="1161"/>
      <c r="P122" s="1161"/>
      <c r="Q122" s="1161"/>
      <c r="R122" s="1637"/>
      <c r="S122" s="1161"/>
      <c r="T122" s="1161"/>
      <c r="U122" s="545"/>
      <c r="V122" s="1161"/>
      <c r="W122" s="1161"/>
      <c r="X122" s="1161"/>
      <c r="Y122" s="1161"/>
      <c r="Z122" s="1161"/>
      <c r="AA122" s="1633"/>
      <c r="AB122" s="567"/>
      <c r="AC122" s="567"/>
      <c r="AD122" s="567"/>
      <c r="AE122" s="567"/>
      <c r="AF122" s="1642">
        <v>11</v>
      </c>
    </row>
    <row s="1642" customFormat="1" customHeight="1" ht="11.549999999999999">
      <c r="A123" s="988"/>
      <c r="B123" s="1637"/>
      <c r="C123" s="1637"/>
      <c r="D123" s="352"/>
      <c r="K123" s="1161"/>
      <c r="L123" s="1637"/>
      <c r="M123" s="1637"/>
      <c r="N123" s="1161"/>
      <c r="O123" s="1161"/>
      <c r="P123" s="1161"/>
      <c r="Q123" s="1161"/>
      <c r="R123" s="1637"/>
      <c r="S123" s="1161"/>
      <c r="T123" s="1161"/>
      <c r="U123" s="545"/>
      <c r="V123" s="1161"/>
      <c r="W123" s="1161"/>
      <c r="X123" s="1161"/>
      <c r="Y123" s="1161"/>
      <c r="Z123" s="1161"/>
      <c r="AA123" s="1633"/>
      <c r="AB123" s="567"/>
      <c r="AC123" s="567"/>
      <c r="AD123" s="567"/>
      <c r="AE123" s="567"/>
      <c r="AF123" s="1642">
        <v>11</v>
      </c>
    </row>
    <row s="1642" customFormat="1" customHeight="1" ht="11.549999999999999">
      <c r="A124" s="988"/>
      <c r="B124" s="1637"/>
      <c r="C124" s="1637"/>
      <c r="D124" s="352"/>
      <c r="K124" s="1161"/>
      <c r="L124" s="1637"/>
      <c r="M124" s="1637"/>
      <c r="N124" s="1161"/>
      <c r="O124" s="1161"/>
      <c r="P124" s="1161"/>
      <c r="Q124" s="1161"/>
      <c r="R124" s="1637"/>
      <c r="S124" s="1161"/>
      <c r="T124" s="1161"/>
      <c r="U124" s="545"/>
      <c r="V124" s="1161"/>
      <c r="W124" s="1161"/>
      <c r="X124" s="1161"/>
      <c r="Y124" s="1161"/>
      <c r="Z124" s="1161"/>
      <c r="AA124" s="1633"/>
      <c r="AB124" s="567"/>
      <c r="AC124" s="567"/>
      <c r="AD124" s="567"/>
      <c r="AE124" s="567"/>
      <c r="AF124" s="1642">
        <v>11</v>
      </c>
    </row>
    <row s="1642" customFormat="1" customHeight="1" ht="11.549999999999999">
      <c r="A125" s="988"/>
      <c r="B125" s="1637"/>
      <c r="C125" s="1637"/>
      <c r="D125" s="352"/>
      <c r="K125" s="1161"/>
      <c r="L125" s="1637"/>
      <c r="M125" s="1637"/>
      <c r="N125" s="1161"/>
      <c r="O125" s="1161"/>
      <c r="P125" s="1161"/>
      <c r="Q125" s="1161"/>
      <c r="R125" s="1637"/>
      <c r="S125" s="1161"/>
      <c r="T125" s="1161"/>
      <c r="U125" s="545"/>
      <c r="V125" s="1161"/>
      <c r="W125" s="1161"/>
      <c r="X125" s="1161"/>
      <c r="Y125" s="1161"/>
      <c r="Z125" s="1161"/>
      <c r="AA125" s="1633"/>
      <c r="AB125" s="567"/>
      <c r="AC125" s="567"/>
      <c r="AD125" s="567"/>
      <c r="AE125" s="567"/>
      <c r="AF125" s="1642">
        <v>11</v>
      </c>
    </row>
    <row s="1642" customFormat="1" customHeight="1" ht="11.549999999999999">
      <c r="A126" s="988"/>
      <c r="B126" s="1637"/>
      <c r="C126" s="1637"/>
      <c r="D126" s="352"/>
      <c r="K126" s="1161"/>
      <c r="L126" s="1637"/>
      <c r="M126" s="1637"/>
      <c r="N126" s="1161"/>
      <c r="O126" s="1161"/>
      <c r="P126" s="1161"/>
      <c r="Q126" s="1161"/>
      <c r="R126" s="1637"/>
      <c r="S126" s="1161"/>
      <c r="T126" s="1161"/>
      <c r="U126" s="545"/>
      <c r="V126" s="1161"/>
      <c r="W126" s="1161"/>
      <c r="X126" s="1161"/>
      <c r="Y126" s="1161"/>
      <c r="Z126" s="1161"/>
      <c r="AA126" s="1633"/>
      <c r="AB126" s="567"/>
      <c r="AC126" s="567"/>
      <c r="AD126" s="567"/>
      <c r="AE126" s="567"/>
      <c r="AF126" s="1642">
        <v>11</v>
      </c>
    </row>
    <row s="1642" customFormat="1" customHeight="1" ht="11.549999999999999">
      <c r="A127" s="988"/>
      <c r="B127" s="1637"/>
      <c r="C127" s="1637"/>
      <c r="D127" s="352"/>
      <c r="K127" s="1161"/>
      <c r="L127" s="1637"/>
      <c r="M127" s="1637"/>
      <c r="N127" s="1161"/>
      <c r="O127" s="1161"/>
      <c r="P127" s="1161"/>
      <c r="Q127" s="1161"/>
      <c r="R127" s="1637"/>
      <c r="S127" s="1161"/>
      <c r="T127" s="1161"/>
      <c r="U127" s="545"/>
      <c r="V127" s="1161"/>
      <c r="W127" s="1161"/>
      <c r="X127" s="1161"/>
      <c r="Y127" s="1161"/>
      <c r="Z127" s="1161"/>
      <c r="AA127" s="1633"/>
      <c r="AB127" s="567"/>
      <c r="AC127" s="567"/>
      <c r="AD127" s="567"/>
      <c r="AE127" s="567"/>
      <c r="AF127" s="1642">
        <v>11</v>
      </c>
    </row>
    <row s="1642" customFormat="1" customHeight="1" ht="11.549999999999999">
      <c r="A128" s="988"/>
      <c r="B128" s="1637"/>
      <c r="C128" s="1637"/>
      <c r="D128" s="352"/>
      <c r="K128" s="1161"/>
      <c r="L128" s="1637"/>
      <c r="M128" s="1637"/>
      <c r="N128" s="1161"/>
      <c r="O128" s="1161"/>
      <c r="P128" s="1161"/>
      <c r="Q128" s="1161"/>
      <c r="R128" s="1637"/>
      <c r="S128" s="1161"/>
      <c r="T128" s="1161"/>
      <c r="U128" s="545"/>
      <c r="V128" s="1161"/>
      <c r="W128" s="1161"/>
      <c r="X128" s="1161"/>
      <c r="Y128" s="1161"/>
      <c r="Z128" s="1161"/>
      <c r="AA128" s="1633"/>
      <c r="AB128" s="567"/>
      <c r="AC128" s="567"/>
      <c r="AD128" s="567"/>
      <c r="AE128" s="567"/>
      <c r="AF128" s="1642">
        <v>11</v>
      </c>
    </row>
    <row s="1642" customFormat="1" customHeight="1" ht="11.549999999999999">
      <c r="A129" s="988"/>
      <c r="B129" s="1637"/>
      <c r="C129" s="1637"/>
      <c r="D129" s="352"/>
      <c r="K129" s="1161"/>
      <c r="L129" s="1637"/>
      <c r="M129" s="1637"/>
      <c r="N129" s="1161"/>
      <c r="O129" s="1161"/>
      <c r="P129" s="1161"/>
      <c r="Q129" s="1161"/>
      <c r="R129" s="1637"/>
      <c r="S129" s="1161"/>
      <c r="T129" s="1161"/>
      <c r="U129" s="545"/>
      <c r="V129" s="1161"/>
      <c r="W129" s="1161"/>
      <c r="X129" s="1161"/>
      <c r="Y129" s="1161"/>
      <c r="Z129" s="1161"/>
      <c r="AA129" s="1633"/>
      <c r="AB129" s="567"/>
      <c r="AC129" s="567"/>
      <c r="AD129" s="567"/>
      <c r="AE129" s="567"/>
      <c r="AF129" s="1642">
        <v>11</v>
      </c>
    </row>
    <row s="1642" customFormat="1" customHeight="1" ht="11.549999999999999">
      <c r="A130" s="988"/>
      <c r="B130" s="1637"/>
      <c r="C130" s="1637"/>
      <c r="D130" s="352"/>
      <c r="K130" s="1161"/>
      <c r="L130" s="1637"/>
      <c r="M130" s="1637"/>
      <c r="N130" s="1161"/>
      <c r="O130" s="1161"/>
      <c r="P130" s="1161"/>
      <c r="Q130" s="1161"/>
      <c r="R130" s="1637"/>
      <c r="S130" s="1161"/>
      <c r="T130" s="1161"/>
      <c r="U130" s="545"/>
      <c r="V130" s="1161"/>
      <c r="W130" s="1161"/>
      <c r="X130" s="1161"/>
      <c r="Y130" s="1161"/>
      <c r="Z130" s="1161"/>
      <c r="AA130" s="1633"/>
      <c r="AB130" s="567"/>
      <c r="AC130" s="567"/>
      <c r="AD130" s="567"/>
      <c r="AE130" s="567"/>
      <c r="AF130" s="1642">
        <v>11</v>
      </c>
    </row>
    <row s="1642" customFormat="1" customHeight="1" ht="11.549999999999999">
      <c r="A131" s="988"/>
      <c r="B131" s="1637"/>
      <c r="C131" s="1637"/>
      <c r="D131" s="352"/>
      <c r="K131" s="1161"/>
      <c r="L131" s="1637"/>
      <c r="M131" s="1637"/>
      <c r="N131" s="1161"/>
      <c r="O131" s="1161"/>
      <c r="P131" s="1161"/>
      <c r="Q131" s="1161"/>
      <c r="R131" s="1637"/>
      <c r="S131" s="1161"/>
      <c r="T131" s="1161"/>
      <c r="U131" s="545"/>
      <c r="V131" s="1161"/>
      <c r="W131" s="1161"/>
      <c r="X131" s="1161"/>
      <c r="Y131" s="1161"/>
      <c r="Z131" s="1161"/>
      <c r="AA131" s="1633"/>
      <c r="AB131" s="567"/>
      <c r="AC131" s="567"/>
      <c r="AD131" s="567"/>
      <c r="AE131" s="567"/>
      <c r="AF131" s="1642">
        <v>11</v>
      </c>
    </row>
    <row s="1642" customFormat="1" customHeight="1" ht="11.549999999999999">
      <c r="A132" s="988"/>
      <c r="B132" s="1637"/>
      <c r="C132" s="1637"/>
      <c r="D132" s="352"/>
      <c r="K132" s="1161"/>
      <c r="L132" s="1637"/>
      <c r="M132" s="1637"/>
      <c r="N132" s="1161"/>
      <c r="O132" s="1161"/>
      <c r="P132" s="1161"/>
      <c r="Q132" s="1161"/>
      <c r="R132" s="1637"/>
      <c r="S132" s="1161"/>
      <c r="T132" s="1161"/>
      <c r="U132" s="545"/>
      <c r="V132" s="1161"/>
      <c r="W132" s="1161"/>
      <c r="X132" s="1161"/>
      <c r="Y132" s="1161"/>
      <c r="Z132" s="1161"/>
      <c r="AA132" s="1633"/>
      <c r="AB132" s="567"/>
      <c r="AC132" s="567"/>
      <c r="AD132" s="567"/>
      <c r="AE132" s="567"/>
      <c r="AF132" s="1642">
        <v>11</v>
      </c>
    </row>
    <row s="1642" customFormat="1" customHeight="1" ht="11.549999999999999">
      <c r="A133" s="988"/>
      <c r="B133" s="1637"/>
      <c r="C133" s="1637"/>
      <c r="D133" s="352"/>
      <c r="K133" s="1161"/>
      <c r="L133" s="1637"/>
      <c r="M133" s="1637"/>
      <c r="N133" s="1161"/>
      <c r="O133" s="1161"/>
      <c r="P133" s="1161"/>
      <c r="Q133" s="1161"/>
      <c r="R133" s="1637"/>
      <c r="S133" s="1161"/>
      <c r="T133" s="1161"/>
      <c r="U133" s="545"/>
      <c r="V133" s="1161"/>
      <c r="W133" s="1161"/>
      <c r="X133" s="1161"/>
      <c r="Y133" s="1161"/>
      <c r="Z133" s="1161"/>
      <c r="AA133" s="1633"/>
      <c r="AB133" s="567"/>
      <c r="AC133" s="567"/>
      <c r="AD133" s="567"/>
      <c r="AE133" s="567"/>
      <c r="AF133" s="1642">
        <v>11</v>
      </c>
    </row>
    <row s="1642" customFormat="1" customHeight="1" ht="11.549999999999999">
      <c r="A134" s="988"/>
      <c r="B134" s="1637"/>
      <c r="C134" s="1637"/>
      <c r="D134" s="352"/>
      <c r="K134" s="1161"/>
      <c r="L134" s="1637"/>
      <c r="M134" s="1637"/>
      <c r="N134" s="1161"/>
      <c r="O134" s="1161"/>
      <c r="P134" s="1161"/>
      <c r="Q134" s="1161"/>
      <c r="R134" s="1637"/>
      <c r="S134" s="1161"/>
      <c r="T134" s="1161"/>
      <c r="U134" s="545"/>
      <c r="V134" s="1161"/>
      <c r="W134" s="1161"/>
      <c r="X134" s="1161"/>
      <c r="Y134" s="1161"/>
      <c r="Z134" s="1161"/>
      <c r="AA134" s="1633"/>
      <c r="AB134" s="567"/>
      <c r="AC134" s="567"/>
      <c r="AD134" s="567"/>
      <c r="AE134" s="567"/>
      <c r="AF134" s="1642">
        <v>11</v>
      </c>
    </row>
    <row s="1642" customFormat="1" customHeight="1" ht="11.549999999999999">
      <c r="A135" s="988"/>
      <c r="B135" s="1637"/>
      <c r="C135" s="1637"/>
      <c r="D135" s="352"/>
      <c r="K135" s="1161"/>
      <c r="L135" s="1637"/>
      <c r="M135" s="1637"/>
      <c r="N135" s="1161"/>
      <c r="O135" s="1161"/>
      <c r="P135" s="1161"/>
      <c r="Q135" s="1161"/>
      <c r="R135" s="1637"/>
      <c r="S135" s="1161"/>
      <c r="T135" s="1161"/>
      <c r="U135" s="545"/>
      <c r="V135" s="1161"/>
      <c r="W135" s="1161"/>
      <c r="X135" s="1161"/>
      <c r="Y135" s="1161"/>
      <c r="Z135" s="1161"/>
      <c r="AA135" s="1633"/>
      <c r="AB135" s="567"/>
      <c r="AC135" s="567"/>
      <c r="AD135" s="567"/>
      <c r="AE135" s="567"/>
      <c r="AF135" s="1642">
        <v>11</v>
      </c>
    </row>
    <row s="1642" customFormat="1" customHeight="1" ht="11.549999999999999">
      <c r="A136" s="988"/>
      <c r="B136" s="1637"/>
      <c r="C136" s="1637"/>
      <c r="D136" s="352"/>
      <c r="K136" s="1161"/>
      <c r="L136" s="1637"/>
      <c r="M136" s="1637"/>
      <c r="N136" s="1161"/>
      <c r="O136" s="1161"/>
      <c r="P136" s="1161"/>
      <c r="Q136" s="1161"/>
      <c r="R136" s="1637"/>
      <c r="S136" s="1161"/>
      <c r="T136" s="1161"/>
      <c r="U136" s="545"/>
      <c r="V136" s="1161"/>
      <c r="W136" s="1161"/>
      <c r="X136" s="1161"/>
      <c r="Y136" s="1161"/>
      <c r="Z136" s="1161"/>
      <c r="AA136" s="1633"/>
      <c r="AB136" s="567"/>
      <c r="AC136" s="567"/>
      <c r="AD136" s="567"/>
      <c r="AE136" s="567"/>
      <c r="AF136" s="1642">
        <v>11</v>
      </c>
    </row>
    <row s="1642" customFormat="1" customHeight="1" ht="11.549999999999999">
      <c r="A137" s="988"/>
      <c r="B137" s="1637"/>
      <c r="C137" s="1637"/>
      <c r="D137" s="352"/>
      <c r="K137" s="1161"/>
      <c r="L137" s="1637"/>
      <c r="M137" s="1637"/>
      <c r="N137" s="1161"/>
      <c r="O137" s="1161"/>
      <c r="P137" s="1161"/>
      <c r="Q137" s="1161"/>
      <c r="R137" s="1637"/>
      <c r="S137" s="1161"/>
      <c r="T137" s="1161"/>
      <c r="U137" s="545"/>
      <c r="V137" s="1161"/>
      <c r="W137" s="1161"/>
      <c r="X137" s="1161"/>
      <c r="Y137" s="1161"/>
      <c r="Z137" s="1161"/>
      <c r="AA137" s="1633"/>
      <c r="AB137" s="567"/>
      <c r="AC137" s="567"/>
      <c r="AD137" s="567"/>
      <c r="AE137" s="567"/>
      <c r="AF137" s="1642">
        <v>11</v>
      </c>
    </row>
    <row s="1642" customFormat="1" customHeight="1" ht="11.549999999999999">
      <c r="A138" s="988"/>
      <c r="B138" s="1637"/>
      <c r="C138" s="1637"/>
      <c r="D138" s="352"/>
      <c r="K138" s="1161"/>
      <c r="L138" s="1637"/>
      <c r="M138" s="1637"/>
      <c r="N138" s="1161"/>
      <c r="O138" s="1161"/>
      <c r="P138" s="1161"/>
      <c r="Q138" s="1161"/>
      <c r="R138" s="1637"/>
      <c r="S138" s="1161"/>
      <c r="T138" s="1161"/>
      <c r="U138" s="545"/>
      <c r="V138" s="1161"/>
      <c r="W138" s="1161"/>
      <c r="X138" s="1161"/>
      <c r="Y138" s="1161"/>
      <c r="Z138" s="1161"/>
      <c r="AA138" s="1633"/>
      <c r="AB138" s="567"/>
      <c r="AC138" s="567"/>
      <c r="AD138" s="567"/>
      <c r="AE138" s="567"/>
      <c r="AF138" s="1642">
        <v>11</v>
      </c>
    </row>
    <row s="1642" customFormat="1" customHeight="1" ht="11.549999999999999">
      <c r="A139" s="988"/>
      <c r="B139" s="1637"/>
      <c r="C139" s="1637"/>
      <c r="D139" s="352"/>
      <c r="K139" s="1161"/>
      <c r="L139" s="1637"/>
      <c r="M139" s="1637"/>
      <c r="N139" s="1161"/>
      <c r="O139" s="1161"/>
      <c r="P139" s="1161"/>
      <c r="Q139" s="1161"/>
      <c r="R139" s="1637"/>
      <c r="S139" s="1161"/>
      <c r="T139" s="1161"/>
      <c r="U139" s="545"/>
      <c r="V139" s="1161"/>
      <c r="W139" s="1161"/>
      <c r="X139" s="1161"/>
      <c r="Y139" s="1161"/>
      <c r="Z139" s="1161"/>
      <c r="AA139" s="1633"/>
      <c r="AB139" s="567"/>
      <c r="AC139" s="567"/>
      <c r="AD139" s="567"/>
      <c r="AE139" s="567"/>
      <c r="AF139" s="1642">
        <v>11</v>
      </c>
    </row>
    <row s="1642" customFormat="1" customHeight="1" ht="11.549999999999999">
      <c r="A140" s="988"/>
      <c r="B140" s="1637"/>
      <c r="C140" s="1637"/>
      <c r="D140" s="352"/>
      <c r="K140" s="1161"/>
      <c r="L140" s="1637"/>
      <c r="M140" s="1637"/>
      <c r="N140" s="1161"/>
      <c r="O140" s="1161"/>
      <c r="P140" s="1161"/>
      <c r="Q140" s="1161"/>
      <c r="R140" s="1637"/>
      <c r="S140" s="1161"/>
      <c r="T140" s="1161"/>
      <c r="U140" s="545"/>
      <c r="V140" s="1161"/>
      <c r="W140" s="1161"/>
      <c r="X140" s="1161"/>
      <c r="Y140" s="1161"/>
      <c r="Z140" s="1161"/>
      <c r="AA140" s="1633"/>
      <c r="AB140" s="567"/>
      <c r="AC140" s="567"/>
      <c r="AD140" s="567"/>
      <c r="AE140" s="567"/>
      <c r="AF140" s="1642">
        <v>11</v>
      </c>
    </row>
    <row s="1642" customFormat="1" customHeight="1" ht="11.549999999999999">
      <c r="A141" s="988"/>
      <c r="B141" s="1637"/>
      <c r="C141" s="1637"/>
      <c r="D141" s="352"/>
      <c r="K141" s="1161"/>
      <c r="L141" s="1637"/>
      <c r="M141" s="1637"/>
      <c r="N141" s="1161"/>
      <c r="O141" s="1161"/>
      <c r="P141" s="1161"/>
      <c r="Q141" s="1161"/>
      <c r="R141" s="1637"/>
      <c r="S141" s="1161"/>
      <c r="T141" s="1161"/>
      <c r="U141" s="545"/>
      <c r="V141" s="1161"/>
      <c r="W141" s="1161"/>
      <c r="X141" s="1161"/>
      <c r="Y141" s="1161"/>
      <c r="Z141" s="1161"/>
      <c r="AA141" s="1633"/>
      <c r="AB141" s="567"/>
      <c r="AC141" s="567"/>
      <c r="AD141" s="567"/>
      <c r="AE141" s="567"/>
      <c r="AF141" s="1642">
        <v>11</v>
      </c>
    </row>
    <row s="1642" customFormat="1" customHeight="1" ht="11.549999999999999">
      <c r="A142" s="988"/>
      <c r="B142" s="1637"/>
      <c r="C142" s="1637"/>
      <c r="D142" s="352"/>
      <c r="K142" s="1161"/>
      <c r="L142" s="1637"/>
      <c r="M142" s="1637"/>
      <c r="N142" s="1161"/>
      <c r="O142" s="1161"/>
      <c r="P142" s="1161"/>
      <c r="Q142" s="1161"/>
      <c r="R142" s="1637"/>
      <c r="S142" s="1161"/>
      <c r="T142" s="1161"/>
      <c r="U142" s="545"/>
      <c r="V142" s="1161"/>
      <c r="W142" s="1161"/>
      <c r="X142" s="1161"/>
      <c r="Y142" s="1161"/>
      <c r="Z142" s="1161"/>
      <c r="AA142" s="1633"/>
      <c r="AB142" s="567"/>
      <c r="AC142" s="567"/>
      <c r="AD142" s="567"/>
      <c r="AE142" s="567"/>
      <c r="AF142" s="1642">
        <v>11</v>
      </c>
    </row>
    <row s="1642" customFormat="1" customHeight="1" ht="11.549999999999999">
      <c r="A143" s="988"/>
      <c r="B143" s="1637"/>
      <c r="C143" s="1637"/>
      <c r="D143" s="352"/>
      <c r="K143" s="1161"/>
      <c r="L143" s="1637"/>
      <c r="M143" s="1637"/>
      <c r="N143" s="1161"/>
      <c r="O143" s="1161"/>
      <c r="P143" s="1161"/>
      <c r="Q143" s="1161"/>
      <c r="R143" s="1637"/>
      <c r="S143" s="1161"/>
      <c r="T143" s="1161"/>
      <c r="U143" s="545"/>
      <c r="V143" s="1161"/>
      <c r="W143" s="1161"/>
      <c r="X143" s="1161"/>
      <c r="Y143" s="1161"/>
      <c r="Z143" s="1161"/>
      <c r="AA143" s="1633"/>
      <c r="AB143" s="567"/>
      <c r="AC143" s="567"/>
      <c r="AD143" s="567"/>
      <c r="AE143" s="567"/>
      <c r="AF143" s="1642">
        <v>11</v>
      </c>
    </row>
    <row s="1642" customFormat="1" customHeight="1" ht="11.549999999999999">
      <c r="A144" s="988"/>
      <c r="B144" s="1637"/>
      <c r="C144" s="1637"/>
      <c r="D144" s="352"/>
      <c r="K144" s="1161"/>
      <c r="L144" s="1637"/>
      <c r="M144" s="1637"/>
      <c r="N144" s="1161"/>
      <c r="O144" s="1161"/>
      <c r="P144" s="1161"/>
      <c r="Q144" s="1161"/>
      <c r="R144" s="1637"/>
      <c r="S144" s="1161"/>
      <c r="T144" s="1161"/>
      <c r="U144" s="545"/>
      <c r="V144" s="1161"/>
      <c r="W144" s="1161"/>
      <c r="X144" s="1161"/>
      <c r="Y144" s="1161"/>
      <c r="Z144" s="1161"/>
      <c r="AA144" s="1633"/>
      <c r="AB144" s="567"/>
      <c r="AC144" s="567"/>
      <c r="AD144" s="567"/>
      <c r="AE144" s="567"/>
      <c r="AF144" s="1642">
        <v>11</v>
      </c>
    </row>
    <row s="1642" customFormat="1" customHeight="1" ht="11.549999999999999">
      <c r="A145" s="988"/>
      <c r="B145" s="1637"/>
      <c r="C145" s="1637"/>
      <c r="D145" s="352"/>
      <c r="K145" s="1161"/>
      <c r="L145" s="1637"/>
      <c r="M145" s="1637"/>
      <c r="N145" s="1161"/>
      <c r="O145" s="1161"/>
      <c r="P145" s="1161"/>
      <c r="Q145" s="1161"/>
      <c r="R145" s="1637"/>
      <c r="S145" s="1161"/>
      <c r="T145" s="1161"/>
      <c r="U145" s="545"/>
      <c r="V145" s="1161"/>
      <c r="W145" s="1161"/>
      <c r="X145" s="1161"/>
      <c r="Y145" s="1161"/>
      <c r="Z145" s="1161"/>
      <c r="AA145" s="1633"/>
      <c r="AB145" s="567"/>
      <c r="AC145" s="567"/>
      <c r="AD145" s="567"/>
      <c r="AE145" s="567"/>
      <c r="AF145" s="1642">
        <v>11</v>
      </c>
    </row>
    <row s="1642" customFormat="1" customHeight="1" ht="11.549999999999999">
      <c r="A146" s="988"/>
      <c r="B146" s="1637"/>
      <c r="C146" s="1637"/>
      <c r="D146" s="352"/>
      <c r="K146" s="1161"/>
      <c r="L146" s="1637"/>
      <c r="M146" s="1637"/>
      <c r="N146" s="1161"/>
      <c r="O146" s="1161"/>
      <c r="P146" s="1161"/>
      <c r="Q146" s="1161"/>
      <c r="R146" s="1637"/>
      <c r="S146" s="1161"/>
      <c r="T146" s="1161"/>
      <c r="U146" s="545"/>
      <c r="V146" s="1161"/>
      <c r="W146" s="1161"/>
      <c r="X146" s="1161"/>
      <c r="Y146" s="1161"/>
      <c r="Z146" s="1161"/>
      <c r="AA146" s="1633"/>
      <c r="AB146" s="567"/>
      <c r="AC146" s="567"/>
      <c r="AD146" s="567"/>
      <c r="AE146" s="567"/>
      <c r="AF146" s="1642">
        <v>11</v>
      </c>
    </row>
    <row s="1642" customFormat="1" customHeight="1" ht="11.549999999999999">
      <c r="A147" s="988"/>
      <c r="B147" s="1637"/>
      <c r="C147" s="1637"/>
      <c r="D147" s="352"/>
      <c r="K147" s="1161"/>
      <c r="L147" s="1637"/>
      <c r="M147" s="1637"/>
      <c r="N147" s="1161"/>
      <c r="O147" s="1161"/>
      <c r="P147" s="1161"/>
      <c r="Q147" s="1161"/>
      <c r="R147" s="1637"/>
      <c r="S147" s="1161"/>
      <c r="T147" s="1161"/>
      <c r="U147" s="545"/>
      <c r="V147" s="1161"/>
      <c r="W147" s="1161"/>
      <c r="X147" s="1161"/>
      <c r="Y147" s="1161"/>
      <c r="Z147" s="1161"/>
      <c r="AA147" s="1633"/>
      <c r="AB147" s="567"/>
      <c r="AC147" s="567"/>
      <c r="AD147" s="567"/>
      <c r="AE147" s="567"/>
      <c r="AF147" s="1642">
        <v>11</v>
      </c>
    </row>
    <row s="1642" customFormat="1" customHeight="1" ht="11.549999999999999">
      <c r="A148" s="988"/>
      <c r="B148" s="1637"/>
      <c r="C148" s="1637"/>
      <c r="D148" s="352"/>
      <c r="K148" s="1161"/>
      <c r="L148" s="1637"/>
      <c r="M148" s="1637"/>
      <c r="N148" s="1161"/>
      <c r="O148" s="1161"/>
      <c r="P148" s="1161"/>
      <c r="Q148" s="1161"/>
      <c r="R148" s="1637"/>
      <c r="S148" s="1161"/>
      <c r="T148" s="1161"/>
      <c r="U148" s="545"/>
      <c r="V148" s="1161"/>
      <c r="W148" s="1161"/>
      <c r="X148" s="1161"/>
      <c r="Y148" s="1161"/>
      <c r="Z148" s="1161"/>
      <c r="AA148" s="1633"/>
      <c r="AB148" s="567"/>
      <c r="AC148" s="567"/>
      <c r="AD148" s="567"/>
      <c r="AE148" s="567"/>
      <c r="AF148" s="1642">
        <v>11</v>
      </c>
    </row>
    <row s="1642" customFormat="1" customHeight="1" ht="11.549999999999999">
      <c r="A149" s="988"/>
      <c r="B149" s="1637"/>
      <c r="C149" s="1637"/>
      <c r="D149" s="352"/>
      <c r="K149" s="1161"/>
      <c r="L149" s="1637"/>
      <c r="M149" s="1637"/>
      <c r="N149" s="1161"/>
      <c r="O149" s="1161"/>
      <c r="P149" s="1161"/>
      <c r="Q149" s="1161"/>
      <c r="R149" s="1637"/>
      <c r="S149" s="1161"/>
      <c r="T149" s="1161"/>
      <c r="U149" s="545"/>
      <c r="V149" s="1161"/>
      <c r="W149" s="1161"/>
      <c r="X149" s="1161"/>
      <c r="Y149" s="1161"/>
      <c r="Z149" s="1161"/>
      <c r="AA149" s="1633"/>
      <c r="AB149" s="567"/>
      <c r="AC149" s="567"/>
      <c r="AD149" s="567"/>
      <c r="AE149" s="567"/>
      <c r="AF149" s="1642">
        <v>11</v>
      </c>
    </row>
    <row s="1642" customFormat="1" customHeight="1" ht="11.549999999999999">
      <c r="A150" s="988"/>
      <c r="B150" s="1637"/>
      <c r="C150" s="1637"/>
      <c r="D150" s="352"/>
      <c r="K150" s="1161"/>
      <c r="L150" s="1637"/>
      <c r="M150" s="1637"/>
      <c r="N150" s="1161"/>
      <c r="O150" s="1161"/>
      <c r="P150" s="1161"/>
      <c r="Q150" s="1161"/>
      <c r="R150" s="1637"/>
      <c r="S150" s="1161"/>
      <c r="T150" s="1161"/>
      <c r="U150" s="545"/>
      <c r="V150" s="1161"/>
      <c r="W150" s="1161"/>
      <c r="X150" s="1161"/>
      <c r="Y150" s="1161"/>
      <c r="Z150" s="1161"/>
      <c r="AA150" s="1633"/>
      <c r="AB150" s="567"/>
      <c r="AC150" s="567"/>
      <c r="AD150" s="567"/>
      <c r="AE150" s="567"/>
      <c r="AF150" s="1642">
        <v>11</v>
      </c>
    </row>
    <row s="1642" customFormat="1" customHeight="1" ht="11.549999999999999">
      <c r="A151" s="988"/>
      <c r="B151" s="1637"/>
      <c r="C151" s="1637"/>
      <c r="D151" s="352"/>
      <c r="K151" s="1161"/>
      <c r="L151" s="1637"/>
      <c r="M151" s="1637"/>
      <c r="N151" s="1161"/>
      <c r="O151" s="1161"/>
      <c r="P151" s="1161"/>
      <c r="Q151" s="1161"/>
      <c r="R151" s="1637"/>
      <c r="S151" s="1161"/>
      <c r="T151" s="1161"/>
      <c r="U151" s="545"/>
      <c r="V151" s="1161"/>
      <c r="W151" s="1161"/>
      <c r="X151" s="1161"/>
      <c r="Y151" s="1161"/>
      <c r="Z151" s="1161"/>
      <c r="AA151" s="1633"/>
      <c r="AB151" s="567"/>
      <c r="AC151" s="567"/>
      <c r="AD151" s="567"/>
      <c r="AE151" s="567"/>
      <c r="AF151" s="1642">
        <v>11</v>
      </c>
    </row>
    <row s="1642" customFormat="1" customHeight="1" ht="11.549999999999999">
      <c r="A152" s="988"/>
      <c r="B152" s="1637"/>
      <c r="C152" s="1637"/>
      <c r="D152" s="352"/>
      <c r="K152" s="1161"/>
      <c r="L152" s="1637"/>
      <c r="M152" s="1637"/>
      <c r="N152" s="1161"/>
      <c r="O152" s="1161"/>
      <c r="P152" s="1161"/>
      <c r="Q152" s="1161"/>
      <c r="R152" s="1637"/>
      <c r="S152" s="1161"/>
      <c r="T152" s="1161"/>
      <c r="U152" s="545"/>
      <c r="V152" s="1161"/>
      <c r="W152" s="1161"/>
      <c r="X152" s="1161"/>
      <c r="Y152" s="1161"/>
      <c r="Z152" s="1161"/>
      <c r="AA152" s="1633"/>
      <c r="AB152" s="567"/>
      <c r="AC152" s="567"/>
      <c r="AD152" s="567"/>
      <c r="AE152" s="567"/>
      <c r="AF152" s="1642">
        <v>11</v>
      </c>
    </row>
    <row s="1642" customFormat="1" customHeight="1" ht="11.549999999999999">
      <c r="A153" s="988"/>
      <c r="B153" s="1637"/>
      <c r="C153" s="1637"/>
      <c r="D153" s="352"/>
      <c r="K153" s="1161"/>
      <c r="L153" s="1637"/>
      <c r="M153" s="1637"/>
      <c r="N153" s="1161"/>
      <c r="O153" s="1161"/>
      <c r="P153" s="1161"/>
      <c r="Q153" s="1161"/>
      <c r="R153" s="1637"/>
      <c r="S153" s="1161"/>
      <c r="T153" s="1161"/>
      <c r="U153" s="545"/>
      <c r="V153" s="1161"/>
      <c r="W153" s="1161"/>
      <c r="X153" s="1161"/>
      <c r="Y153" s="1161"/>
      <c r="Z153" s="1161"/>
      <c r="AA153" s="1633"/>
      <c r="AB153" s="567"/>
      <c r="AC153" s="567"/>
      <c r="AD153" s="567"/>
      <c r="AE153" s="567"/>
      <c r="AF153" s="1642">
        <v>11</v>
      </c>
    </row>
    <row s="1642" customFormat="1" customHeight="1" ht="11.549999999999999">
      <c r="A154" s="988"/>
      <c r="B154" s="1637"/>
      <c r="C154" s="1637"/>
      <c r="D154" s="352"/>
      <c r="K154" s="1161"/>
      <c r="L154" s="1637"/>
      <c r="M154" s="1637"/>
      <c r="N154" s="1161"/>
      <c r="O154" s="1161"/>
      <c r="P154" s="1161"/>
      <c r="Q154" s="1161"/>
      <c r="R154" s="1637"/>
      <c r="S154" s="1161"/>
      <c r="T154" s="1161"/>
      <c r="U154" s="545"/>
      <c r="V154" s="1161"/>
      <c r="W154" s="1161"/>
      <c r="X154" s="1161"/>
      <c r="Y154" s="1161"/>
      <c r="Z154" s="1161"/>
      <c r="AA154" s="1633"/>
      <c r="AB154" s="567"/>
      <c r="AC154" s="567"/>
      <c r="AD154" s="567"/>
      <c r="AE154" s="567"/>
      <c r="AF154" s="1642">
        <v>11</v>
      </c>
    </row>
    <row s="1642" customFormat="1" customHeight="1" ht="11.549999999999999">
      <c r="A155" s="988"/>
      <c r="B155" s="1637"/>
      <c r="C155" s="1637"/>
      <c r="D155" s="352"/>
      <c r="K155" s="1161"/>
      <c r="L155" s="1637"/>
      <c r="M155" s="1637"/>
      <c r="N155" s="1161"/>
      <c r="O155" s="1161"/>
      <c r="P155" s="1161"/>
      <c r="Q155" s="1161"/>
      <c r="R155" s="1637"/>
      <c r="S155" s="1161"/>
      <c r="T155" s="1161"/>
      <c r="U155" s="545"/>
      <c r="V155" s="1161"/>
      <c r="W155" s="1161"/>
      <c r="X155" s="1161"/>
      <c r="Y155" s="1161"/>
      <c r="Z155" s="1161"/>
      <c r="AA155" s="1633"/>
      <c r="AB155" s="567"/>
      <c r="AC155" s="567"/>
      <c r="AD155" s="567"/>
      <c r="AE155" s="567"/>
      <c r="AF155" s="1642">
        <v>11</v>
      </c>
    </row>
    <row s="1642" customFormat="1" customHeight="1" ht="11.549999999999999">
      <c r="A156" s="988"/>
      <c r="B156" s="1637"/>
      <c r="C156" s="1637"/>
      <c r="D156" s="352"/>
      <c r="K156" s="1161"/>
      <c r="L156" s="1637"/>
      <c r="M156" s="1637"/>
      <c r="N156" s="1161"/>
      <c r="O156" s="1161"/>
      <c r="P156" s="1161"/>
      <c r="Q156" s="1161"/>
      <c r="R156" s="1637"/>
      <c r="S156" s="1161"/>
      <c r="T156" s="1161"/>
      <c r="U156" s="545"/>
      <c r="V156" s="1161"/>
      <c r="W156" s="1161"/>
      <c r="X156" s="1161"/>
      <c r="Y156" s="1161"/>
      <c r="Z156" s="1161"/>
      <c r="AA156" s="1633"/>
      <c r="AB156" s="567"/>
      <c r="AC156" s="567"/>
      <c r="AD156" s="567"/>
      <c r="AE156" s="567"/>
      <c r="AF156" s="1642">
        <v>11</v>
      </c>
    </row>
    <row s="1642" customFormat="1" customHeight="1" ht="11.549999999999999">
      <c r="A157" s="988"/>
      <c r="B157" s="1637"/>
      <c r="C157" s="1637"/>
      <c r="D157" s="352"/>
      <c r="K157" s="1161"/>
      <c r="L157" s="1637"/>
      <c r="M157" s="1637"/>
      <c r="N157" s="1161"/>
      <c r="O157" s="1161"/>
      <c r="P157" s="1161"/>
      <c r="Q157" s="1161"/>
      <c r="R157" s="1637"/>
      <c r="S157" s="1161"/>
      <c r="T157" s="1161"/>
      <c r="U157" s="545"/>
      <c r="V157" s="1161"/>
      <c r="W157" s="1161"/>
      <c r="X157" s="1161"/>
      <c r="Y157" s="1161"/>
      <c r="Z157" s="1161"/>
      <c r="AA157" s="1633"/>
      <c r="AB157" s="567"/>
      <c r="AC157" s="567"/>
      <c r="AD157" s="567"/>
      <c r="AE157" s="567"/>
      <c r="AF157" s="1642">
        <v>11</v>
      </c>
    </row>
    <row s="1642" customFormat="1" customHeight="1" ht="11.549999999999999">
      <c r="A158" s="988"/>
      <c r="B158" s="1637"/>
      <c r="C158" s="1637"/>
      <c r="D158" s="352"/>
      <c r="K158" s="1161"/>
      <c r="L158" s="1637"/>
      <c r="M158" s="1637"/>
      <c r="N158" s="1161"/>
      <c r="O158" s="1161"/>
      <c r="P158" s="1161"/>
      <c r="Q158" s="1161"/>
      <c r="R158" s="1637"/>
      <c r="S158" s="1161"/>
      <c r="T158" s="1161"/>
      <c r="U158" s="545"/>
      <c r="V158" s="1161"/>
      <c r="W158" s="1161"/>
      <c r="X158" s="1161"/>
      <c r="Y158" s="1161"/>
      <c r="Z158" s="1161"/>
      <c r="AA158" s="1633"/>
      <c r="AB158" s="567"/>
      <c r="AC158" s="567"/>
      <c r="AD158" s="567"/>
      <c r="AE158" s="567"/>
      <c r="AF158" s="1642">
        <v>11</v>
      </c>
    </row>
    <row s="1642" customFormat="1" customHeight="1" ht="11.549999999999999">
      <c r="A159" s="988"/>
      <c r="B159" s="1637"/>
      <c r="C159" s="1637"/>
      <c r="D159" s="352"/>
      <c r="K159" s="1161"/>
      <c r="L159" s="1637"/>
      <c r="M159" s="1637"/>
      <c r="N159" s="1161"/>
      <c r="O159" s="1161"/>
      <c r="P159" s="1161"/>
      <c r="Q159" s="1161"/>
      <c r="R159" s="1637"/>
      <c r="S159" s="1161"/>
      <c r="T159" s="1161"/>
      <c r="U159" s="545"/>
      <c r="V159" s="1161"/>
      <c r="W159" s="1161"/>
      <c r="X159" s="1161"/>
      <c r="Y159" s="1161"/>
      <c r="Z159" s="1161"/>
      <c r="AA159" s="1633"/>
      <c r="AB159" s="567"/>
      <c r="AC159" s="567"/>
      <c r="AD159" s="567"/>
      <c r="AE159" s="567"/>
      <c r="AF159" s="1642">
        <v>11</v>
      </c>
    </row>
    <row s="1642" customFormat="1" customHeight="1" ht="11.549999999999999">
      <c r="A160" s="988"/>
      <c r="B160" s="1637"/>
      <c r="C160" s="1637"/>
      <c r="D160" s="352"/>
      <c r="K160" s="1161"/>
      <c r="L160" s="1637"/>
      <c r="M160" s="1637"/>
      <c r="N160" s="1161"/>
      <c r="O160" s="1161"/>
      <c r="P160" s="1161"/>
      <c r="Q160" s="1161"/>
      <c r="R160" s="1637"/>
      <c r="S160" s="1161"/>
      <c r="T160" s="1161"/>
      <c r="U160" s="545"/>
      <c r="V160" s="1161"/>
      <c r="W160" s="1161"/>
      <c r="X160" s="1161"/>
      <c r="Y160" s="1161"/>
      <c r="Z160" s="1161"/>
      <c r="AA160" s="1633"/>
      <c r="AB160" s="567"/>
      <c r="AC160" s="567"/>
      <c r="AD160" s="567"/>
      <c r="AE160" s="567"/>
      <c r="AF160" s="1642">
        <v>11</v>
      </c>
    </row>
    <row s="1642" customFormat="1" customHeight="1" ht="11.549999999999999">
      <c r="A161" s="988"/>
      <c r="B161" s="1637"/>
      <c r="C161" s="1637"/>
      <c r="D161" s="352"/>
      <c r="K161" s="1161"/>
      <c r="L161" s="1637"/>
      <c r="M161" s="1637"/>
      <c r="N161" s="1161"/>
      <c r="O161" s="1161"/>
      <c r="P161" s="1161"/>
      <c r="Q161" s="1161"/>
      <c r="R161" s="1637"/>
      <c r="S161" s="1161"/>
      <c r="T161" s="1161"/>
      <c r="U161" s="545"/>
      <c r="V161" s="1161"/>
      <c r="W161" s="1161"/>
      <c r="X161" s="1161"/>
      <c r="Y161" s="1161"/>
      <c r="Z161" s="1161"/>
      <c r="AA161" s="1633"/>
      <c r="AB161" s="567"/>
      <c r="AC161" s="567"/>
      <c r="AD161" s="567"/>
      <c r="AE161" s="567"/>
      <c r="AF161" s="1642">
        <v>11</v>
      </c>
    </row>
    <row s="1642" customFormat="1" customHeight="1" ht="11.549999999999999">
      <c r="A162" s="988"/>
      <c r="B162" s="1637"/>
      <c r="C162" s="1637"/>
      <c r="D162" s="352"/>
      <c r="K162" s="1161"/>
      <c r="L162" s="1637"/>
      <c r="M162" s="1637"/>
      <c r="N162" s="1161"/>
      <c r="O162" s="1161"/>
      <c r="P162" s="1161"/>
      <c r="Q162" s="1161"/>
      <c r="R162" s="1637"/>
      <c r="S162" s="1161"/>
      <c r="T162" s="1161"/>
      <c r="U162" s="545"/>
      <c r="V162" s="1161"/>
      <c r="W162" s="1161"/>
      <c r="X162" s="1161"/>
      <c r="Y162" s="1161"/>
      <c r="Z162" s="1161"/>
      <c r="AA162" s="1633"/>
      <c r="AB162" s="567"/>
      <c r="AC162" s="567"/>
      <c r="AD162" s="567"/>
      <c r="AE162" s="567"/>
      <c r="AF162" s="1642">
        <v>11</v>
      </c>
    </row>
    <row s="1642" customFormat="1" customHeight="1" ht="11.549999999999999">
      <c r="A163" s="988"/>
      <c r="B163" s="1637"/>
      <c r="C163" s="1637"/>
      <c r="D163" s="352"/>
      <c r="K163" s="1161"/>
      <c r="L163" s="1637"/>
      <c r="M163" s="1637"/>
      <c r="N163" s="1161"/>
      <c r="O163" s="1161"/>
      <c r="P163" s="1161"/>
      <c r="Q163" s="1161"/>
      <c r="R163" s="1637"/>
      <c r="S163" s="1161"/>
      <c r="T163" s="1161"/>
      <c r="U163" s="545"/>
      <c r="V163" s="1161"/>
      <c r="W163" s="1161"/>
      <c r="X163" s="1161"/>
      <c r="Y163" s="1161"/>
      <c r="Z163" s="1161"/>
      <c r="AA163" s="1633"/>
      <c r="AB163" s="567"/>
      <c r="AC163" s="567"/>
      <c r="AD163" s="567"/>
      <c r="AE163" s="567"/>
      <c r="AF163" s="1642">
        <v>11</v>
      </c>
    </row>
    <row s="1642" customFormat="1" customHeight="1" ht="11.549999999999999">
      <c r="A164" s="988"/>
      <c r="B164" s="1637"/>
      <c r="C164" s="1637"/>
      <c r="D164" s="352"/>
      <c r="K164" s="1161"/>
      <c r="L164" s="1637"/>
      <c r="M164" s="1637"/>
      <c r="N164" s="1161"/>
      <c r="O164" s="1161"/>
      <c r="P164" s="1161"/>
      <c r="Q164" s="1161"/>
      <c r="R164" s="1637"/>
      <c r="S164" s="1161"/>
      <c r="T164" s="1161"/>
      <c r="U164" s="545"/>
      <c r="V164" s="1161"/>
      <c r="W164" s="1161"/>
      <c r="X164" s="1161"/>
      <c r="Y164" s="1161"/>
      <c r="Z164" s="1161"/>
      <c r="AA164" s="1633"/>
      <c r="AB164" s="567"/>
      <c r="AC164" s="567"/>
      <c r="AD164" s="567"/>
      <c r="AE164" s="567"/>
      <c r="AF164" s="1642">
        <v>11</v>
      </c>
    </row>
    <row s="1642" customFormat="1" customHeight="1" ht="11.549999999999999">
      <c r="A165" s="988"/>
      <c r="B165" s="1637"/>
      <c r="C165" s="1637"/>
      <c r="D165" s="352"/>
      <c r="K165" s="1161"/>
      <c r="L165" s="1637"/>
      <c r="M165" s="1637"/>
      <c r="N165" s="1161"/>
      <c r="O165" s="1161"/>
      <c r="P165" s="1161"/>
      <c r="Q165" s="1161"/>
      <c r="R165" s="1637"/>
      <c r="S165" s="1161"/>
      <c r="T165" s="1161"/>
      <c r="U165" s="545"/>
      <c r="V165" s="1161"/>
      <c r="W165" s="1161"/>
      <c r="X165" s="1161"/>
      <c r="Y165" s="1161"/>
      <c r="Z165" s="1161"/>
      <c r="AA165" s="1633"/>
      <c r="AB165" s="567"/>
      <c r="AC165" s="567"/>
      <c r="AD165" s="567"/>
      <c r="AE165" s="567"/>
      <c r="AF165" s="1642">
        <v>11</v>
      </c>
    </row>
    <row s="1642" customFormat="1" customHeight="1" ht="11.549999999999999">
      <c r="A166" s="988"/>
      <c r="B166" s="1637"/>
      <c r="C166" s="1637"/>
      <c r="D166" s="352"/>
      <c r="K166" s="1161"/>
      <c r="L166" s="1637"/>
      <c r="M166" s="1637"/>
      <c r="N166" s="1161"/>
      <c r="O166" s="1161"/>
      <c r="P166" s="1161"/>
      <c r="Q166" s="1161"/>
      <c r="R166" s="1637"/>
      <c r="S166" s="1161"/>
      <c r="T166" s="1161"/>
      <c r="U166" s="545"/>
      <c r="V166" s="1161"/>
      <c r="W166" s="1161"/>
      <c r="X166" s="1161"/>
      <c r="Y166" s="1161"/>
      <c r="Z166" s="1161"/>
      <c r="AA166" s="1633"/>
      <c r="AB166" s="567"/>
      <c r="AC166" s="567"/>
      <c r="AD166" s="567"/>
      <c r="AE166" s="567"/>
      <c r="AF166" s="1642">
        <v>11</v>
      </c>
    </row>
    <row s="1642" customFormat="1" customHeight="1" ht="11.549999999999999">
      <c r="A167" s="988"/>
      <c r="B167" s="1637"/>
      <c r="C167" s="1637"/>
      <c r="D167" s="352"/>
      <c r="K167" s="1161"/>
      <c r="L167" s="1637"/>
      <c r="M167" s="1637"/>
      <c r="N167" s="1161"/>
      <c r="O167" s="1161"/>
      <c r="P167" s="1161"/>
      <c r="Q167" s="1161"/>
      <c r="R167" s="1637"/>
      <c r="S167" s="1161"/>
      <c r="T167" s="1161"/>
      <c r="U167" s="545"/>
      <c r="V167" s="1161"/>
      <c r="W167" s="1161"/>
      <c r="X167" s="1161"/>
      <c r="Y167" s="1161"/>
      <c r="Z167" s="1161"/>
      <c r="AA167" s="1633"/>
      <c r="AB167" s="567"/>
      <c r="AC167" s="567"/>
      <c r="AD167" s="567"/>
      <c r="AE167" s="567"/>
      <c r="AF167" s="1642">
        <v>11</v>
      </c>
    </row>
    <row s="1642" customFormat="1" customHeight="1" ht="11.549999999999999">
      <c r="A168" s="988"/>
      <c r="B168" s="1637"/>
      <c r="C168" s="1637"/>
      <c r="D168" s="352"/>
      <c r="K168" s="1161"/>
      <c r="L168" s="1637"/>
      <c r="M168" s="1637"/>
      <c r="N168" s="1161"/>
      <c r="O168" s="1161"/>
      <c r="P168" s="1161"/>
      <c r="Q168" s="1161"/>
      <c r="R168" s="1637"/>
      <c r="S168" s="1161"/>
      <c r="T168" s="1161"/>
      <c r="U168" s="545"/>
      <c r="V168" s="1161"/>
      <c r="W168" s="1161"/>
      <c r="X168" s="1161"/>
      <c r="Y168" s="1161"/>
      <c r="Z168" s="1161"/>
      <c r="AA168" s="1633"/>
      <c r="AB168" s="567"/>
      <c r="AC168" s="567"/>
      <c r="AD168" s="567"/>
      <c r="AE168" s="567"/>
      <c r="AF168" s="1642">
        <v>11</v>
      </c>
    </row>
    <row s="1642" customFormat="1" customHeight="1" ht="11.549999999999999">
      <c r="A169" s="988"/>
      <c r="B169" s="1637"/>
      <c r="C169" s="1637"/>
      <c r="D169" s="352"/>
      <c r="K169" s="1161"/>
      <c r="L169" s="1637"/>
      <c r="M169" s="1637"/>
      <c r="N169" s="1161"/>
      <c r="O169" s="1161"/>
      <c r="P169" s="1161"/>
      <c r="Q169" s="1161"/>
      <c r="R169" s="1637"/>
      <c r="S169" s="1161"/>
      <c r="T169" s="1161"/>
      <c r="U169" s="545"/>
      <c r="V169" s="1161"/>
      <c r="W169" s="1161"/>
      <c r="X169" s="1161"/>
      <c r="Y169" s="1161"/>
      <c r="Z169" s="1161"/>
      <c r="AA169" s="1633"/>
      <c r="AB169" s="567"/>
      <c r="AC169" s="567"/>
      <c r="AD169" s="567"/>
      <c r="AE169" s="567"/>
      <c r="AF169" s="1642">
        <v>11</v>
      </c>
    </row>
    <row s="1642" customFormat="1" customHeight="1" ht="11.549999999999999">
      <c r="A170" s="988"/>
      <c r="B170" s="1637"/>
      <c r="C170" s="1637"/>
      <c r="D170" s="352"/>
      <c r="K170" s="1161"/>
      <c r="L170" s="1637"/>
      <c r="M170" s="1637"/>
      <c r="N170" s="1161"/>
      <c r="O170" s="1161"/>
      <c r="P170" s="1161"/>
      <c r="Q170" s="1161"/>
      <c r="R170" s="1637"/>
      <c r="S170" s="1161"/>
      <c r="T170" s="1161"/>
      <c r="U170" s="545"/>
      <c r="V170" s="1161"/>
      <c r="W170" s="1161"/>
      <c r="X170" s="1161"/>
      <c r="Y170" s="1161"/>
      <c r="Z170" s="1161"/>
      <c r="AA170" s="1633"/>
      <c r="AB170" s="567"/>
      <c r="AC170" s="567"/>
      <c r="AD170" s="567"/>
      <c r="AE170" s="567"/>
      <c r="AF170" s="1642">
        <v>11</v>
      </c>
    </row>
    <row s="1642" customFormat="1" customHeight="1" ht="11.549999999999999">
      <c r="A171" s="988"/>
      <c r="B171" s="1637"/>
      <c r="C171" s="1637"/>
      <c r="D171" s="352"/>
      <c r="K171" s="1161"/>
      <c r="L171" s="1637"/>
      <c r="M171" s="1637"/>
      <c r="N171" s="1161"/>
      <c r="O171" s="1161"/>
      <c r="P171" s="1161"/>
      <c r="Q171" s="1161"/>
      <c r="R171" s="1637"/>
      <c r="S171" s="1161"/>
      <c r="T171" s="1161"/>
      <c r="U171" s="545"/>
      <c r="V171" s="1161"/>
      <c r="W171" s="1161"/>
      <c r="X171" s="1161"/>
      <c r="Y171" s="1161"/>
      <c r="Z171" s="1161"/>
      <c r="AA171" s="1633"/>
      <c r="AB171" s="567"/>
      <c r="AC171" s="567"/>
      <c r="AD171" s="567"/>
      <c r="AE171" s="567"/>
      <c r="AF171" s="1642">
        <v>11</v>
      </c>
    </row>
    <row s="1642" customFormat="1" customHeight="1" ht="11.549999999999999">
      <c r="A172" s="988"/>
      <c r="B172" s="1637"/>
      <c r="C172" s="1637"/>
      <c r="D172" s="352"/>
      <c r="K172" s="1161"/>
      <c r="L172" s="1637"/>
      <c r="M172" s="1637"/>
      <c r="N172" s="1161"/>
      <c r="O172" s="1161"/>
      <c r="P172" s="1161"/>
      <c r="Q172" s="1161"/>
      <c r="R172" s="1637"/>
      <c r="S172" s="1161"/>
      <c r="T172" s="1161"/>
      <c r="U172" s="545"/>
      <c r="V172" s="1161"/>
      <c r="W172" s="1161"/>
      <c r="X172" s="1161"/>
      <c r="Y172" s="1161"/>
      <c r="Z172" s="1161"/>
      <c r="AA172" s="1633"/>
      <c r="AB172" s="567"/>
      <c r="AC172" s="567"/>
      <c r="AD172" s="567"/>
      <c r="AE172" s="567"/>
      <c r="AF172" s="1642">
        <v>11</v>
      </c>
    </row>
    <row s="1642" customFormat="1" customHeight="1" ht="11.549999999999999">
      <c r="A173" s="988"/>
      <c r="B173" s="1637"/>
      <c r="C173" s="1637"/>
      <c r="D173" s="352"/>
      <c r="K173" s="1161"/>
      <c r="L173" s="1637"/>
      <c r="M173" s="1637"/>
      <c r="N173" s="1161"/>
      <c r="O173" s="1161"/>
      <c r="P173" s="1161"/>
      <c r="Q173" s="1161"/>
      <c r="R173" s="1637"/>
      <c r="S173" s="1161"/>
      <c r="T173" s="1161"/>
      <c r="U173" s="545"/>
      <c r="V173" s="1161"/>
      <c r="W173" s="1161"/>
      <c r="X173" s="1161"/>
      <c r="Y173" s="1161"/>
      <c r="Z173" s="1161"/>
      <c r="AA173" s="1633"/>
      <c r="AB173" s="567"/>
      <c r="AC173" s="567"/>
      <c r="AD173" s="567"/>
      <c r="AE173" s="567"/>
      <c r="AF173" s="1642">
        <v>11</v>
      </c>
    </row>
    <row s="1642" customFormat="1" customHeight="1" ht="11.549999999999999">
      <c r="A174" s="988"/>
      <c r="B174" s="1637"/>
      <c r="C174" s="1637"/>
      <c r="D174" s="352"/>
      <c r="K174" s="1161"/>
      <c r="L174" s="1637"/>
      <c r="M174" s="1637"/>
      <c r="N174" s="1161"/>
      <c r="O174" s="1161"/>
      <c r="P174" s="1161"/>
      <c r="Q174" s="1161"/>
      <c r="R174" s="1637"/>
      <c r="S174" s="1161"/>
      <c r="T174" s="1161"/>
      <c r="U174" s="545"/>
      <c r="V174" s="1161"/>
      <c r="W174" s="1161"/>
      <c r="X174" s="1161"/>
      <c r="Y174" s="1161"/>
      <c r="Z174" s="1161"/>
      <c r="AA174" s="1633"/>
      <c r="AB174" s="567"/>
      <c r="AC174" s="567"/>
      <c r="AD174" s="567"/>
      <c r="AE174" s="567"/>
      <c r="AF174" s="1642">
        <v>11</v>
      </c>
    </row>
    <row s="1642" customFormat="1" customHeight="1" ht="11.549999999999999">
      <c r="A175" s="988"/>
      <c r="B175" s="1637"/>
      <c r="C175" s="1637"/>
      <c r="D175" s="352"/>
      <c r="K175" s="1161"/>
      <c r="L175" s="1637"/>
      <c r="M175" s="1637"/>
      <c r="N175" s="1161"/>
      <c r="O175" s="1161"/>
      <c r="P175" s="1161"/>
      <c r="Q175" s="1161"/>
      <c r="R175" s="1637"/>
      <c r="S175" s="1161"/>
      <c r="T175" s="1161"/>
      <c r="U175" s="545"/>
      <c r="V175" s="1161"/>
      <c r="W175" s="1161"/>
      <c r="X175" s="1161"/>
      <c r="Y175" s="1161"/>
      <c r="Z175" s="1161"/>
      <c r="AA175" s="1633"/>
      <c r="AB175" s="567"/>
      <c r="AC175" s="567"/>
      <c r="AD175" s="567"/>
      <c r="AE175" s="567"/>
      <c r="AF175" s="1642">
        <v>11</v>
      </c>
    </row>
    <row s="1642" customFormat="1" customHeight="1" ht="11.549999999999999">
      <c r="A176" s="988"/>
      <c r="B176" s="1637"/>
      <c r="C176" s="1637"/>
      <c r="D176" s="352"/>
      <c r="K176" s="1161"/>
      <c r="L176" s="1637"/>
      <c r="M176" s="1637"/>
      <c r="N176" s="1161"/>
      <c r="O176" s="1161"/>
      <c r="P176" s="1161"/>
      <c r="Q176" s="1161"/>
      <c r="R176" s="1637"/>
      <c r="S176" s="1161"/>
      <c r="T176" s="1161"/>
      <c r="U176" s="545"/>
      <c r="V176" s="1161"/>
      <c r="W176" s="1161"/>
      <c r="X176" s="1161"/>
      <c r="Y176" s="1161"/>
      <c r="Z176" s="1161"/>
      <c r="AA176" s="1633"/>
      <c r="AB176" s="567"/>
      <c r="AC176" s="567"/>
      <c r="AD176" s="567"/>
      <c r="AE176" s="567"/>
      <c r="AF176" s="1642">
        <v>11</v>
      </c>
    </row>
    <row s="1642" customFormat="1" customHeight="1" ht="11.549999999999999">
      <c r="A177" s="988"/>
      <c r="B177" s="1637"/>
      <c r="C177" s="1637"/>
      <c r="D177" s="352"/>
      <c r="K177" s="1161"/>
      <c r="L177" s="1637"/>
      <c r="M177" s="1637"/>
      <c r="N177" s="1161"/>
      <c r="O177" s="1161"/>
      <c r="P177" s="1161"/>
      <c r="Q177" s="1161"/>
      <c r="R177" s="1637"/>
      <c r="S177" s="1161"/>
      <c r="T177" s="1161"/>
      <c r="U177" s="545"/>
      <c r="V177" s="1161"/>
      <c r="W177" s="1161"/>
      <c r="X177" s="1161"/>
      <c r="Y177" s="1161"/>
      <c r="Z177" s="1161"/>
      <c r="AA177" s="1633"/>
      <c r="AB177" s="567"/>
      <c r="AC177" s="567"/>
      <c r="AD177" s="567"/>
      <c r="AE177" s="567"/>
      <c r="AF177" s="1642">
        <v>11</v>
      </c>
    </row>
    <row s="1642" customFormat="1" customHeight="1" ht="11.549999999999999">
      <c r="A178" s="988"/>
      <c r="B178" s="1637"/>
      <c r="C178" s="1637"/>
      <c r="D178" s="352"/>
      <c r="K178" s="1161"/>
      <c r="L178" s="1637"/>
      <c r="M178" s="1637"/>
      <c r="N178" s="1161"/>
      <c r="O178" s="1161"/>
      <c r="P178" s="1161"/>
      <c r="Q178" s="1161"/>
      <c r="R178" s="1637"/>
      <c r="S178" s="1161"/>
      <c r="T178" s="1161"/>
      <c r="U178" s="545"/>
      <c r="V178" s="1161"/>
      <c r="W178" s="1161"/>
      <c r="X178" s="1161"/>
      <c r="Y178" s="1161"/>
      <c r="Z178" s="1161"/>
      <c r="AA178" s="1633"/>
      <c r="AB178" s="567"/>
      <c r="AC178" s="567"/>
      <c r="AD178" s="567"/>
      <c r="AE178" s="567"/>
      <c r="AF178" s="1642">
        <v>11</v>
      </c>
    </row>
    <row s="1642" customFormat="1" customHeight="1" ht="11.549999999999999">
      <c r="A179" s="988"/>
      <c r="B179" s="1637"/>
      <c r="C179" s="1637"/>
      <c r="D179" s="352"/>
      <c r="K179" s="1161"/>
      <c r="L179" s="1637"/>
      <c r="M179" s="1637"/>
      <c r="N179" s="1161"/>
      <c r="O179" s="1161"/>
      <c r="P179" s="1161"/>
      <c r="Q179" s="1161"/>
      <c r="R179" s="1637"/>
      <c r="S179" s="1161"/>
      <c r="T179" s="1161"/>
      <c r="U179" s="545"/>
      <c r="V179" s="1161"/>
      <c r="W179" s="1161"/>
      <c r="X179" s="1161"/>
      <c r="Y179" s="1161"/>
      <c r="Z179" s="1161"/>
      <c r="AA179" s="1633"/>
      <c r="AB179" s="567"/>
      <c r="AC179" s="567"/>
      <c r="AD179" s="567"/>
      <c r="AE179" s="567"/>
      <c r="AF179" s="1642">
        <v>11</v>
      </c>
    </row>
    <row s="1642" customFormat="1" customHeight="1" ht="11.549999999999999">
      <c r="A180" s="988"/>
      <c r="B180" s="1637"/>
      <c r="C180" s="1637"/>
      <c r="D180" s="352"/>
      <c r="K180" s="1161"/>
      <c r="L180" s="1637"/>
      <c r="M180" s="1637"/>
      <c r="N180" s="1161"/>
      <c r="O180" s="1161"/>
      <c r="P180" s="1161"/>
      <c r="Q180" s="1161"/>
      <c r="R180" s="1637"/>
      <c r="S180" s="1161"/>
      <c r="T180" s="1161"/>
      <c r="U180" s="545"/>
      <c r="V180" s="1161"/>
      <c r="W180" s="1161"/>
      <c r="X180" s="1161"/>
      <c r="Y180" s="1161"/>
      <c r="Z180" s="1161"/>
      <c r="AA180" s="1633"/>
      <c r="AB180" s="567"/>
      <c r="AC180" s="567"/>
      <c r="AD180" s="567"/>
      <c r="AE180" s="567"/>
      <c r="AF180" s="1642">
        <v>11</v>
      </c>
    </row>
    <row s="1642" customFormat="1" customHeight="1" ht="11.549999999999999">
      <c r="A181" s="988"/>
      <c r="B181" s="1637"/>
      <c r="C181" s="1637"/>
      <c r="D181" s="352"/>
      <c r="K181" s="1161"/>
      <c r="L181" s="1637"/>
      <c r="M181" s="1637"/>
      <c r="N181" s="1161"/>
      <c r="O181" s="1161"/>
      <c r="P181" s="1161"/>
      <c r="Q181" s="1161"/>
      <c r="R181" s="1637"/>
      <c r="S181" s="1161"/>
      <c r="T181" s="1161"/>
      <c r="U181" s="545"/>
      <c r="V181" s="1161"/>
      <c r="W181" s="1161"/>
      <c r="X181" s="1161"/>
      <c r="Y181" s="1161"/>
      <c r="Z181" s="1161"/>
      <c r="AA181" s="1633"/>
      <c r="AB181" s="567"/>
      <c r="AC181" s="567"/>
      <c r="AD181" s="567"/>
      <c r="AE181" s="567"/>
      <c r="AF181" s="1642">
        <v>11</v>
      </c>
    </row>
    <row s="1642" customFormat="1" customHeight="1" ht="11.549999999999999">
      <c r="A182" s="988"/>
      <c r="B182" s="1637"/>
      <c r="C182" s="1637"/>
      <c r="D182" s="352"/>
      <c r="K182" s="1161"/>
      <c r="L182" s="1637"/>
      <c r="M182" s="1637"/>
      <c r="N182" s="1161"/>
      <c r="O182" s="1161"/>
      <c r="P182" s="1161"/>
      <c r="Q182" s="1161"/>
      <c r="R182" s="1637"/>
      <c r="S182" s="1161"/>
      <c r="T182" s="1161"/>
      <c r="U182" s="545"/>
      <c r="V182" s="1161"/>
      <c r="W182" s="1161"/>
      <c r="X182" s="1161"/>
      <c r="Y182" s="1161"/>
      <c r="Z182" s="1161"/>
      <c r="AA182" s="1633"/>
      <c r="AB182" s="567"/>
      <c r="AC182" s="567"/>
      <c r="AD182" s="567"/>
      <c r="AE182" s="567"/>
      <c r="AF182" s="1642">
        <v>11</v>
      </c>
    </row>
    <row s="1642" customFormat="1" customHeight="1" ht="11.549999999999999">
      <c r="A183" s="988"/>
      <c r="B183" s="1637"/>
      <c r="C183" s="1637"/>
      <c r="D183" s="352"/>
      <c r="K183" s="1161"/>
      <c r="L183" s="1637"/>
      <c r="M183" s="1637"/>
      <c r="N183" s="1161"/>
      <c r="O183" s="1161"/>
      <c r="P183" s="1161"/>
      <c r="Q183" s="1161"/>
      <c r="R183" s="1637"/>
      <c r="S183" s="1161"/>
      <c r="T183" s="1161"/>
      <c r="U183" s="545"/>
      <c r="V183" s="1161"/>
      <c r="W183" s="1161"/>
      <c r="X183" s="1161"/>
      <c r="Y183" s="1161"/>
      <c r="Z183" s="1161"/>
      <c r="AA183" s="1633"/>
      <c r="AB183" s="567"/>
      <c r="AC183" s="567"/>
      <c r="AD183" s="567"/>
      <c r="AE183" s="567"/>
      <c r="AF183" s="1642">
        <v>11</v>
      </c>
    </row>
    <row s="1642" customFormat="1" customHeight="1" ht="11.549999999999999">
      <c r="A184" s="988"/>
      <c r="B184" s="1637"/>
      <c r="C184" s="1637"/>
      <c r="D184" s="352"/>
      <c r="K184" s="1161"/>
      <c r="L184" s="1637"/>
      <c r="M184" s="1637"/>
      <c r="N184" s="1161"/>
      <c r="O184" s="1161"/>
      <c r="P184" s="1161"/>
      <c r="Q184" s="1161"/>
      <c r="R184" s="1637"/>
      <c r="S184" s="1161"/>
      <c r="T184" s="1161"/>
      <c r="U184" s="545"/>
      <c r="V184" s="1161"/>
      <c r="W184" s="1161"/>
      <c r="X184" s="1161"/>
      <c r="Y184" s="1161"/>
      <c r="Z184" s="1161"/>
      <c r="AA184" s="1633"/>
      <c r="AB184" s="567"/>
      <c r="AC184" s="567"/>
      <c r="AD184" s="567"/>
      <c r="AE184" s="567"/>
      <c r="AF184" s="1642">
        <v>11</v>
      </c>
    </row>
    <row s="1642" customFormat="1" customHeight="1" ht="11.549999999999999">
      <c r="A185" s="988"/>
      <c r="B185" s="1637"/>
      <c r="C185" s="1637"/>
      <c r="D185" s="352"/>
      <c r="K185" s="1161"/>
      <c r="L185" s="1637"/>
      <c r="M185" s="1637"/>
      <c r="N185" s="1161"/>
      <c r="O185" s="1161"/>
      <c r="P185" s="1161"/>
      <c r="Q185" s="1161"/>
      <c r="R185" s="1637"/>
      <c r="S185" s="1161"/>
      <c r="T185" s="1161"/>
      <c r="U185" s="545"/>
      <c r="V185" s="1161"/>
      <c r="W185" s="1161"/>
      <c r="X185" s="1161"/>
      <c r="Y185" s="1161"/>
      <c r="Z185" s="1161"/>
      <c r="AA185" s="1633"/>
      <c r="AB185" s="567"/>
      <c r="AC185" s="567"/>
      <c r="AD185" s="567"/>
      <c r="AE185" s="567"/>
      <c r="AF185" s="1642">
        <v>11</v>
      </c>
    </row>
    <row s="1642" customFormat="1" customHeight="1" ht="11.549999999999999">
      <c r="A186" s="988"/>
      <c r="B186" s="1637"/>
      <c r="C186" s="1637"/>
      <c r="D186" s="352"/>
      <c r="K186" s="1161"/>
      <c r="L186" s="1637"/>
      <c r="M186" s="1637"/>
      <c r="N186" s="1161"/>
      <c r="O186" s="1161"/>
      <c r="P186" s="1161"/>
      <c r="Q186" s="1161"/>
      <c r="R186" s="1637"/>
      <c r="S186" s="1161"/>
      <c r="T186" s="1161"/>
      <c r="U186" s="545"/>
      <c r="V186" s="1161"/>
      <c r="W186" s="1161"/>
      <c r="X186" s="1161"/>
      <c r="Y186" s="1161"/>
      <c r="Z186" s="1161"/>
      <c r="AA186" s="1633"/>
      <c r="AB186" s="567"/>
      <c r="AC186" s="567"/>
      <c r="AD186" s="567"/>
      <c r="AE186" s="567"/>
      <c r="AF186" s="1642">
        <v>11</v>
      </c>
    </row>
    <row s="1642" customFormat="1" customHeight="1" ht="11.549999999999999">
      <c r="A187" s="988"/>
      <c r="B187" s="1637"/>
      <c r="C187" s="1637"/>
      <c r="D187" s="352"/>
      <c r="K187" s="1161"/>
      <c r="L187" s="1637"/>
      <c r="M187" s="1637"/>
      <c r="N187" s="1161"/>
      <c r="O187" s="1161"/>
      <c r="P187" s="1161"/>
      <c r="Q187" s="1161"/>
      <c r="R187" s="1637"/>
      <c r="S187" s="1161"/>
      <c r="T187" s="1161"/>
      <c r="U187" s="545"/>
      <c r="V187" s="1161"/>
      <c r="W187" s="1161"/>
      <c r="X187" s="1161"/>
      <c r="Y187" s="1161"/>
      <c r="Z187" s="1161"/>
      <c r="AA187" s="1633"/>
      <c r="AB187" s="567"/>
      <c r="AC187" s="567"/>
      <c r="AD187" s="567"/>
      <c r="AE187" s="567"/>
      <c r="AF187" s="1642">
        <v>11</v>
      </c>
    </row>
    <row s="1642" customFormat="1" customHeight="1" ht="11.549999999999999">
      <c r="A188" s="988"/>
      <c r="B188" s="1637"/>
      <c r="C188" s="1637"/>
      <c r="D188" s="352"/>
      <c r="K188" s="1161"/>
      <c r="L188" s="1637"/>
      <c r="M188" s="1637"/>
      <c r="N188" s="1161"/>
      <c r="O188" s="1161"/>
      <c r="P188" s="1161"/>
      <c r="Q188" s="1161"/>
      <c r="R188" s="1637"/>
      <c r="S188" s="1161"/>
      <c r="T188" s="1161"/>
      <c r="U188" s="545"/>
      <c r="V188" s="1161"/>
      <c r="W188" s="1161"/>
      <c r="X188" s="1161"/>
      <c r="Y188" s="1161"/>
      <c r="Z188" s="1161"/>
      <c r="AA188" s="1633"/>
      <c r="AB188" s="567"/>
      <c r="AC188" s="567"/>
      <c r="AD188" s="567"/>
      <c r="AE188" s="567"/>
      <c r="AF188" s="1642">
        <v>11</v>
      </c>
    </row>
    <row s="1642" customFormat="1" customHeight="1" ht="11.549999999999999">
      <c r="A189" s="988"/>
      <c r="B189" s="1637"/>
      <c r="C189" s="1637"/>
      <c r="D189" s="352"/>
      <c r="K189" s="1161"/>
      <c r="L189" s="1637"/>
      <c r="M189" s="1637"/>
      <c r="N189" s="1161"/>
      <c r="O189" s="1161"/>
      <c r="P189" s="1161"/>
      <c r="Q189" s="1161"/>
      <c r="R189" s="1637"/>
      <c r="S189" s="1161"/>
      <c r="T189" s="1161"/>
      <c r="U189" s="545"/>
      <c r="V189" s="1161"/>
      <c r="W189" s="1161"/>
      <c r="X189" s="1161"/>
      <c r="Y189" s="1161"/>
      <c r="Z189" s="1161"/>
      <c r="AA189" s="1633"/>
      <c r="AB189" s="567"/>
      <c r="AC189" s="567"/>
      <c r="AD189" s="567"/>
      <c r="AE189" s="567"/>
      <c r="AF189" s="1642">
        <v>11</v>
      </c>
    </row>
    <row s="1642" customFormat="1" customHeight="1" ht="11.549999999999999">
      <c r="A190" s="988"/>
      <c r="B190" s="1637"/>
      <c r="C190" s="1637"/>
      <c r="D190" s="352"/>
      <c r="K190" s="1161"/>
      <c r="L190" s="1637"/>
      <c r="M190" s="1637"/>
      <c r="N190" s="1161"/>
      <c r="O190" s="1161"/>
      <c r="P190" s="1161"/>
      <c r="Q190" s="1161"/>
      <c r="R190" s="1637"/>
      <c r="S190" s="1161"/>
      <c r="T190" s="1161"/>
      <c r="U190" s="545"/>
      <c r="V190" s="1161"/>
      <c r="W190" s="1161"/>
      <c r="X190" s="1161"/>
      <c r="Y190" s="1161"/>
      <c r="Z190" s="1161"/>
      <c r="AA190" s="1633"/>
      <c r="AB190" s="567"/>
      <c r="AC190" s="567"/>
      <c r="AD190" s="567"/>
      <c r="AE190" s="567"/>
      <c r="AF190" s="1642">
        <v>11</v>
      </c>
    </row>
    <row s="1642" customFormat="1" customHeight="1" ht="11.549999999999999">
      <c r="A191" s="988"/>
      <c r="B191" s="1637"/>
      <c r="C191" s="1637"/>
      <c r="D191" s="352"/>
      <c r="K191" s="1161"/>
      <c r="L191" s="1637"/>
      <c r="M191" s="1637"/>
      <c r="N191" s="1161"/>
      <c r="O191" s="1161"/>
      <c r="P191" s="1161"/>
      <c r="Q191" s="1161"/>
      <c r="R191" s="1637"/>
      <c r="S191" s="1161"/>
      <c r="T191" s="1161"/>
      <c r="U191" s="545"/>
      <c r="V191" s="1161"/>
      <c r="W191" s="1161"/>
      <c r="X191" s="1161"/>
      <c r="Y191" s="1161"/>
      <c r="Z191" s="1161"/>
      <c r="AA191" s="1633"/>
      <c r="AB191" s="567"/>
      <c r="AC191" s="567"/>
      <c r="AD191" s="567"/>
      <c r="AE191" s="567"/>
      <c r="AF191" s="1642">
        <v>11</v>
      </c>
    </row>
    <row s="1642" customFormat="1" customHeight="1" ht="11.549999999999999">
      <c r="A192" s="988"/>
      <c r="B192" s="1637"/>
      <c r="C192" s="1637"/>
      <c r="D192" s="352"/>
      <c r="K192" s="1161"/>
      <c r="L192" s="1637"/>
      <c r="M192" s="1637"/>
      <c r="N192" s="1161"/>
      <c r="O192" s="1161"/>
      <c r="P192" s="1161"/>
      <c r="Q192" s="1161"/>
      <c r="R192" s="1637"/>
      <c r="S192" s="1161"/>
      <c r="T192" s="1161"/>
      <c r="U192" s="545"/>
      <c r="V192" s="1161"/>
      <c r="W192" s="1161"/>
      <c r="X192" s="1161"/>
      <c r="Y192" s="1161"/>
      <c r="Z192" s="1161"/>
      <c r="AA192" s="1633"/>
      <c r="AB192" s="567"/>
      <c r="AC192" s="567"/>
      <c r="AD192" s="567"/>
      <c r="AE192" s="567"/>
      <c r="AF192" s="1642">
        <v>11</v>
      </c>
    </row>
    <row s="1642" customFormat="1" customHeight="1" ht="11.549999999999999">
      <c r="A193" s="988"/>
      <c r="B193" s="1637"/>
      <c r="C193" s="1637"/>
      <c r="D193" s="352"/>
      <c r="K193" s="1161"/>
      <c r="L193" s="1637"/>
      <c r="M193" s="1637"/>
      <c r="N193" s="1161"/>
      <c r="O193" s="1161"/>
      <c r="P193" s="1161"/>
      <c r="Q193" s="1161"/>
      <c r="R193" s="1637"/>
      <c r="S193" s="1161"/>
      <c r="T193" s="1161"/>
      <c r="U193" s="545"/>
      <c r="V193" s="1161"/>
      <c r="W193" s="1161"/>
      <c r="X193" s="1161"/>
      <c r="Y193" s="1161"/>
      <c r="Z193" s="1161"/>
      <c r="AA193" s="1633"/>
      <c r="AB193" s="567"/>
      <c r="AC193" s="567"/>
      <c r="AD193" s="567"/>
      <c r="AE193" s="567"/>
      <c r="AF193" s="1642">
        <v>11</v>
      </c>
    </row>
    <row s="1642" customFormat="1" customHeight="1" ht="11.549999999999999">
      <c r="A194" s="988"/>
      <c r="B194" s="1637"/>
      <c r="C194" s="1637"/>
      <c r="D194" s="352"/>
      <c r="K194" s="1161"/>
      <c r="L194" s="1637"/>
      <c r="M194" s="1637"/>
      <c r="N194" s="1161"/>
      <c r="O194" s="1161"/>
      <c r="P194" s="1161"/>
      <c r="Q194" s="1161"/>
      <c r="R194" s="1637"/>
      <c r="S194" s="1161"/>
      <c r="T194" s="1161"/>
      <c r="U194" s="545"/>
      <c r="V194" s="1161"/>
      <c r="W194" s="1161"/>
      <c r="X194" s="1161"/>
      <c r="Y194" s="1161"/>
      <c r="Z194" s="1161"/>
      <c r="AA194" s="1633"/>
      <c r="AB194" s="567"/>
      <c r="AC194" s="567"/>
      <c r="AD194" s="567"/>
      <c r="AE194" s="567"/>
      <c r="AF194" s="1642">
        <v>11</v>
      </c>
    </row>
    <row s="1642" customFormat="1" customHeight="1" ht="11.549999999999999">
      <c r="A195" s="988"/>
      <c r="B195" s="1637"/>
      <c r="C195" s="1637"/>
      <c r="D195" s="352"/>
      <c r="K195" s="1161"/>
      <c r="L195" s="1637"/>
      <c r="M195" s="1637"/>
      <c r="N195" s="1161"/>
      <c r="O195" s="1161"/>
      <c r="P195" s="1161"/>
      <c r="Q195" s="1161"/>
      <c r="R195" s="1637"/>
      <c r="S195" s="1161"/>
      <c r="T195" s="1161"/>
      <c r="U195" s="545"/>
      <c r="V195" s="1161"/>
      <c r="W195" s="1161"/>
      <c r="X195" s="1161"/>
      <c r="Y195" s="1161"/>
      <c r="Z195" s="1161"/>
      <c r="AA195" s="1633"/>
      <c r="AB195" s="567"/>
      <c r="AC195" s="567"/>
      <c r="AD195" s="567"/>
      <c r="AE195" s="567"/>
      <c r="AF195" s="1642">
        <v>11</v>
      </c>
    </row>
    <row s="1642" customFormat="1" customHeight="1" ht="11.549999999999999">
      <c r="A196" s="988"/>
      <c r="B196" s="1637"/>
      <c r="C196" s="1637"/>
      <c r="D196" s="352"/>
      <c r="K196" s="1161"/>
      <c r="L196" s="1637"/>
      <c r="M196" s="1637"/>
      <c r="N196" s="1161"/>
      <c r="O196" s="1161"/>
      <c r="P196" s="1161"/>
      <c r="Q196" s="1161"/>
      <c r="R196" s="1637"/>
      <c r="S196" s="1161"/>
      <c r="T196" s="1161"/>
      <c r="U196" s="545"/>
      <c r="V196" s="1161"/>
      <c r="W196" s="1161"/>
      <c r="X196" s="1161"/>
      <c r="Y196" s="1161"/>
      <c r="Z196" s="1161"/>
      <c r="AA196" s="1633"/>
      <c r="AB196" s="567"/>
      <c r="AC196" s="567"/>
      <c r="AD196" s="567"/>
      <c r="AE196" s="567"/>
      <c r="AF196" s="1642">
        <v>11</v>
      </c>
    </row>
    <row s="1642" customFormat="1" customHeight="1" ht="11.549999999999999">
      <c r="A197" s="988"/>
      <c r="B197" s="1637"/>
      <c r="C197" s="1637"/>
      <c r="D197" s="352"/>
      <c r="K197" s="1161"/>
      <c r="L197" s="1637"/>
      <c r="M197" s="1637"/>
      <c r="N197" s="1161"/>
      <c r="O197" s="1161"/>
      <c r="P197" s="1161"/>
      <c r="Q197" s="1161"/>
      <c r="R197" s="1637"/>
      <c r="S197" s="1161"/>
      <c r="T197" s="1161"/>
      <c r="U197" s="545"/>
      <c r="V197" s="1161"/>
      <c r="W197" s="1161"/>
      <c r="X197" s="1161"/>
      <c r="Y197" s="1161"/>
      <c r="Z197" s="1161"/>
      <c r="AA197" s="1633"/>
      <c r="AB197" s="567"/>
      <c r="AC197" s="567"/>
      <c r="AD197" s="567"/>
      <c r="AE197" s="567"/>
      <c r="AF197" s="1642">
        <v>11</v>
      </c>
    </row>
    <row s="1642" customFormat="1" customHeight="1" ht="11.549999999999999">
      <c r="A198" s="988"/>
      <c r="B198" s="1637"/>
      <c r="C198" s="1637"/>
      <c r="D198" s="352"/>
      <c r="K198" s="1161"/>
      <c r="L198" s="1637"/>
      <c r="M198" s="1637"/>
      <c r="N198" s="1161"/>
      <c r="O198" s="1161"/>
      <c r="P198" s="1161"/>
      <c r="Q198" s="1161"/>
      <c r="R198" s="1637"/>
      <c r="S198" s="1161"/>
      <c r="T198" s="1161"/>
      <c r="U198" s="545"/>
      <c r="V198" s="1161"/>
      <c r="W198" s="1161"/>
      <c r="X198" s="1161"/>
      <c r="Y198" s="1161"/>
      <c r="Z198" s="1161"/>
      <c r="AA198" s="1633"/>
      <c r="AB198" s="567"/>
      <c r="AC198" s="567"/>
      <c r="AD198" s="567"/>
      <c r="AE198" s="567"/>
      <c r="AF198" s="1642">
        <v>11</v>
      </c>
    </row>
    <row s="1642" customFormat="1" customHeight="1" ht="11.549999999999999">
      <c r="A199" s="988"/>
      <c r="B199" s="1637"/>
      <c r="C199" s="1637"/>
      <c r="D199" s="352"/>
      <c r="K199" s="1161"/>
      <c r="L199" s="1637"/>
      <c r="M199" s="1637"/>
      <c r="N199" s="1161"/>
      <c r="O199" s="1161"/>
      <c r="P199" s="1161"/>
      <c r="Q199" s="1161"/>
      <c r="R199" s="1637"/>
      <c r="S199" s="1161"/>
      <c r="T199" s="1161"/>
      <c r="U199" s="545"/>
      <c r="V199" s="1161"/>
      <c r="W199" s="1161"/>
      <c r="X199" s="1161"/>
      <c r="Y199" s="1161"/>
      <c r="Z199" s="1161"/>
      <c r="AA199" s="1633"/>
      <c r="AB199" s="567"/>
      <c r="AC199" s="567"/>
      <c r="AD199" s="567"/>
      <c r="AE199" s="567"/>
      <c r="AF199" s="1642">
        <v>11</v>
      </c>
    </row>
    <row s="1642" customFormat="1" customHeight="1" ht="11.549999999999999">
      <c r="A200" s="988"/>
      <c r="B200" s="1637"/>
      <c r="C200" s="1637"/>
      <c r="D200" s="352"/>
      <c r="K200" s="1161"/>
      <c r="L200" s="1637"/>
      <c r="M200" s="1637"/>
      <c r="N200" s="1161"/>
      <c r="O200" s="1161"/>
      <c r="P200" s="1161"/>
      <c r="Q200" s="1161"/>
      <c r="R200" s="1637"/>
      <c r="S200" s="1161"/>
      <c r="T200" s="1161"/>
      <c r="U200" s="545"/>
      <c r="V200" s="1161"/>
      <c r="W200" s="1161"/>
      <c r="X200" s="1161"/>
      <c r="Y200" s="1161"/>
      <c r="Z200" s="1161"/>
      <c r="AA200" s="1633"/>
      <c r="AB200" s="567"/>
      <c r="AC200" s="567"/>
      <c r="AD200" s="567"/>
      <c r="AE200" s="567"/>
      <c r="AF200" s="1642">
        <v>11</v>
      </c>
    </row>
    <row s="1642" customFormat="1" customHeight="1" ht="11.549999999999999">
      <c r="A201" s="988"/>
      <c r="B201" s="1637"/>
      <c r="C201" s="1637"/>
      <c r="D201" s="352"/>
      <c r="K201" s="1161"/>
      <c r="L201" s="1637"/>
      <c r="M201" s="1637"/>
      <c r="N201" s="1161"/>
      <c r="O201" s="1161"/>
      <c r="P201" s="1161"/>
      <c r="Q201" s="1161"/>
      <c r="R201" s="1637"/>
      <c r="S201" s="1161"/>
      <c r="T201" s="1161"/>
      <c r="U201" s="545"/>
      <c r="V201" s="1161"/>
      <c r="W201" s="1161"/>
      <c r="X201" s="1161"/>
      <c r="Y201" s="1161"/>
      <c r="Z201" s="1161"/>
      <c r="AA201" s="1633"/>
      <c r="AB201" s="567"/>
      <c r="AC201" s="567"/>
      <c r="AD201" s="567"/>
      <c r="AE201" s="567"/>
      <c r="AF201" s="1642">
        <v>11</v>
      </c>
    </row>
    <row s="1642" customFormat="1" customHeight="1" ht="11.549999999999999">
      <c r="A202" s="988"/>
      <c r="B202" s="1637"/>
      <c r="C202" s="1637"/>
      <c r="D202" s="352"/>
      <c r="K202" s="1161"/>
      <c r="L202" s="1637"/>
      <c r="M202" s="1637"/>
      <c r="N202" s="1161"/>
      <c r="O202" s="1161"/>
      <c r="P202" s="1161"/>
      <c r="Q202" s="1161"/>
      <c r="R202" s="1637"/>
      <c r="S202" s="1161"/>
      <c r="T202" s="1161"/>
      <c r="U202" s="545"/>
      <c r="V202" s="1161"/>
      <c r="W202" s="1161"/>
      <c r="X202" s="1161"/>
      <c r="Y202" s="1161"/>
      <c r="Z202" s="1161"/>
      <c r="AA202" s="1633"/>
      <c r="AB202" s="567"/>
      <c r="AC202" s="567"/>
      <c r="AD202" s="567"/>
      <c r="AE202" s="567"/>
      <c r="AF202" s="1642">
        <v>11</v>
      </c>
    </row>
    <row customHeight="1" ht="11.549999999999999">
      <c r="AF203" s="1632">
        <v>11</v>
      </c>
    </row>
    <row customHeight="1" ht="11.549999999999999">
      <c r="AF204" s="1632">
        <v>11</v>
      </c>
    </row>
    <row customHeight="1" ht="11.549999999999999">
      <c r="AF205" s="1632">
        <v>11</v>
      </c>
    </row>
    <row customHeight="1" ht="11.549999999999999">
      <c r="A206" s="991"/>
      <c r="B206" s="1632"/>
      <c r="D206" s="1632"/>
      <c r="K206" s="1632"/>
      <c r="N206" s="1632"/>
      <c r="O206" s="1632"/>
      <c r="P206" s="1632"/>
      <c r="Q206" s="1632"/>
      <c r="S206" s="1632"/>
      <c r="T206" s="1632"/>
      <c r="U206" s="1632"/>
      <c r="V206" s="1632"/>
      <c r="W206" s="1632"/>
      <c r="X206" s="1632"/>
      <c r="Y206" s="1632"/>
      <c r="Z206" s="1632"/>
      <c r="AA206" s="1632"/>
      <c r="AB206" s="1632"/>
      <c r="AC206" s="1632"/>
      <c r="AD206" s="1632"/>
      <c r="AE206" s="1632"/>
      <c r="AF206" s="1632">
        <v>11</v>
      </c>
    </row>
    <row customHeight="1" ht="11.549999999999999">
      <c r="A207" s="991"/>
      <c r="B207" s="1632"/>
      <c r="D207" s="1632"/>
      <c r="K207" s="1632"/>
      <c r="N207" s="1632"/>
      <c r="O207" s="1632"/>
      <c r="P207" s="1632"/>
      <c r="Q207" s="1632"/>
      <c r="S207" s="1632"/>
      <c r="T207" s="1632"/>
      <c r="U207" s="1632"/>
      <c r="V207" s="1632"/>
      <c r="W207" s="1632"/>
      <c r="X207" s="1632"/>
      <c r="Y207" s="1632"/>
      <c r="Z207" s="1632"/>
      <c r="AA207" s="1632"/>
      <c r="AB207" s="1632"/>
      <c r="AC207" s="1632"/>
      <c r="AD207" s="1632"/>
      <c r="AE207" s="1632"/>
      <c r="AF207" s="1632">
        <v>11</v>
      </c>
    </row>
    <row customHeight="1" ht="11.549999999999999">
      <c r="A208" s="991"/>
      <c r="B208" s="1632"/>
      <c r="D208" s="1632"/>
      <c r="K208" s="1632"/>
      <c r="N208" s="1632"/>
      <c r="O208" s="1632"/>
      <c r="P208" s="1632"/>
      <c r="Q208" s="1632"/>
      <c r="S208" s="1632"/>
      <c r="T208" s="1632"/>
      <c r="U208" s="1632"/>
      <c r="V208" s="1632"/>
      <c r="W208" s="1632"/>
      <c r="X208" s="1632"/>
      <c r="Y208" s="1632"/>
      <c r="Z208" s="1632"/>
      <c r="AA208" s="1632"/>
      <c r="AB208" s="1632"/>
      <c r="AC208" s="1632"/>
      <c r="AD208" s="1632"/>
      <c r="AE208" s="1632"/>
      <c r="AF208" s="1632">
        <v>11</v>
      </c>
    </row>
    <row customHeight="1" ht="11.549999999999999">
      <c r="A209" s="991"/>
      <c r="B209" s="1632"/>
      <c r="D209" s="1632"/>
      <c r="K209" s="1632"/>
      <c r="N209" s="1632"/>
      <c r="O209" s="1632"/>
      <c r="P209" s="1632"/>
      <c r="Q209" s="1632"/>
      <c r="S209" s="1632"/>
      <c r="T209" s="1632"/>
      <c r="U209" s="1632"/>
      <c r="V209" s="1632"/>
      <c r="W209" s="1632"/>
      <c r="X209" s="1632"/>
      <c r="Y209" s="1632"/>
      <c r="Z209" s="1632"/>
      <c r="AA209" s="1632"/>
      <c r="AB209" s="1632"/>
      <c r="AC209" s="1632"/>
      <c r="AD209" s="1632"/>
      <c r="AE209" s="1632"/>
      <c r="AF209" s="1632">
        <v>11</v>
      </c>
    </row>
    <row customHeight="1" ht="11.549999999999999">
      <c r="A210" s="991"/>
      <c r="B210" s="1632"/>
      <c r="D210" s="1632"/>
      <c r="K210" s="1632"/>
      <c r="N210" s="1632"/>
      <c r="O210" s="1632"/>
      <c r="P210" s="1632"/>
      <c r="Q210" s="1632"/>
      <c r="S210" s="1632"/>
      <c r="T210" s="1632"/>
      <c r="U210" s="1632"/>
      <c r="V210" s="1632"/>
      <c r="W210" s="1632"/>
      <c r="X210" s="1632"/>
      <c r="Y210" s="1632"/>
      <c r="Z210" s="1632"/>
      <c r="AA210" s="1632"/>
      <c r="AB210" s="1632"/>
      <c r="AC210" s="1632"/>
      <c r="AD210" s="1632"/>
      <c r="AE210" s="1632"/>
      <c r="AF210" s="1632">
        <v>11</v>
      </c>
    </row>
    <row customHeight="1" ht="11.549999999999999">
      <c r="A211" s="991"/>
      <c r="B211" s="1632"/>
      <c r="D211" s="1632"/>
      <c r="K211" s="1632"/>
      <c r="N211" s="1632"/>
      <c r="O211" s="1632"/>
      <c r="P211" s="1632"/>
      <c r="Q211" s="1632"/>
      <c r="S211" s="1632"/>
      <c r="T211" s="1632"/>
      <c r="U211" s="1632"/>
      <c r="V211" s="1632"/>
      <c r="W211" s="1632"/>
      <c r="X211" s="1632"/>
      <c r="Y211" s="1632"/>
      <c r="Z211" s="1632"/>
      <c r="AA211" s="1632"/>
      <c r="AB211" s="1632"/>
      <c r="AC211" s="1632"/>
      <c r="AD211" s="1632"/>
      <c r="AE211" s="1632"/>
      <c r="AF211" s="1632">
        <v>11</v>
      </c>
    </row>
    <row customHeight="1" ht="11.549999999999999">
      <c r="A212" s="991"/>
      <c r="B212" s="1632"/>
      <c r="D212" s="1632"/>
      <c r="K212" s="1632"/>
      <c r="N212" s="1632"/>
      <c r="O212" s="1632"/>
      <c r="P212" s="1632"/>
      <c r="Q212" s="1632"/>
      <c r="S212" s="1632"/>
      <c r="T212" s="1632"/>
      <c r="U212" s="1632"/>
      <c r="V212" s="1632"/>
      <c r="W212" s="1632"/>
      <c r="X212" s="1632"/>
      <c r="Y212" s="1632"/>
      <c r="Z212" s="1632"/>
      <c r="AA212" s="1632"/>
      <c r="AB212" s="1632"/>
      <c r="AC212" s="1632"/>
      <c r="AD212" s="1632"/>
      <c r="AE212" s="1632"/>
      <c r="AF212" s="1632">
        <v>11</v>
      </c>
    </row>
    <row customHeight="1" ht="11.549999999999999">
      <c r="A213" s="991"/>
      <c r="B213" s="1632"/>
      <c r="D213" s="1632"/>
      <c r="K213" s="1632"/>
      <c r="N213" s="1632"/>
      <c r="O213" s="1632"/>
      <c r="P213" s="1632"/>
      <c r="Q213" s="1632"/>
      <c r="S213" s="1632"/>
      <c r="T213" s="1632"/>
      <c r="U213" s="1632"/>
      <c r="V213" s="1632"/>
      <c r="W213" s="1632"/>
      <c r="X213" s="1632"/>
      <c r="Y213" s="1632"/>
      <c r="Z213" s="1632"/>
      <c r="AA213" s="1632"/>
      <c r="AB213" s="1632"/>
      <c r="AC213" s="1632"/>
      <c r="AD213" s="1632"/>
      <c r="AE213" s="1632"/>
      <c r="AF213" s="1632">
        <v>11</v>
      </c>
    </row>
    <row customHeight="1" ht="11.549999999999999">
      <c r="A214" s="991"/>
      <c r="B214" s="1632"/>
      <c r="D214" s="1632"/>
      <c r="K214" s="1632"/>
      <c r="N214" s="1632"/>
      <c r="O214" s="1632"/>
      <c r="P214" s="1632"/>
      <c r="Q214" s="1632"/>
      <c r="S214" s="1632"/>
      <c r="T214" s="1632"/>
      <c r="U214" s="1632"/>
      <c r="V214" s="1632"/>
      <c r="W214" s="1632"/>
      <c r="X214" s="1632"/>
      <c r="Y214" s="1632"/>
      <c r="Z214" s="1632"/>
      <c r="AA214" s="1632"/>
      <c r="AB214" s="1632"/>
      <c r="AC214" s="1632"/>
      <c r="AD214" s="1632"/>
      <c r="AE214" s="1632"/>
      <c r="AF214" s="1632">
        <v>11</v>
      </c>
    </row>
    <row customHeight="1" ht="11.549999999999999">
      <c r="A215" s="991"/>
      <c r="B215" s="1632"/>
      <c r="D215" s="1632"/>
      <c r="K215" s="1632"/>
      <c r="N215" s="1632"/>
      <c r="O215" s="1632"/>
      <c r="P215" s="1632"/>
      <c r="Q215" s="1632"/>
      <c r="S215" s="1632"/>
      <c r="T215" s="1632"/>
      <c r="U215" s="1632"/>
      <c r="V215" s="1632"/>
      <c r="W215" s="1632"/>
      <c r="X215" s="1632"/>
      <c r="Y215" s="1632"/>
      <c r="Z215" s="1632"/>
      <c r="AA215" s="1632"/>
      <c r="AB215" s="1632"/>
      <c r="AC215" s="1632"/>
      <c r="AD215" s="1632"/>
      <c r="AE215" s="1632"/>
      <c r="AF215" s="1632">
        <v>11</v>
      </c>
    </row>
    <row customHeight="1" ht="11.549999999999999">
      <c r="A216" s="991"/>
      <c r="B216" s="1632"/>
      <c r="D216" s="1632"/>
      <c r="K216" s="1632"/>
      <c r="N216" s="1632"/>
      <c r="O216" s="1632"/>
      <c r="P216" s="1632"/>
      <c r="Q216" s="1632"/>
      <c r="S216" s="1632"/>
      <c r="T216" s="1632"/>
      <c r="U216" s="1632"/>
      <c r="V216" s="1632"/>
      <c r="W216" s="1632"/>
      <c r="X216" s="1632"/>
      <c r="Y216" s="1632"/>
      <c r="Z216" s="1632"/>
      <c r="AA216" s="1632"/>
      <c r="AB216" s="1632"/>
      <c r="AC216" s="1632"/>
      <c r="AD216" s="1632"/>
      <c r="AE216" s="1632"/>
      <c r="AF216" s="1632">
        <v>11</v>
      </c>
    </row>
    <row customHeight="1" ht="11.25" hidden="1">
      <c r="A217" s="988" t="s">
        <v>84</v>
      </c>
      <c r="B217" s="1161">
        <v>0</v>
      </c>
      <c r="C217" s="1637">
        <v>0</v>
      </c>
      <c r="D217" s="1636">
        <v>3</v>
      </c>
      <c r="E217" s="1632">
        <v>7</v>
      </c>
      <c r="F217" s="1632">
        <v>56</v>
      </c>
      <c r="G217" s="1632">
        <v>10</v>
      </c>
      <c r="H217" s="1632">
        <v>0</v>
      </c>
      <c r="I217" s="1632">
        <v>40</v>
      </c>
      <c r="J217" s="1632">
        <v>102</v>
      </c>
      <c r="K217" s="1161">
        <v>9</v>
      </c>
      <c r="L217" s="1637">
        <v>5</v>
      </c>
      <c r="M217" s="1637">
        <v>3</v>
      </c>
      <c r="N217" s="1161">
        <v>3</v>
      </c>
      <c r="O217" s="1161">
        <v>3</v>
      </c>
      <c r="P217" s="1161">
        <v>3</v>
      </c>
      <c r="Q217" s="1161">
        <v>3</v>
      </c>
      <c r="R217" s="1637">
        <v>10</v>
      </c>
      <c r="S217" s="1161">
        <v>34</v>
      </c>
      <c r="T217" s="1161">
        <v>9</v>
      </c>
      <c r="U217" s="545">
        <v>8</v>
      </c>
      <c r="V217" s="1161">
        <v>8</v>
      </c>
      <c r="W217" s="1161">
        <v>8</v>
      </c>
      <c r="X217" s="1161">
        <v>8</v>
      </c>
      <c r="Y217" s="1161">
        <v>8</v>
      </c>
      <c r="Z217" s="1161">
        <v>8</v>
      </c>
      <c r="AA217" s="1633">
        <v>8</v>
      </c>
      <c r="AB217" s="1633">
        <v>8</v>
      </c>
      <c r="AC217" s="1633">
        <v>8</v>
      </c>
      <c r="AD217" s="1633">
        <v>8</v>
      </c>
      <c r="AE217" s="1633">
        <v>8</v>
      </c>
      <c r="AF217" s="1632">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858824B-4EFD-E26E-BCE3-0.4BBFC565}" mc:Ignorable="x14ac xr xr2 xr3">
  <sheetPr>
    <tabColor theme="9" tint="-0.25"/>
  </sheetPr>
  <dimension ref="A1:AF210"/>
  <sheetViews>
    <sheetView topLeftCell="A1" showGridLines="0" zoomScale="90" workbookViewId="0">
      <selection activeCell="A1" sqref="A1"/>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4.00390625" customWidth="1"/>
    <col min="7" max="7" style="1636" width="10.00390625" customWidth="1"/>
    <col min="8" max="8" style="1636" width="40.7109375" hidden="1" customWidth="1"/>
    <col min="9" max="9" style="1636" width="40.00390625" customWidth="1"/>
    <col min="10" max="10" style="1636" width="102.00390625" customWidth="1"/>
    <col min="11" max="11" style="1367" width="9.00390625" customWidth="1"/>
    <col min="12" max="12" style="1643" width="5.00390625" customWidth="1"/>
    <col min="13" max="13" style="1643" width="3.00390625" customWidth="1"/>
    <col min="14" max="17" style="1367" width="3.00390625" customWidth="1"/>
    <col min="18" max="18" style="1643" width="10.00390625" customWidth="1"/>
    <col min="19" max="19" style="1367" width="34.00390625" customWidth="1"/>
    <col min="20" max="20" style="1367" width="9.00390625" customWidth="1"/>
    <col min="21" max="21" style="737" width="8.00390625" customWidth="1"/>
    <col min="22" max="26" style="1367" width="8.00390625" customWidth="1"/>
    <col min="27" max="31" style="1633" width="8.00390625" customWidth="1"/>
    <col min="32" max="32" style="1636" width="9.140625" hidden="1"/>
  </cols>
  <sheetData>
    <row s="1367" customFormat="1" customHeight="1" ht="22.5" hidden="1">
      <c r="A1" s="988"/>
      <c r="C1" s="1637"/>
      <c r="D1" s="538"/>
      <c r="H1" s="1161">
        <v>4</v>
      </c>
      <c r="I1" s="1161">
        <v>4</v>
      </c>
      <c r="L1" s="1637"/>
      <c r="M1" s="1637"/>
      <c r="R1" s="1637"/>
      <c r="AF1" s="1161" t="s">
        <v>14</v>
      </c>
    </row>
    <row s="1367" customFormat="1" customHeight="1" ht="22.5" hidden="1">
      <c r="A2" s="988"/>
      <c r="C2" s="1637"/>
      <c r="D2" s="539"/>
      <c r="E2" s="1659"/>
      <c r="F2" s="541"/>
      <c r="G2" s="1658" t="s">
        <v>563</v>
      </c>
      <c r="H2" s="542"/>
      <c r="I2" s="542"/>
      <c r="J2" s="543" t="s">
        <v>566</v>
      </c>
      <c r="K2" s="544"/>
      <c r="L2" s="1637"/>
      <c r="M2" s="1637"/>
      <c r="R2" s="1637"/>
      <c r="U2" s="545"/>
      <c r="AA2" s="1633"/>
      <c r="AB2" s="1633"/>
      <c r="AC2" s="1633"/>
      <c r="AD2" s="1633"/>
      <c r="AE2" s="1633"/>
      <c r="AF2" s="1161">
        <v>0</v>
      </c>
    </row>
    <row customHeight="1" ht="11.25" hidden="1">
      <c r="AF3" s="1632">
        <v>0</v>
      </c>
    </row>
    <row s="1633" customFormat="1" customHeight="1" ht="11.25" hidden="1">
      <c r="A4" s="988"/>
      <c r="B4" s="1161"/>
      <c r="C4" s="1637"/>
      <c r="D4" s="363"/>
      <c r="J4" s="1633">
        <v>4</v>
      </c>
      <c r="K4" s="1161"/>
      <c r="L4" s="1637"/>
      <c r="M4" s="1637"/>
      <c r="N4" s="1161"/>
      <c r="O4" s="1161"/>
      <c r="P4" s="1161"/>
      <c r="Q4" s="1161"/>
      <c r="R4" s="1637"/>
      <c r="S4" s="1161"/>
      <c r="T4" s="1161"/>
      <c r="U4" s="545"/>
      <c r="V4" s="1161"/>
      <c r="W4" s="1161"/>
      <c r="X4" s="1161"/>
      <c r="Y4" s="1161"/>
      <c r="Z4" s="1161"/>
      <c r="AF4" s="1633">
        <v>0</v>
      </c>
    </row>
    <row customHeight="1" ht="11.549999999999999">
      <c r="AF5" s="1632">
        <v>11</v>
      </c>
    </row>
    <row customHeight="1" ht="33.75">
      <c r="E6" s="2249" t="s">
        <v>785</v>
      </c>
      <c r="F6" s="2249"/>
      <c r="G6" s="2249"/>
      <c r="H6" s="2249"/>
      <c r="I6" s="2249"/>
      <c r="J6" s="557"/>
      <c r="AF6" s="1632">
        <v>32</v>
      </c>
    </row>
    <row customHeight="1" ht="25.2">
      <c r="E7" s="2250" t="str">
        <f>IF(org=0,"Не определено",org)</f>
        <v>ИМУП «ПОСЖИЛКОМСЕРВИС»</v>
      </c>
      <c r="F7" s="2250"/>
      <c r="G7" s="2250"/>
      <c r="H7" s="2250"/>
      <c r="I7" s="2250"/>
      <c r="AF7" s="1632">
        <v>24</v>
      </c>
    </row>
    <row customHeight="1" ht="11.549999999999999">
      <c r="E8" s="1136"/>
      <c r="F8" s="1136"/>
      <c r="G8" s="1136"/>
      <c r="H8" s="1136"/>
      <c r="I8" s="1136"/>
      <c r="AF8" s="1632">
        <v>11</v>
      </c>
    </row>
    <row s="1643" customFormat="1" customHeight="1" ht="1.05">
      <c r="A9" s="1168"/>
      <c r="D9" s="1643"/>
      <c r="H9" s="890"/>
      <c r="I9" s="890" t="s">
        <v>120</v>
      </c>
      <c r="AF9" s="1637">
        <v>1</v>
      </c>
    </row>
    <row customHeight="1" ht="11.549999999999999">
      <c r="E10" s="712"/>
      <c r="F10" s="2368" t="s">
        <v>108</v>
      </c>
      <c r="G10" s="2369"/>
      <c r="H10" s="1660" t="str">
        <f>IF(H9="","",INDEX(DIFFERENTIATION_UNMERGE_VD,MATCH(H9,DIFFERENTIATION_ID_DIFF,0)))</f>
        <v/>
      </c>
      <c r="I10" s="1660">
        <f>IF(I9="","",INDEX(DIFFERENTIATION_UNMERGE_VD,MATCH(I9,DIFFERENTIATION_ID_DIFF,0)))</f>
        <v>0</v>
      </c>
      <c r="J10" s="2128"/>
      <c r="AF10" s="1632">
        <v>11</v>
      </c>
    </row>
    <row customHeight="1" ht="11.549999999999999">
      <c r="E11" s="712"/>
      <c r="F11" s="2368" t="s">
        <v>575</v>
      </c>
      <c r="G11" s="2369"/>
      <c r="H11" s="1660" t="str">
        <f>IF(H9="","",INDEX(DIFFERENTIATION_UNMERGE_AREA,MATCH(H9,DIFFERENTIATION_ID_DIFF,0)))</f>
        <v/>
      </c>
      <c r="I11" s="1660" t="str">
        <f>IF(I9="","",INDEX(DIFFERENTIATION_UNMERGE_AREA,MATCH(I9,DIFFERENTIATION_ID_DIFF,0)))</f>
        <v/>
      </c>
      <c r="J11" s="2128"/>
      <c r="AF11" s="1632">
        <v>11</v>
      </c>
    </row>
    <row customHeight="1" ht="11.25" hidden="1">
      <c r="E12" s="1663"/>
      <c r="F12" s="2391" t="s">
        <v>576</v>
      </c>
      <c r="G12" s="2392"/>
      <c r="H12" s="1664" t="str">
        <f>IF(H9="","",INDEX(DIFFERENTIATION_UNMERGE_SYSTEM,MATCH(H9,DIFFERENTIATION_ID_DIFF,0)))</f>
        <v/>
      </c>
      <c r="I12" s="1664" t="str">
        <f>IF(I9="","",INDEX(DIFFERENTIATION_UNMERGE_SYSTEM,MATCH(I9,DIFFERENTIATION_ID_DIFF,0)))</f>
        <v>без дифференциации</v>
      </c>
      <c r="J12" s="2128"/>
      <c r="AF12" s="1632">
        <v>0</v>
      </c>
    </row>
    <row customHeight="1" ht="11.549999999999999">
      <c r="E13" s="2370" t="s">
        <v>312</v>
      </c>
      <c r="F13" s="2371"/>
      <c r="G13" s="2371"/>
      <c r="H13" s="1657"/>
      <c r="I13" s="1657"/>
      <c r="J13" s="2128"/>
      <c r="AF13" s="1632">
        <v>11</v>
      </c>
    </row>
    <row customHeight="1" ht="24">
      <c r="E14" s="1658" t="s">
        <v>90</v>
      </c>
      <c r="F14" s="1661" t="s">
        <v>314</v>
      </c>
      <c r="G14" s="1661" t="s">
        <v>577</v>
      </c>
      <c r="H14" s="1661" t="s">
        <v>315</v>
      </c>
      <c r="I14" s="1661" t="s">
        <v>315</v>
      </c>
      <c r="J14" s="2128"/>
      <c r="AF14" s="1632">
        <v>23</v>
      </c>
    </row>
    <row customHeight="1" ht="19.95">
      <c r="D15" s="1639"/>
      <c r="E15" s="1631" t="s">
        <v>112</v>
      </c>
      <c r="F15" s="708" t="s">
        <v>786</v>
      </c>
      <c r="G15" s="1658" t="s">
        <v>563</v>
      </c>
      <c r="H15" s="558"/>
      <c r="I15" s="558"/>
      <c r="J15" s="290" t="s">
        <v>787</v>
      </c>
      <c r="K15" s="544" t="s">
        <v>641</v>
      </c>
      <c r="AF15" s="1632">
        <v>19</v>
      </c>
    </row>
    <row customHeight="1" ht="24">
      <c r="D16" s="1639"/>
      <c r="E16" s="1631" t="s">
        <v>113</v>
      </c>
      <c r="F16" s="1666" t="s">
        <v>788</v>
      </c>
      <c r="G16" s="1658" t="s">
        <v>563</v>
      </c>
      <c r="H16" s="559">
        <f>SUM(H17,H20:H27)</f>
        <v>0</v>
      </c>
      <c r="I16" s="559">
        <f>SUM(I17,I20:I27)</f>
        <v>0</v>
      </c>
      <c r="J16" s="290" t="s">
        <v>789</v>
      </c>
      <c r="K16" s="544" t="s">
        <v>641</v>
      </c>
      <c r="AF16" s="1632">
        <v>23</v>
      </c>
    </row>
    <row customHeight="1" ht="35.699999999999996">
      <c r="D17" s="1639"/>
      <c r="E17" s="1665" t="s">
        <v>719</v>
      </c>
      <c r="F17" s="1668" t="s">
        <v>790</v>
      </c>
      <c r="G17" s="1655" t="s">
        <v>563</v>
      </c>
      <c r="H17" s="558"/>
      <c r="I17" s="558"/>
      <c r="J17" s="290" t="s">
        <v>791</v>
      </c>
      <c r="K17" s="544"/>
      <c r="AF17" s="1632">
        <v>34</v>
      </c>
    </row>
    <row customHeight="1" ht="19.95">
      <c r="D18" s="1639"/>
      <c r="E18" s="1665" t="s">
        <v>722</v>
      </c>
      <c r="F18" s="1669" t="s">
        <v>792</v>
      </c>
      <c r="G18" s="1655" t="s">
        <v>563</v>
      </c>
      <c r="H18" s="558"/>
      <c r="I18" s="558"/>
      <c r="J18" s="290"/>
      <c r="K18" s="544"/>
      <c r="AF18" s="1632">
        <v>19</v>
      </c>
    </row>
    <row customHeight="1" ht="24">
      <c r="D19" s="1639"/>
      <c r="E19" s="1665" t="s">
        <v>725</v>
      </c>
      <c r="F19" s="1669" t="s">
        <v>793</v>
      </c>
      <c r="G19" s="1655" t="s">
        <v>563</v>
      </c>
      <c r="H19" s="558"/>
      <c r="I19" s="558"/>
      <c r="J19" s="290"/>
      <c r="K19" s="544"/>
      <c r="AF19" s="1632">
        <v>23</v>
      </c>
    </row>
    <row customHeight="1" ht="35.699999999999996">
      <c r="D20" s="1639"/>
      <c r="E20" s="1665" t="s">
        <v>319</v>
      </c>
      <c r="F20" s="1668" t="s">
        <v>794</v>
      </c>
      <c r="G20" s="1655" t="s">
        <v>563</v>
      </c>
      <c r="H20" s="558"/>
      <c r="I20" s="558"/>
      <c r="J20" s="290"/>
      <c r="K20" s="544"/>
      <c r="AF20" s="1632">
        <v>34</v>
      </c>
    </row>
    <row customHeight="1" ht="48.29999999999999">
      <c r="D21" s="1639"/>
      <c r="E21" s="1665" t="s">
        <v>322</v>
      </c>
      <c r="F21" s="1668" t="s">
        <v>795</v>
      </c>
      <c r="G21" s="1655" t="s">
        <v>563</v>
      </c>
      <c r="H21" s="558"/>
      <c r="I21" s="558"/>
      <c r="J21" s="290"/>
      <c r="K21" s="544"/>
      <c r="AF21" s="1632">
        <v>46</v>
      </c>
    </row>
    <row customHeight="1" ht="60">
      <c r="D22" s="1639"/>
      <c r="E22" s="1665" t="s">
        <v>739</v>
      </c>
      <c r="F22" s="1668" t="s">
        <v>796</v>
      </c>
      <c r="G22" s="1655" t="s">
        <v>563</v>
      </c>
      <c r="H22" s="558"/>
      <c r="I22" s="558"/>
      <c r="J22" s="290"/>
      <c r="K22" s="544"/>
      <c r="AF22" s="1632">
        <v>57</v>
      </c>
    </row>
    <row customHeight="1" ht="35.699999999999996">
      <c r="D23" s="1639"/>
      <c r="E23" s="1665" t="s">
        <v>746</v>
      </c>
      <c r="F23" s="1668" t="s">
        <v>797</v>
      </c>
      <c r="G23" s="1655" t="s">
        <v>563</v>
      </c>
      <c r="H23" s="558"/>
      <c r="I23" s="558"/>
      <c r="J23" s="290"/>
      <c r="K23" s="544"/>
      <c r="AF23" s="1632">
        <v>34</v>
      </c>
    </row>
    <row customHeight="1" ht="35.699999999999996">
      <c r="D24" s="1639"/>
      <c r="E24" s="1665" t="s">
        <v>748</v>
      </c>
      <c r="F24" s="1668" t="s">
        <v>798</v>
      </c>
      <c r="G24" s="1655" t="s">
        <v>563</v>
      </c>
      <c r="H24" s="558"/>
      <c r="I24" s="558"/>
      <c r="J24" s="290"/>
      <c r="K24" s="544"/>
      <c r="AF24" s="1632">
        <v>34</v>
      </c>
    </row>
    <row customHeight="1" ht="24">
      <c r="D25" s="1639"/>
      <c r="E25" s="1665" t="s">
        <v>750</v>
      </c>
      <c r="F25" s="1668" t="s">
        <v>799</v>
      </c>
      <c r="G25" s="1655" t="s">
        <v>563</v>
      </c>
      <c r="H25" s="558"/>
      <c r="I25" s="558"/>
      <c r="J25" s="290"/>
      <c r="K25" s="544"/>
      <c r="AF25" s="1632">
        <v>23</v>
      </c>
    </row>
    <row customHeight="1" ht="76.5">
      <c r="D26" s="1639"/>
      <c r="E26" s="1665" t="s">
        <v>752</v>
      </c>
      <c r="F26" s="1668" t="s">
        <v>800</v>
      </c>
      <c r="G26" s="1655" t="s">
        <v>563</v>
      </c>
      <c r="H26" s="558"/>
      <c r="I26" s="558"/>
      <c r="J26" s="290"/>
      <c r="K26" s="544"/>
      <c r="AF26" s="1632">
        <v>73</v>
      </c>
    </row>
    <row s="1367" customFormat="1" customHeight="1" ht="35.699999999999996">
      <c r="A27" s="988"/>
      <c r="C27" s="1637"/>
      <c r="D27" s="1639"/>
      <c r="E27" s="1630" t="s">
        <v>756</v>
      </c>
      <c r="F27" s="1629" t="s">
        <v>801</v>
      </c>
      <c r="G27" s="1656" t="s">
        <v>563</v>
      </c>
      <c r="H27" s="580">
        <f>SUM(H28:H29)</f>
        <v>0</v>
      </c>
      <c r="I27" s="580">
        <f>SUM(I28:I29)</f>
        <v>0</v>
      </c>
      <c r="J27" s="290" t="s">
        <v>754</v>
      </c>
      <c r="K27" s="544"/>
      <c r="L27" s="1637"/>
      <c r="M27" s="1637"/>
      <c r="R27" s="1637"/>
      <c r="U27" s="545"/>
      <c r="AA27" s="1633"/>
      <c r="AB27" s="1633"/>
      <c r="AC27" s="1633"/>
      <c r="AD27" s="1633"/>
      <c r="AE27" s="1633"/>
      <c r="AF27" s="1161">
        <v>34</v>
      </c>
    </row>
    <row s="1643" customFormat="1" customHeight="1" ht="1.05">
      <c r="A28" s="1168"/>
      <c r="D28" s="549"/>
      <c r="E28" s="803" t="str">
        <f>E27&amp;".0"</f>
        <v>2.9.0</v>
      </c>
      <c r="F28" s="992"/>
      <c r="G28" s="552"/>
      <c r="H28" s="993"/>
      <c r="I28" s="993"/>
      <c r="J28" s="994"/>
      <c r="AF28" s="1637">
        <v>1</v>
      </c>
    </row>
    <row s="1367" customFormat="1" customHeight="1" ht="19.95">
      <c r="A29" s="988"/>
      <c r="C29" s="1637"/>
      <c r="D29" s="1634"/>
      <c r="E29" s="571"/>
      <c r="F29" s="1667" t="s">
        <v>588</v>
      </c>
      <c r="G29" s="573"/>
      <c r="H29" s="574"/>
      <c r="I29" s="574"/>
      <c r="J29" s="302" t="s">
        <v>755</v>
      </c>
      <c r="K29" s="544"/>
      <c r="L29" s="1637"/>
      <c r="M29" s="1637"/>
      <c r="R29" s="1637"/>
      <c r="U29" s="545"/>
      <c r="AA29" s="1633"/>
      <c r="AB29" s="1633"/>
      <c r="AC29" s="1633"/>
      <c r="AD29" s="1633"/>
      <c r="AE29" s="1633"/>
      <c r="AF29" s="1161">
        <v>19</v>
      </c>
    </row>
    <row s="1367" customFormat="1" customHeight="1" ht="24">
      <c r="A30" s="988"/>
      <c r="C30" s="1637"/>
      <c r="D30" s="1639"/>
      <c r="E30" s="1665" t="s">
        <v>92</v>
      </c>
      <c r="F30" s="1662" t="s">
        <v>802</v>
      </c>
      <c r="G30" s="1655" t="s">
        <v>563</v>
      </c>
      <c r="H30" s="558"/>
      <c r="I30" s="558"/>
      <c r="J30" s="290"/>
      <c r="K30" s="544"/>
      <c r="L30" s="1637"/>
      <c r="M30" s="1637"/>
      <c r="R30" s="1637"/>
      <c r="U30" s="545"/>
      <c r="AA30" s="1633"/>
      <c r="AB30" s="1633"/>
      <c r="AC30" s="1633"/>
      <c r="AD30" s="1633"/>
      <c r="AE30" s="1633"/>
      <c r="AF30" s="1161">
        <v>23</v>
      </c>
    </row>
    <row s="1367" customFormat="1" customHeight="1" ht="35.699999999999996">
      <c r="A31" s="988"/>
      <c r="C31" s="1637"/>
      <c r="D31" s="576"/>
      <c r="E31" s="1665" t="s">
        <v>93</v>
      </c>
      <c r="F31" s="1662" t="s">
        <v>803</v>
      </c>
      <c r="G31" s="1655" t="s">
        <v>563</v>
      </c>
      <c r="H31" s="558"/>
      <c r="I31" s="558"/>
      <c r="J31" s="290" t="s">
        <v>804</v>
      </c>
      <c r="K31" s="544"/>
      <c r="L31" s="1637"/>
      <c r="M31" s="1637"/>
      <c r="R31" s="1637"/>
      <c r="U31" s="545"/>
      <c r="AA31" s="1633"/>
      <c r="AB31" s="1633"/>
      <c r="AC31" s="1633"/>
      <c r="AD31" s="1633"/>
      <c r="AE31" s="1633"/>
      <c r="AF31" s="1161">
        <v>34</v>
      </c>
    </row>
    <row s="1367" customFormat="1" customHeight="1" ht="24">
      <c r="A32" s="988"/>
      <c r="C32" s="1637"/>
      <c r="D32" s="1639"/>
      <c r="E32" s="1665" t="s">
        <v>764</v>
      </c>
      <c r="F32" s="691" t="s">
        <v>768</v>
      </c>
      <c r="G32" s="1655" t="s">
        <v>563</v>
      </c>
      <c r="H32" s="558"/>
      <c r="I32" s="558"/>
      <c r="J32" s="290" t="s">
        <v>805</v>
      </c>
      <c r="K32" s="544"/>
      <c r="L32" s="1637"/>
      <c r="M32" s="1637"/>
      <c r="R32" s="1637"/>
      <c r="U32" s="545"/>
      <c r="AA32" s="1633"/>
      <c r="AB32" s="1633"/>
      <c r="AC32" s="1633"/>
      <c r="AD32" s="1633"/>
      <c r="AE32" s="1633"/>
      <c r="AF32" s="1161">
        <v>23</v>
      </c>
    </row>
    <row s="1367" customFormat="1" customHeight="1" ht="24">
      <c r="A33" s="988"/>
      <c r="C33" s="1637"/>
      <c r="D33" s="1639"/>
      <c r="E33" s="1665" t="s">
        <v>806</v>
      </c>
      <c r="F33" s="691" t="s">
        <v>807</v>
      </c>
      <c r="G33" s="1655" t="s">
        <v>563</v>
      </c>
      <c r="H33" s="558"/>
      <c r="I33" s="558"/>
      <c r="J33" s="290" t="s">
        <v>808</v>
      </c>
      <c r="K33" s="544"/>
      <c r="L33" s="1637"/>
      <c r="M33" s="1637"/>
      <c r="R33" s="1637"/>
      <c r="U33" s="545"/>
      <c r="AA33" s="1633"/>
      <c r="AB33" s="1633"/>
      <c r="AC33" s="1633"/>
      <c r="AD33" s="1633"/>
      <c r="AE33" s="1633"/>
      <c r="AF33" s="1161">
        <v>23</v>
      </c>
    </row>
    <row s="1367" customFormat="1" customHeight="1" ht="24">
      <c r="A34" s="988"/>
      <c r="C34" s="1637"/>
      <c r="D34" s="1639"/>
      <c r="E34" s="1665" t="s">
        <v>809</v>
      </c>
      <c r="F34" s="691" t="s">
        <v>774</v>
      </c>
      <c r="G34" s="1655" t="s">
        <v>563</v>
      </c>
      <c r="H34" s="558"/>
      <c r="I34" s="558"/>
      <c r="J34" s="290" t="s">
        <v>810</v>
      </c>
      <c r="K34" s="544"/>
      <c r="L34" s="1637"/>
      <c r="M34" s="1637"/>
      <c r="R34" s="1637"/>
      <c r="U34" s="545"/>
      <c r="AA34" s="1633"/>
      <c r="AB34" s="1633"/>
      <c r="AC34" s="1633"/>
      <c r="AD34" s="1633"/>
      <c r="AE34" s="1633"/>
      <c r="AF34" s="1161">
        <v>23</v>
      </c>
    </row>
    <row s="1367" customFormat="1" customHeight="1" ht="35.699999999999996">
      <c r="A35" s="988"/>
      <c r="C35" s="1637" t="s">
        <v>599</v>
      </c>
      <c r="D35" s="1639"/>
      <c r="E35" s="1665" t="s">
        <v>114</v>
      </c>
      <c r="F35" s="1662" t="s">
        <v>640</v>
      </c>
      <c r="G35" s="1658" t="s">
        <v>318</v>
      </c>
      <c r="H35" s="402"/>
      <c r="I35" s="402"/>
      <c r="J35" s="290" t="s">
        <v>811</v>
      </c>
      <c r="K35" s="544"/>
      <c r="L35" s="1637"/>
      <c r="M35" s="1637"/>
      <c r="R35" s="1637"/>
      <c r="U35" s="545"/>
      <c r="AA35" s="1633"/>
      <c r="AB35" s="1633"/>
      <c r="AC35" s="1633"/>
      <c r="AD35" s="1633"/>
      <c r="AE35" s="1633"/>
      <c r="AF35" s="1161">
        <v>34</v>
      </c>
    </row>
    <row s="1367" customFormat="1" customHeight="1" ht="35.699999999999996">
      <c r="A36" s="988"/>
      <c r="C36" s="1637"/>
      <c r="D36" s="1639"/>
      <c r="E36" s="1665" t="s">
        <v>94</v>
      </c>
      <c r="F36" s="1662" t="s">
        <v>812</v>
      </c>
      <c r="G36" s="1655" t="s">
        <v>779</v>
      </c>
      <c r="H36" s="546"/>
      <c r="I36" s="546"/>
      <c r="J36" s="290" t="s">
        <v>780</v>
      </c>
      <c r="K36" s="544"/>
      <c r="L36" s="1637"/>
      <c r="M36" s="1637"/>
      <c r="R36" s="1637"/>
      <c r="U36" s="545"/>
      <c r="AA36" s="1633"/>
      <c r="AB36" s="1633"/>
      <c r="AC36" s="1633"/>
      <c r="AD36" s="1633"/>
      <c r="AE36" s="1633"/>
      <c r="AF36" s="1161">
        <v>34</v>
      </c>
    </row>
    <row s="1367" customFormat="1" customHeight="1" ht="24">
      <c r="A37" s="988"/>
      <c r="C37" s="1637"/>
      <c r="D37" s="1639"/>
      <c r="E37" s="1665" t="s">
        <v>95</v>
      </c>
      <c r="F37" s="1662" t="s">
        <v>813</v>
      </c>
      <c r="G37" s="1655" t="s">
        <v>782</v>
      </c>
      <c r="H37" s="546"/>
      <c r="I37" s="546"/>
      <c r="J37" s="290" t="s">
        <v>783</v>
      </c>
      <c r="K37" s="544"/>
      <c r="L37" s="1637"/>
      <c r="M37" s="1637"/>
      <c r="R37" s="1637"/>
      <c r="U37" s="545"/>
      <c r="AA37" s="1633"/>
      <c r="AB37" s="1633"/>
      <c r="AC37" s="1633"/>
      <c r="AD37" s="1633"/>
      <c r="AE37" s="1633"/>
      <c r="AF37" s="1161">
        <v>23</v>
      </c>
    </row>
    <row customHeight="1" ht="11.549999999999999">
      <c r="D38" s="1639"/>
      <c r="AF38" s="1632">
        <v>11</v>
      </c>
    </row>
    <row customHeight="1" ht="27.299999999999997">
      <c r="D39" s="1639"/>
      <c r="E39" s="1254" t="s">
        <v>814</v>
      </c>
      <c r="F39" s="2286" t="s">
        <v>815</v>
      </c>
      <c r="G39" s="2286"/>
      <c r="H39" s="370"/>
      <c r="I39" s="370"/>
      <c r="J39" s="370"/>
      <c r="AF39" s="1632">
        <v>26</v>
      </c>
    </row>
    <row s="1642" customFormat="1" customHeight="1" ht="39.75">
      <c r="A40" s="988"/>
      <c r="B40" s="1637"/>
      <c r="C40" s="1637"/>
      <c r="D40" s="352"/>
      <c r="F40" s="2286" t="s">
        <v>816</v>
      </c>
      <c r="G40" s="2286"/>
      <c r="H40" s="370"/>
      <c r="I40" s="370"/>
      <c r="J40" s="370"/>
      <c r="K40" s="1161"/>
      <c r="L40" s="1637"/>
      <c r="M40" s="1637"/>
      <c r="N40" s="1161"/>
      <c r="O40" s="1161"/>
      <c r="P40" s="1161"/>
      <c r="Q40" s="1161"/>
      <c r="R40" s="1637"/>
      <c r="S40" s="1161"/>
      <c r="T40" s="1161"/>
      <c r="U40" s="545"/>
      <c r="V40" s="1161"/>
      <c r="W40" s="1161"/>
      <c r="X40" s="1161"/>
      <c r="Y40" s="1161"/>
      <c r="Z40" s="1161"/>
      <c r="AA40" s="1633"/>
      <c r="AB40" s="567"/>
      <c r="AC40" s="567"/>
      <c r="AD40" s="567"/>
      <c r="AE40" s="567"/>
      <c r="AF40" s="1642">
        <v>38</v>
      </c>
    </row>
    <row s="1642" customFormat="1" customHeight="1" ht="11.549999999999999">
      <c r="A41" s="988"/>
      <c r="B41" s="1637"/>
      <c r="C41" s="1637"/>
      <c r="D41" s="352"/>
      <c r="K41" s="1161"/>
      <c r="L41" s="1637"/>
      <c r="M41" s="1637"/>
      <c r="N41" s="1161"/>
      <c r="O41" s="1161"/>
      <c r="P41" s="1161"/>
      <c r="Q41" s="1161"/>
      <c r="R41" s="1637"/>
      <c r="S41" s="1161"/>
      <c r="T41" s="1161"/>
      <c r="U41" s="545"/>
      <c r="V41" s="1161"/>
      <c r="W41" s="1161"/>
      <c r="X41" s="1161"/>
      <c r="Y41" s="1161"/>
      <c r="Z41" s="1161"/>
      <c r="AA41" s="1633"/>
      <c r="AB41" s="567"/>
      <c r="AC41" s="567"/>
      <c r="AD41" s="567"/>
      <c r="AE41" s="567"/>
      <c r="AF41" s="1642">
        <v>11</v>
      </c>
    </row>
    <row s="1642" customFormat="1" customHeight="1" ht="11.549999999999999">
      <c r="A42" s="988"/>
      <c r="B42" s="1637"/>
      <c r="C42" s="1637"/>
      <c r="D42" s="352"/>
      <c r="K42" s="1161"/>
      <c r="L42" s="1637"/>
      <c r="M42" s="1637"/>
      <c r="N42" s="1161"/>
      <c r="O42" s="1161"/>
      <c r="P42" s="1161"/>
      <c r="Q42" s="1161"/>
      <c r="R42" s="1637"/>
      <c r="S42" s="1161"/>
      <c r="T42" s="1161"/>
      <c r="U42" s="545"/>
      <c r="V42" s="1161"/>
      <c r="W42" s="1161"/>
      <c r="X42" s="1161"/>
      <c r="Y42" s="1161"/>
      <c r="Z42" s="1161"/>
      <c r="AA42" s="1633"/>
      <c r="AB42" s="567"/>
      <c r="AC42" s="567"/>
      <c r="AD42" s="567"/>
      <c r="AE42" s="567"/>
      <c r="AF42" s="1642">
        <v>11</v>
      </c>
    </row>
    <row s="1642" customFormat="1" customHeight="1" ht="11.549999999999999">
      <c r="A43" s="988"/>
      <c r="B43" s="1637"/>
      <c r="C43" s="1637"/>
      <c r="D43" s="352"/>
      <c r="H43" s="567"/>
      <c r="I43" s="567"/>
      <c r="K43" s="1161"/>
      <c r="L43" s="1637"/>
      <c r="M43" s="1637"/>
      <c r="N43" s="1161"/>
      <c r="O43" s="1161"/>
      <c r="P43" s="1161"/>
      <c r="Q43" s="1161"/>
      <c r="R43" s="1637"/>
      <c r="S43" s="1161"/>
      <c r="T43" s="1161"/>
      <c r="U43" s="545"/>
      <c r="V43" s="1161"/>
      <c r="W43" s="1161"/>
      <c r="X43" s="1161"/>
      <c r="Y43" s="1161"/>
      <c r="Z43" s="1161"/>
      <c r="AA43" s="1633"/>
      <c r="AB43" s="567"/>
      <c r="AC43" s="567"/>
      <c r="AD43" s="567"/>
      <c r="AE43" s="567"/>
      <c r="AF43" s="1642">
        <v>11</v>
      </c>
    </row>
    <row s="1642" customFormat="1" customHeight="1" ht="11.549999999999999">
      <c r="A44" s="988"/>
      <c r="B44" s="1637"/>
      <c r="C44" s="1637"/>
      <c r="D44" s="352"/>
      <c r="K44" s="1161"/>
      <c r="L44" s="1637"/>
      <c r="M44" s="1637"/>
      <c r="N44" s="1161"/>
      <c r="O44" s="1161"/>
      <c r="P44" s="1161"/>
      <c r="Q44" s="1161"/>
      <c r="R44" s="1637"/>
      <c r="S44" s="1161"/>
      <c r="T44" s="1161"/>
      <c r="U44" s="545"/>
      <c r="V44" s="1161"/>
      <c r="W44" s="1161"/>
      <c r="X44" s="1161"/>
      <c r="Y44" s="1161"/>
      <c r="Z44" s="1161"/>
      <c r="AA44" s="1633"/>
      <c r="AB44" s="567"/>
      <c r="AC44" s="567"/>
      <c r="AD44" s="567"/>
      <c r="AE44" s="567"/>
      <c r="AF44" s="1642">
        <v>11</v>
      </c>
    </row>
    <row s="1642" customFormat="1" customHeight="1" ht="11.549999999999999">
      <c r="A45" s="988"/>
      <c r="B45" s="1637"/>
      <c r="C45" s="1637"/>
      <c r="D45" s="352"/>
      <c r="K45" s="1161"/>
      <c r="L45" s="1637"/>
      <c r="M45" s="1637"/>
      <c r="N45" s="1161"/>
      <c r="O45" s="1161"/>
      <c r="P45" s="1161"/>
      <c r="Q45" s="1161"/>
      <c r="R45" s="1637"/>
      <c r="S45" s="1161"/>
      <c r="T45" s="1161"/>
      <c r="U45" s="545"/>
      <c r="V45" s="1161"/>
      <c r="W45" s="1161"/>
      <c r="X45" s="1161"/>
      <c r="Y45" s="1161"/>
      <c r="Z45" s="1161"/>
      <c r="AA45" s="1633"/>
      <c r="AB45" s="567"/>
      <c r="AC45" s="567"/>
      <c r="AD45" s="567"/>
      <c r="AE45" s="567"/>
      <c r="AF45" s="1642">
        <v>11</v>
      </c>
    </row>
    <row s="1642" customFormat="1" customHeight="1" ht="11.549999999999999">
      <c r="A46" s="988"/>
      <c r="B46" s="1637"/>
      <c r="C46" s="1637"/>
      <c r="D46" s="352"/>
      <c r="K46" s="1161"/>
      <c r="L46" s="1637"/>
      <c r="M46" s="1637"/>
      <c r="N46" s="1161"/>
      <c r="O46" s="1161"/>
      <c r="P46" s="1161"/>
      <c r="Q46" s="1161"/>
      <c r="R46" s="1637"/>
      <c r="S46" s="1161"/>
      <c r="T46" s="1161"/>
      <c r="U46" s="545"/>
      <c r="V46" s="1161"/>
      <c r="W46" s="1161"/>
      <c r="X46" s="1161"/>
      <c r="Y46" s="1161"/>
      <c r="Z46" s="1161"/>
      <c r="AA46" s="1633"/>
      <c r="AB46" s="567"/>
      <c r="AC46" s="567"/>
      <c r="AD46" s="567"/>
      <c r="AE46" s="567"/>
      <c r="AF46" s="1642">
        <v>11</v>
      </c>
    </row>
    <row s="1642" customFormat="1" customHeight="1" ht="11.549999999999999">
      <c r="A47" s="988"/>
      <c r="B47" s="1637"/>
      <c r="C47" s="1637"/>
      <c r="D47" s="352"/>
      <c r="K47" s="1161"/>
      <c r="L47" s="1637"/>
      <c r="M47" s="1637"/>
      <c r="N47" s="1161"/>
      <c r="O47" s="1161"/>
      <c r="P47" s="1161"/>
      <c r="Q47" s="1161"/>
      <c r="R47" s="1637"/>
      <c r="S47" s="1161"/>
      <c r="T47" s="1161"/>
      <c r="U47" s="545"/>
      <c r="V47" s="1161"/>
      <c r="W47" s="1161"/>
      <c r="X47" s="1161"/>
      <c r="Y47" s="1161"/>
      <c r="Z47" s="1161"/>
      <c r="AA47" s="1633"/>
      <c r="AB47" s="567"/>
      <c r="AC47" s="567"/>
      <c r="AD47" s="567"/>
      <c r="AE47" s="567"/>
      <c r="AF47" s="1642">
        <v>11</v>
      </c>
    </row>
    <row s="1642" customFormat="1" customHeight="1" ht="11.549999999999999">
      <c r="A48" s="988"/>
      <c r="B48" s="1637"/>
      <c r="C48" s="1637"/>
      <c r="D48" s="352"/>
      <c r="K48" s="1161"/>
      <c r="L48" s="1637"/>
      <c r="M48" s="1637"/>
      <c r="N48" s="1161"/>
      <c r="O48" s="1161"/>
      <c r="P48" s="1161"/>
      <c r="Q48" s="1161"/>
      <c r="R48" s="1637"/>
      <c r="S48" s="1161"/>
      <c r="T48" s="1161"/>
      <c r="U48" s="545"/>
      <c r="V48" s="1161"/>
      <c r="W48" s="1161"/>
      <c r="X48" s="1161"/>
      <c r="Y48" s="1161"/>
      <c r="Z48" s="1161"/>
      <c r="AA48" s="1633"/>
      <c r="AB48" s="567"/>
      <c r="AC48" s="567"/>
      <c r="AD48" s="567"/>
      <c r="AE48" s="567"/>
      <c r="AF48" s="1642">
        <v>11</v>
      </c>
    </row>
    <row s="1642" customFormat="1" customHeight="1" ht="11.549999999999999">
      <c r="A49" s="988"/>
      <c r="B49" s="1637"/>
      <c r="C49" s="1637"/>
      <c r="D49" s="352"/>
      <c r="K49" s="1161"/>
      <c r="L49" s="1637"/>
      <c r="M49" s="1637"/>
      <c r="N49" s="1161"/>
      <c r="O49" s="1161"/>
      <c r="P49" s="1161"/>
      <c r="Q49" s="1161"/>
      <c r="R49" s="1637"/>
      <c r="S49" s="1161"/>
      <c r="T49" s="1161"/>
      <c r="U49" s="545"/>
      <c r="V49" s="1161"/>
      <c r="W49" s="1161"/>
      <c r="X49" s="1161"/>
      <c r="Y49" s="1161"/>
      <c r="Z49" s="1161"/>
      <c r="AA49" s="1633"/>
      <c r="AB49" s="567"/>
      <c r="AC49" s="567"/>
      <c r="AD49" s="567"/>
      <c r="AE49" s="567"/>
      <c r="AF49" s="1642">
        <v>11</v>
      </c>
    </row>
    <row s="1642" customFormat="1" customHeight="1" ht="11.549999999999999">
      <c r="A50" s="988"/>
      <c r="B50" s="1637"/>
      <c r="C50" s="1637"/>
      <c r="D50" s="352"/>
      <c r="K50" s="1161"/>
      <c r="L50" s="1637"/>
      <c r="M50" s="1637"/>
      <c r="N50" s="1161"/>
      <c r="O50" s="1161"/>
      <c r="P50" s="1161"/>
      <c r="Q50" s="1161"/>
      <c r="R50" s="1637"/>
      <c r="S50" s="1161"/>
      <c r="T50" s="1161"/>
      <c r="U50" s="545"/>
      <c r="V50" s="1161"/>
      <c r="W50" s="1161"/>
      <c r="X50" s="1161"/>
      <c r="Y50" s="1161"/>
      <c r="Z50" s="1161"/>
      <c r="AA50" s="1633"/>
      <c r="AB50" s="567"/>
      <c r="AC50" s="567"/>
      <c r="AD50" s="567"/>
      <c r="AE50" s="567"/>
      <c r="AF50" s="1642">
        <v>11</v>
      </c>
    </row>
    <row s="1642" customFormat="1" customHeight="1" ht="11.549999999999999">
      <c r="A51" s="988"/>
      <c r="B51" s="1637"/>
      <c r="C51" s="1637"/>
      <c r="D51" s="352"/>
      <c r="K51" s="1161"/>
      <c r="L51" s="1637"/>
      <c r="M51" s="1637"/>
      <c r="N51" s="1161"/>
      <c r="O51" s="1161"/>
      <c r="P51" s="1161"/>
      <c r="Q51" s="1161"/>
      <c r="R51" s="1637"/>
      <c r="S51" s="1161"/>
      <c r="T51" s="1161"/>
      <c r="U51" s="545"/>
      <c r="V51" s="1161"/>
      <c r="W51" s="1161"/>
      <c r="X51" s="1161"/>
      <c r="Y51" s="1161"/>
      <c r="Z51" s="1161"/>
      <c r="AA51" s="1633"/>
      <c r="AB51" s="567"/>
      <c r="AC51" s="567"/>
      <c r="AD51" s="567"/>
      <c r="AE51" s="567"/>
      <c r="AF51" s="1642">
        <v>11</v>
      </c>
    </row>
    <row s="1642" customFormat="1" customHeight="1" ht="11.549999999999999">
      <c r="A52" s="988"/>
      <c r="B52" s="1637"/>
      <c r="C52" s="1637"/>
      <c r="D52" s="352"/>
      <c r="K52" s="1161"/>
      <c r="L52" s="1637"/>
      <c r="M52" s="1637"/>
      <c r="N52" s="1161"/>
      <c r="O52" s="1161"/>
      <c r="P52" s="1161"/>
      <c r="Q52" s="1161"/>
      <c r="R52" s="1637"/>
      <c r="S52" s="1161"/>
      <c r="T52" s="1161"/>
      <c r="U52" s="545"/>
      <c r="V52" s="1161"/>
      <c r="W52" s="1161"/>
      <c r="X52" s="1161"/>
      <c r="Y52" s="1161"/>
      <c r="Z52" s="1161"/>
      <c r="AA52" s="1633"/>
      <c r="AB52" s="567"/>
      <c r="AC52" s="567"/>
      <c r="AD52" s="567"/>
      <c r="AE52" s="567"/>
      <c r="AF52" s="1642">
        <v>11</v>
      </c>
    </row>
    <row s="1642" customFormat="1" customHeight="1" ht="11.549999999999999">
      <c r="A53" s="988"/>
      <c r="B53" s="1637"/>
      <c r="C53" s="1637"/>
      <c r="D53" s="352"/>
      <c r="K53" s="1161"/>
      <c r="L53" s="1637"/>
      <c r="M53" s="1637"/>
      <c r="N53" s="1161"/>
      <c r="O53" s="1161"/>
      <c r="P53" s="1161"/>
      <c r="Q53" s="1161"/>
      <c r="R53" s="1637"/>
      <c r="S53" s="1161"/>
      <c r="T53" s="1161"/>
      <c r="U53" s="545"/>
      <c r="V53" s="1161"/>
      <c r="W53" s="1161"/>
      <c r="X53" s="1161"/>
      <c r="Y53" s="1161"/>
      <c r="Z53" s="1161"/>
      <c r="AA53" s="1633"/>
      <c r="AB53" s="567"/>
      <c r="AC53" s="567"/>
      <c r="AD53" s="567"/>
      <c r="AE53" s="567"/>
      <c r="AF53" s="1642">
        <v>11</v>
      </c>
    </row>
    <row s="1642" customFormat="1" customHeight="1" ht="11.549999999999999">
      <c r="A54" s="988"/>
      <c r="B54" s="1637"/>
      <c r="C54" s="1637"/>
      <c r="D54" s="352"/>
      <c r="K54" s="1161"/>
      <c r="L54" s="1637"/>
      <c r="M54" s="1637"/>
      <c r="N54" s="1161"/>
      <c r="O54" s="1161"/>
      <c r="P54" s="1161"/>
      <c r="Q54" s="1161"/>
      <c r="R54" s="1637"/>
      <c r="S54" s="1161"/>
      <c r="T54" s="1161"/>
      <c r="U54" s="545"/>
      <c r="V54" s="1161"/>
      <c r="W54" s="1161"/>
      <c r="X54" s="1161"/>
      <c r="Y54" s="1161"/>
      <c r="Z54" s="1161"/>
      <c r="AA54" s="1633"/>
      <c r="AB54" s="567"/>
      <c r="AC54" s="567"/>
      <c r="AD54" s="567"/>
      <c r="AE54" s="567"/>
      <c r="AF54" s="1642">
        <v>11</v>
      </c>
    </row>
    <row s="1642" customFormat="1" customHeight="1" ht="11.549999999999999">
      <c r="A55" s="988"/>
      <c r="B55" s="1637"/>
      <c r="C55" s="1637"/>
      <c r="D55" s="352"/>
      <c r="K55" s="1161"/>
      <c r="L55" s="1637"/>
      <c r="M55" s="1637"/>
      <c r="N55" s="1161"/>
      <c r="O55" s="1161"/>
      <c r="P55" s="1161"/>
      <c r="Q55" s="1161"/>
      <c r="R55" s="1637"/>
      <c r="S55" s="1161"/>
      <c r="T55" s="1161"/>
      <c r="U55" s="545"/>
      <c r="V55" s="1161"/>
      <c r="W55" s="1161"/>
      <c r="X55" s="1161"/>
      <c r="Y55" s="1161"/>
      <c r="Z55" s="1161"/>
      <c r="AA55" s="1633"/>
      <c r="AB55" s="567"/>
      <c r="AC55" s="567"/>
      <c r="AD55" s="567"/>
      <c r="AE55" s="567"/>
      <c r="AF55" s="1642">
        <v>11</v>
      </c>
    </row>
    <row s="1642" customFormat="1" customHeight="1" ht="11.549999999999999">
      <c r="A56" s="988"/>
      <c r="B56" s="1637"/>
      <c r="C56" s="1637"/>
      <c r="D56" s="352"/>
      <c r="K56" s="1161"/>
      <c r="L56" s="1637"/>
      <c r="M56" s="1637"/>
      <c r="N56" s="1161"/>
      <c r="O56" s="1161"/>
      <c r="P56" s="1161"/>
      <c r="Q56" s="1161"/>
      <c r="R56" s="1637"/>
      <c r="S56" s="1161"/>
      <c r="T56" s="1161"/>
      <c r="U56" s="545"/>
      <c r="V56" s="1161"/>
      <c r="W56" s="1161"/>
      <c r="X56" s="1161"/>
      <c r="Y56" s="1161"/>
      <c r="Z56" s="1161"/>
      <c r="AA56" s="1633"/>
      <c r="AB56" s="567"/>
      <c r="AC56" s="567"/>
      <c r="AD56" s="567"/>
      <c r="AE56" s="567"/>
      <c r="AF56" s="1642">
        <v>11</v>
      </c>
    </row>
    <row s="1642" customFormat="1" customHeight="1" ht="11.549999999999999">
      <c r="A57" s="988"/>
      <c r="B57" s="1637"/>
      <c r="C57" s="1637"/>
      <c r="D57" s="352"/>
      <c r="K57" s="1161"/>
      <c r="L57" s="1637"/>
      <c r="M57" s="1637"/>
      <c r="N57" s="1161"/>
      <c r="O57" s="1161"/>
      <c r="P57" s="1161"/>
      <c r="Q57" s="1161"/>
      <c r="R57" s="1637"/>
      <c r="S57" s="1161"/>
      <c r="T57" s="1161"/>
      <c r="U57" s="545"/>
      <c r="V57" s="1161"/>
      <c r="W57" s="1161"/>
      <c r="X57" s="1161"/>
      <c r="Y57" s="1161"/>
      <c r="Z57" s="1161"/>
      <c r="AA57" s="1633"/>
      <c r="AB57" s="567"/>
      <c r="AC57" s="567"/>
      <c r="AD57" s="567"/>
      <c r="AE57" s="567"/>
      <c r="AF57" s="1642">
        <v>11</v>
      </c>
    </row>
    <row s="1642" customFormat="1" customHeight="1" ht="11.549999999999999">
      <c r="A58" s="988"/>
      <c r="B58" s="1637"/>
      <c r="C58" s="1637"/>
      <c r="D58" s="352"/>
      <c r="K58" s="1161"/>
      <c r="L58" s="1637"/>
      <c r="M58" s="1637"/>
      <c r="N58" s="1161"/>
      <c r="O58" s="1161"/>
      <c r="P58" s="1161"/>
      <c r="Q58" s="1161"/>
      <c r="R58" s="1637"/>
      <c r="S58" s="1161"/>
      <c r="T58" s="1161"/>
      <c r="U58" s="545"/>
      <c r="V58" s="1161"/>
      <c r="W58" s="1161"/>
      <c r="X58" s="1161"/>
      <c r="Y58" s="1161"/>
      <c r="Z58" s="1161"/>
      <c r="AA58" s="1633"/>
      <c r="AB58" s="567"/>
      <c r="AC58" s="567"/>
      <c r="AD58" s="567"/>
      <c r="AE58" s="567"/>
      <c r="AF58" s="1642">
        <v>11</v>
      </c>
    </row>
    <row s="1642" customFormat="1" customHeight="1" ht="11.549999999999999">
      <c r="A59" s="988"/>
      <c r="B59" s="1637"/>
      <c r="C59" s="1637"/>
      <c r="D59" s="352"/>
      <c r="K59" s="1161"/>
      <c r="L59" s="1637"/>
      <c r="M59" s="1637"/>
      <c r="N59" s="1161"/>
      <c r="O59" s="1161"/>
      <c r="P59" s="1161"/>
      <c r="Q59" s="1161"/>
      <c r="R59" s="1637"/>
      <c r="S59" s="1161"/>
      <c r="T59" s="1161"/>
      <c r="U59" s="545"/>
      <c r="V59" s="1161"/>
      <c r="W59" s="1161"/>
      <c r="X59" s="1161"/>
      <c r="Y59" s="1161"/>
      <c r="Z59" s="1161"/>
      <c r="AA59" s="1633"/>
      <c r="AB59" s="567"/>
      <c r="AC59" s="567"/>
      <c r="AD59" s="567"/>
      <c r="AE59" s="567"/>
      <c r="AF59" s="1642">
        <v>11</v>
      </c>
    </row>
    <row s="1642" customFormat="1" customHeight="1" ht="11.549999999999999">
      <c r="A60" s="988"/>
      <c r="B60" s="1637"/>
      <c r="C60" s="1637"/>
      <c r="D60" s="352"/>
      <c r="K60" s="1161"/>
      <c r="L60" s="1637"/>
      <c r="M60" s="1637"/>
      <c r="N60" s="1161"/>
      <c r="O60" s="1161"/>
      <c r="P60" s="1161"/>
      <c r="Q60" s="1161"/>
      <c r="R60" s="1637"/>
      <c r="S60" s="1161"/>
      <c r="T60" s="1161"/>
      <c r="U60" s="545"/>
      <c r="V60" s="1161"/>
      <c r="W60" s="1161"/>
      <c r="X60" s="1161"/>
      <c r="Y60" s="1161"/>
      <c r="Z60" s="1161"/>
      <c r="AA60" s="1633"/>
      <c r="AB60" s="567"/>
      <c r="AC60" s="567"/>
      <c r="AD60" s="567"/>
      <c r="AE60" s="567"/>
      <c r="AF60" s="1642">
        <v>11</v>
      </c>
    </row>
    <row s="1642" customFormat="1" customHeight="1" ht="11.549999999999999">
      <c r="A61" s="988"/>
      <c r="B61" s="1637"/>
      <c r="C61" s="1637"/>
      <c r="D61" s="352"/>
      <c r="K61" s="1161"/>
      <c r="L61" s="1637"/>
      <c r="M61" s="1637"/>
      <c r="N61" s="1161"/>
      <c r="O61" s="1161"/>
      <c r="P61" s="1161"/>
      <c r="Q61" s="1161"/>
      <c r="R61" s="1637"/>
      <c r="S61" s="1161"/>
      <c r="T61" s="1161"/>
      <c r="U61" s="545"/>
      <c r="V61" s="1161"/>
      <c r="W61" s="1161"/>
      <c r="X61" s="1161"/>
      <c r="Y61" s="1161"/>
      <c r="Z61" s="1161"/>
      <c r="AA61" s="1633"/>
      <c r="AB61" s="567"/>
      <c r="AC61" s="567"/>
      <c r="AD61" s="567"/>
      <c r="AE61" s="567"/>
      <c r="AF61" s="1642">
        <v>11</v>
      </c>
    </row>
    <row s="1642" customFormat="1" customHeight="1" ht="11.549999999999999">
      <c r="A62" s="988"/>
      <c r="B62" s="1637"/>
      <c r="C62" s="1637"/>
      <c r="D62" s="352"/>
      <c r="K62" s="1161"/>
      <c r="L62" s="1637"/>
      <c r="M62" s="1637"/>
      <c r="N62" s="1161"/>
      <c r="O62" s="1161"/>
      <c r="P62" s="1161"/>
      <c r="Q62" s="1161"/>
      <c r="R62" s="1637"/>
      <c r="S62" s="1161"/>
      <c r="T62" s="1161"/>
      <c r="U62" s="545"/>
      <c r="V62" s="1161"/>
      <c r="W62" s="1161"/>
      <c r="X62" s="1161"/>
      <c r="Y62" s="1161"/>
      <c r="Z62" s="1161"/>
      <c r="AA62" s="1633"/>
      <c r="AB62" s="567"/>
      <c r="AC62" s="567"/>
      <c r="AD62" s="567"/>
      <c r="AE62" s="567"/>
      <c r="AF62" s="1642">
        <v>11</v>
      </c>
    </row>
    <row s="1642" customFormat="1" customHeight="1" ht="11.549999999999999">
      <c r="A63" s="988"/>
      <c r="B63" s="1637"/>
      <c r="C63" s="1637"/>
      <c r="D63" s="352"/>
      <c r="K63" s="1161"/>
      <c r="L63" s="1637"/>
      <c r="M63" s="1637"/>
      <c r="N63" s="1161"/>
      <c r="O63" s="1161"/>
      <c r="P63" s="1161"/>
      <c r="Q63" s="1161"/>
      <c r="R63" s="1637"/>
      <c r="S63" s="1161"/>
      <c r="T63" s="1161"/>
      <c r="U63" s="545"/>
      <c r="V63" s="1161"/>
      <c r="W63" s="1161"/>
      <c r="X63" s="1161"/>
      <c r="Y63" s="1161"/>
      <c r="Z63" s="1161"/>
      <c r="AA63" s="1633"/>
      <c r="AB63" s="567"/>
      <c r="AC63" s="567"/>
      <c r="AD63" s="567"/>
      <c r="AE63" s="567"/>
      <c r="AF63" s="1642">
        <v>11</v>
      </c>
    </row>
    <row s="1642" customFormat="1" customHeight="1" ht="11.549999999999999">
      <c r="A64" s="988"/>
      <c r="B64" s="1637"/>
      <c r="C64" s="1637"/>
      <c r="D64" s="352"/>
      <c r="K64" s="1161"/>
      <c r="L64" s="1637"/>
      <c r="M64" s="1637"/>
      <c r="N64" s="1161"/>
      <c r="O64" s="1161"/>
      <c r="P64" s="1161"/>
      <c r="Q64" s="1161"/>
      <c r="R64" s="1637"/>
      <c r="S64" s="1161"/>
      <c r="T64" s="1161"/>
      <c r="U64" s="545"/>
      <c r="V64" s="1161"/>
      <c r="W64" s="1161"/>
      <c r="X64" s="1161"/>
      <c r="Y64" s="1161"/>
      <c r="Z64" s="1161"/>
      <c r="AA64" s="1633"/>
      <c r="AB64" s="567"/>
      <c r="AC64" s="567"/>
      <c r="AD64" s="567"/>
      <c r="AE64" s="567"/>
      <c r="AF64" s="1642">
        <v>11</v>
      </c>
    </row>
    <row s="1642" customFormat="1" customHeight="1" ht="11.549999999999999">
      <c r="A65" s="988"/>
      <c r="B65" s="1637"/>
      <c r="C65" s="1637"/>
      <c r="D65" s="352"/>
      <c r="K65" s="1161"/>
      <c r="L65" s="1637"/>
      <c r="M65" s="1637"/>
      <c r="N65" s="1161"/>
      <c r="O65" s="1161"/>
      <c r="P65" s="1161"/>
      <c r="Q65" s="1161"/>
      <c r="R65" s="1637"/>
      <c r="S65" s="1161"/>
      <c r="T65" s="1161"/>
      <c r="U65" s="545"/>
      <c r="V65" s="1161"/>
      <c r="W65" s="1161"/>
      <c r="X65" s="1161"/>
      <c r="Y65" s="1161"/>
      <c r="Z65" s="1161"/>
      <c r="AA65" s="1633"/>
      <c r="AB65" s="567"/>
      <c r="AC65" s="567"/>
      <c r="AD65" s="567"/>
      <c r="AE65" s="567"/>
      <c r="AF65" s="1642">
        <v>11</v>
      </c>
    </row>
    <row s="1642" customFormat="1" customHeight="1" ht="11.549999999999999">
      <c r="A66" s="988"/>
      <c r="B66" s="1637"/>
      <c r="C66" s="1637"/>
      <c r="D66" s="352"/>
      <c r="K66" s="1161"/>
      <c r="L66" s="1637"/>
      <c r="M66" s="1637"/>
      <c r="N66" s="1161"/>
      <c r="O66" s="1161"/>
      <c r="P66" s="1161"/>
      <c r="Q66" s="1161"/>
      <c r="R66" s="1637"/>
      <c r="S66" s="1161"/>
      <c r="T66" s="1161"/>
      <c r="U66" s="545"/>
      <c r="V66" s="1161"/>
      <c r="W66" s="1161"/>
      <c r="X66" s="1161"/>
      <c r="Y66" s="1161"/>
      <c r="Z66" s="1161"/>
      <c r="AA66" s="1633"/>
      <c r="AB66" s="567"/>
      <c r="AC66" s="567"/>
      <c r="AD66" s="567"/>
      <c r="AE66" s="567"/>
      <c r="AF66" s="1642">
        <v>11</v>
      </c>
    </row>
    <row s="1642" customFormat="1" customHeight="1" ht="11.549999999999999">
      <c r="A67" s="988"/>
      <c r="B67" s="1637"/>
      <c r="C67" s="1637"/>
      <c r="D67" s="352"/>
      <c r="K67" s="1161"/>
      <c r="L67" s="1637"/>
      <c r="M67" s="1637"/>
      <c r="N67" s="1161"/>
      <c r="O67" s="1161"/>
      <c r="P67" s="1161"/>
      <c r="Q67" s="1161"/>
      <c r="R67" s="1637"/>
      <c r="S67" s="1161"/>
      <c r="T67" s="1161"/>
      <c r="U67" s="545"/>
      <c r="V67" s="1161"/>
      <c r="W67" s="1161"/>
      <c r="X67" s="1161"/>
      <c r="Y67" s="1161"/>
      <c r="Z67" s="1161"/>
      <c r="AA67" s="1633"/>
      <c r="AB67" s="567"/>
      <c r="AC67" s="567"/>
      <c r="AD67" s="567"/>
      <c r="AE67" s="567"/>
      <c r="AF67" s="1642">
        <v>11</v>
      </c>
    </row>
    <row s="1642" customFormat="1" customHeight="1" ht="11.549999999999999">
      <c r="A68" s="988"/>
      <c r="B68" s="1637"/>
      <c r="C68" s="1637"/>
      <c r="D68" s="352"/>
      <c r="K68" s="1161"/>
      <c r="L68" s="1637"/>
      <c r="M68" s="1637"/>
      <c r="N68" s="1161"/>
      <c r="O68" s="1161"/>
      <c r="P68" s="1161"/>
      <c r="Q68" s="1161"/>
      <c r="R68" s="1637"/>
      <c r="S68" s="1161"/>
      <c r="T68" s="1161"/>
      <c r="U68" s="545"/>
      <c r="V68" s="1161"/>
      <c r="W68" s="1161"/>
      <c r="X68" s="1161"/>
      <c r="Y68" s="1161"/>
      <c r="Z68" s="1161"/>
      <c r="AA68" s="1633"/>
      <c r="AB68" s="567"/>
      <c r="AC68" s="567"/>
      <c r="AD68" s="567"/>
      <c r="AE68" s="567"/>
      <c r="AF68" s="1642">
        <v>11</v>
      </c>
    </row>
    <row s="1642" customFormat="1" customHeight="1" ht="11.549999999999999">
      <c r="A69" s="988"/>
      <c r="B69" s="1637"/>
      <c r="C69" s="1637"/>
      <c r="D69" s="352"/>
      <c r="K69" s="1161"/>
      <c r="L69" s="1637"/>
      <c r="M69" s="1637"/>
      <c r="N69" s="1161"/>
      <c r="O69" s="1161"/>
      <c r="P69" s="1161"/>
      <c r="Q69" s="1161"/>
      <c r="R69" s="1637"/>
      <c r="S69" s="1161"/>
      <c r="T69" s="1161"/>
      <c r="U69" s="545"/>
      <c r="V69" s="1161"/>
      <c r="W69" s="1161"/>
      <c r="X69" s="1161"/>
      <c r="Y69" s="1161"/>
      <c r="Z69" s="1161"/>
      <c r="AA69" s="1633"/>
      <c r="AB69" s="567"/>
      <c r="AC69" s="567"/>
      <c r="AD69" s="567"/>
      <c r="AE69" s="567"/>
      <c r="AF69" s="1642">
        <v>11</v>
      </c>
    </row>
    <row s="1642" customFormat="1" customHeight="1" ht="11.549999999999999">
      <c r="A70" s="988"/>
      <c r="B70" s="1637"/>
      <c r="C70" s="1637"/>
      <c r="D70" s="352"/>
      <c r="K70" s="1161"/>
      <c r="L70" s="1637"/>
      <c r="M70" s="1637"/>
      <c r="N70" s="1161"/>
      <c r="O70" s="1161"/>
      <c r="P70" s="1161"/>
      <c r="Q70" s="1161"/>
      <c r="R70" s="1637"/>
      <c r="S70" s="1161"/>
      <c r="T70" s="1161"/>
      <c r="U70" s="545"/>
      <c r="V70" s="1161"/>
      <c r="W70" s="1161"/>
      <c r="X70" s="1161"/>
      <c r="Y70" s="1161"/>
      <c r="Z70" s="1161"/>
      <c r="AA70" s="1633"/>
      <c r="AB70" s="567"/>
      <c r="AC70" s="567"/>
      <c r="AD70" s="567"/>
      <c r="AE70" s="567"/>
      <c r="AF70" s="1642">
        <v>11</v>
      </c>
    </row>
    <row s="1642" customFormat="1" customHeight="1" ht="11.549999999999999">
      <c r="A71" s="988"/>
      <c r="B71" s="1637"/>
      <c r="C71" s="1637"/>
      <c r="D71" s="352"/>
      <c r="K71" s="1161"/>
      <c r="L71" s="1637"/>
      <c r="M71" s="1637"/>
      <c r="N71" s="1161"/>
      <c r="O71" s="1161"/>
      <c r="P71" s="1161"/>
      <c r="Q71" s="1161"/>
      <c r="R71" s="1637"/>
      <c r="S71" s="1161"/>
      <c r="T71" s="1161"/>
      <c r="U71" s="545"/>
      <c r="V71" s="1161"/>
      <c r="W71" s="1161"/>
      <c r="X71" s="1161"/>
      <c r="Y71" s="1161"/>
      <c r="Z71" s="1161"/>
      <c r="AA71" s="1633"/>
      <c r="AB71" s="567"/>
      <c r="AC71" s="567"/>
      <c r="AD71" s="567"/>
      <c r="AE71" s="567"/>
      <c r="AF71" s="1642">
        <v>11</v>
      </c>
    </row>
    <row s="1642" customFormat="1" customHeight="1" ht="11.549999999999999">
      <c r="A72" s="988"/>
      <c r="B72" s="1637"/>
      <c r="C72" s="1637"/>
      <c r="D72" s="352"/>
      <c r="K72" s="1161"/>
      <c r="L72" s="1637"/>
      <c r="M72" s="1637"/>
      <c r="N72" s="1161"/>
      <c r="O72" s="1161"/>
      <c r="P72" s="1161"/>
      <c r="Q72" s="1161"/>
      <c r="R72" s="1637"/>
      <c r="S72" s="1161"/>
      <c r="T72" s="1161"/>
      <c r="U72" s="545"/>
      <c r="V72" s="1161"/>
      <c r="W72" s="1161"/>
      <c r="X72" s="1161"/>
      <c r="Y72" s="1161"/>
      <c r="Z72" s="1161"/>
      <c r="AA72" s="1633"/>
      <c r="AB72" s="567"/>
      <c r="AC72" s="567"/>
      <c r="AD72" s="567"/>
      <c r="AE72" s="567"/>
      <c r="AF72" s="1642">
        <v>11</v>
      </c>
    </row>
    <row s="1642" customFormat="1" customHeight="1" ht="11.549999999999999">
      <c r="A73" s="988"/>
      <c r="B73" s="1637"/>
      <c r="C73" s="1637"/>
      <c r="D73" s="352"/>
      <c r="K73" s="1161"/>
      <c r="L73" s="1637"/>
      <c r="M73" s="1637"/>
      <c r="N73" s="1161"/>
      <c r="O73" s="1161"/>
      <c r="P73" s="1161"/>
      <c r="Q73" s="1161"/>
      <c r="R73" s="1637"/>
      <c r="S73" s="1161"/>
      <c r="T73" s="1161"/>
      <c r="U73" s="545"/>
      <c r="V73" s="1161"/>
      <c r="W73" s="1161"/>
      <c r="X73" s="1161"/>
      <c r="Y73" s="1161"/>
      <c r="Z73" s="1161"/>
      <c r="AA73" s="1633"/>
      <c r="AB73" s="567"/>
      <c r="AC73" s="567"/>
      <c r="AD73" s="567"/>
      <c r="AE73" s="567"/>
      <c r="AF73" s="1642">
        <v>11</v>
      </c>
    </row>
    <row s="1642" customFormat="1" customHeight="1" ht="11.549999999999999">
      <c r="A74" s="988"/>
      <c r="B74" s="1637"/>
      <c r="C74" s="1637"/>
      <c r="D74" s="352"/>
      <c r="K74" s="1161"/>
      <c r="L74" s="1637"/>
      <c r="M74" s="1637"/>
      <c r="N74" s="1161"/>
      <c r="O74" s="1161"/>
      <c r="P74" s="1161"/>
      <c r="Q74" s="1161"/>
      <c r="R74" s="1637"/>
      <c r="S74" s="1161"/>
      <c r="T74" s="1161"/>
      <c r="U74" s="545"/>
      <c r="V74" s="1161"/>
      <c r="W74" s="1161"/>
      <c r="X74" s="1161"/>
      <c r="Y74" s="1161"/>
      <c r="Z74" s="1161"/>
      <c r="AA74" s="1633"/>
      <c r="AB74" s="567"/>
      <c r="AC74" s="567"/>
      <c r="AD74" s="567"/>
      <c r="AE74" s="567"/>
      <c r="AF74" s="1642">
        <v>11</v>
      </c>
    </row>
    <row s="1642" customFormat="1" customHeight="1" ht="11.549999999999999">
      <c r="A75" s="988"/>
      <c r="B75" s="1637"/>
      <c r="C75" s="1637"/>
      <c r="D75" s="352"/>
      <c r="K75" s="1161"/>
      <c r="L75" s="1637"/>
      <c r="M75" s="1637"/>
      <c r="N75" s="1161"/>
      <c r="O75" s="1161"/>
      <c r="P75" s="1161"/>
      <c r="Q75" s="1161"/>
      <c r="R75" s="1637"/>
      <c r="S75" s="1161"/>
      <c r="T75" s="1161"/>
      <c r="U75" s="545"/>
      <c r="V75" s="1161"/>
      <c r="W75" s="1161"/>
      <c r="X75" s="1161"/>
      <c r="Y75" s="1161"/>
      <c r="Z75" s="1161"/>
      <c r="AA75" s="1633"/>
      <c r="AB75" s="567"/>
      <c r="AC75" s="567"/>
      <c r="AD75" s="567"/>
      <c r="AE75" s="567"/>
      <c r="AF75" s="1642">
        <v>11</v>
      </c>
    </row>
    <row s="1642" customFormat="1" customHeight="1" ht="11.549999999999999">
      <c r="A76" s="988"/>
      <c r="B76" s="1637"/>
      <c r="C76" s="1637"/>
      <c r="D76" s="352"/>
      <c r="K76" s="1161"/>
      <c r="L76" s="1637"/>
      <c r="M76" s="1637"/>
      <c r="N76" s="1161"/>
      <c r="O76" s="1161"/>
      <c r="P76" s="1161"/>
      <c r="Q76" s="1161"/>
      <c r="R76" s="1637"/>
      <c r="S76" s="1161"/>
      <c r="T76" s="1161"/>
      <c r="U76" s="545"/>
      <c r="V76" s="1161"/>
      <c r="W76" s="1161"/>
      <c r="X76" s="1161"/>
      <c r="Y76" s="1161"/>
      <c r="Z76" s="1161"/>
      <c r="AA76" s="1633"/>
      <c r="AB76" s="567"/>
      <c r="AC76" s="567"/>
      <c r="AD76" s="567"/>
      <c r="AE76" s="567"/>
      <c r="AF76" s="1642">
        <v>11</v>
      </c>
    </row>
    <row s="1642" customFormat="1" customHeight="1" ht="11.549999999999999">
      <c r="A77" s="988"/>
      <c r="B77" s="1637"/>
      <c r="C77" s="1637"/>
      <c r="D77" s="352"/>
      <c r="K77" s="1161"/>
      <c r="L77" s="1637"/>
      <c r="M77" s="1637"/>
      <c r="N77" s="1161"/>
      <c r="O77" s="1161"/>
      <c r="P77" s="1161"/>
      <c r="Q77" s="1161"/>
      <c r="R77" s="1637"/>
      <c r="S77" s="1161"/>
      <c r="T77" s="1161"/>
      <c r="U77" s="545"/>
      <c r="V77" s="1161"/>
      <c r="W77" s="1161"/>
      <c r="X77" s="1161"/>
      <c r="Y77" s="1161"/>
      <c r="Z77" s="1161"/>
      <c r="AA77" s="1633"/>
      <c r="AB77" s="567"/>
      <c r="AC77" s="567"/>
      <c r="AD77" s="567"/>
      <c r="AE77" s="567"/>
      <c r="AF77" s="1642">
        <v>11</v>
      </c>
    </row>
    <row s="1642" customFormat="1" customHeight="1" ht="11.549999999999999">
      <c r="A78" s="988"/>
      <c r="B78" s="1637"/>
      <c r="C78" s="1637"/>
      <c r="D78" s="352"/>
      <c r="K78" s="1161"/>
      <c r="L78" s="1637"/>
      <c r="M78" s="1637"/>
      <c r="N78" s="1161"/>
      <c r="O78" s="1161"/>
      <c r="P78" s="1161"/>
      <c r="Q78" s="1161"/>
      <c r="R78" s="1637"/>
      <c r="S78" s="1161"/>
      <c r="T78" s="1161"/>
      <c r="U78" s="545"/>
      <c r="V78" s="1161"/>
      <c r="W78" s="1161"/>
      <c r="X78" s="1161"/>
      <c r="Y78" s="1161"/>
      <c r="Z78" s="1161"/>
      <c r="AA78" s="1633"/>
      <c r="AB78" s="567"/>
      <c r="AC78" s="567"/>
      <c r="AD78" s="567"/>
      <c r="AE78" s="567"/>
      <c r="AF78" s="1642">
        <v>11</v>
      </c>
    </row>
    <row s="1642" customFormat="1" customHeight="1" ht="11.549999999999999">
      <c r="A79" s="988"/>
      <c r="B79" s="1637"/>
      <c r="C79" s="1637"/>
      <c r="D79" s="352"/>
      <c r="K79" s="1161"/>
      <c r="L79" s="1637"/>
      <c r="M79" s="1637"/>
      <c r="N79" s="1161"/>
      <c r="O79" s="1161"/>
      <c r="P79" s="1161"/>
      <c r="Q79" s="1161"/>
      <c r="R79" s="1637"/>
      <c r="S79" s="1161"/>
      <c r="T79" s="1161"/>
      <c r="U79" s="545"/>
      <c r="V79" s="1161"/>
      <c r="W79" s="1161"/>
      <c r="X79" s="1161"/>
      <c r="Y79" s="1161"/>
      <c r="Z79" s="1161"/>
      <c r="AA79" s="1633"/>
      <c r="AB79" s="567"/>
      <c r="AC79" s="567"/>
      <c r="AD79" s="567"/>
      <c r="AE79" s="567"/>
      <c r="AF79" s="1642">
        <v>11</v>
      </c>
    </row>
    <row s="1642" customFormat="1" customHeight="1" ht="11.549999999999999">
      <c r="A80" s="988"/>
      <c r="B80" s="1637"/>
      <c r="C80" s="1637"/>
      <c r="D80" s="352"/>
      <c r="K80" s="1161"/>
      <c r="L80" s="1637"/>
      <c r="M80" s="1637"/>
      <c r="N80" s="1161"/>
      <c r="O80" s="1161"/>
      <c r="P80" s="1161"/>
      <c r="Q80" s="1161"/>
      <c r="R80" s="1637"/>
      <c r="S80" s="1161"/>
      <c r="T80" s="1161"/>
      <c r="U80" s="545"/>
      <c r="V80" s="1161"/>
      <c r="W80" s="1161"/>
      <c r="X80" s="1161"/>
      <c r="Y80" s="1161"/>
      <c r="Z80" s="1161"/>
      <c r="AA80" s="1633"/>
      <c r="AB80" s="567"/>
      <c r="AC80" s="567"/>
      <c r="AD80" s="567"/>
      <c r="AE80" s="567"/>
      <c r="AF80" s="1642">
        <v>11</v>
      </c>
    </row>
    <row s="1642" customFormat="1" customHeight="1" ht="11.549999999999999">
      <c r="A81" s="988"/>
      <c r="B81" s="1637"/>
      <c r="C81" s="1637"/>
      <c r="D81" s="352"/>
      <c r="K81" s="1161"/>
      <c r="L81" s="1637"/>
      <c r="M81" s="1637"/>
      <c r="N81" s="1161"/>
      <c r="O81" s="1161"/>
      <c r="P81" s="1161"/>
      <c r="Q81" s="1161"/>
      <c r="R81" s="1637"/>
      <c r="S81" s="1161"/>
      <c r="T81" s="1161"/>
      <c r="U81" s="545"/>
      <c r="V81" s="1161"/>
      <c r="W81" s="1161"/>
      <c r="X81" s="1161"/>
      <c r="Y81" s="1161"/>
      <c r="Z81" s="1161"/>
      <c r="AA81" s="1633"/>
      <c r="AB81" s="567"/>
      <c r="AC81" s="567"/>
      <c r="AD81" s="567"/>
      <c r="AE81" s="567"/>
      <c r="AF81" s="1642">
        <v>11</v>
      </c>
    </row>
    <row s="1642" customFormat="1" customHeight="1" ht="11.549999999999999">
      <c r="A82" s="988"/>
      <c r="B82" s="1637"/>
      <c r="C82" s="1637"/>
      <c r="D82" s="352"/>
      <c r="K82" s="1161"/>
      <c r="L82" s="1637"/>
      <c r="M82" s="1637"/>
      <c r="N82" s="1161"/>
      <c r="O82" s="1161"/>
      <c r="P82" s="1161"/>
      <c r="Q82" s="1161"/>
      <c r="R82" s="1637"/>
      <c r="S82" s="1161"/>
      <c r="T82" s="1161"/>
      <c r="U82" s="545"/>
      <c r="V82" s="1161"/>
      <c r="W82" s="1161"/>
      <c r="X82" s="1161"/>
      <c r="Y82" s="1161"/>
      <c r="Z82" s="1161"/>
      <c r="AA82" s="1633"/>
      <c r="AB82" s="567"/>
      <c r="AC82" s="567"/>
      <c r="AD82" s="567"/>
      <c r="AE82" s="567"/>
      <c r="AF82" s="1642">
        <v>11</v>
      </c>
    </row>
    <row s="1642" customFormat="1" customHeight="1" ht="11.549999999999999">
      <c r="A83" s="988"/>
      <c r="B83" s="1637"/>
      <c r="C83" s="1637"/>
      <c r="D83" s="352"/>
      <c r="K83" s="1161"/>
      <c r="L83" s="1637"/>
      <c r="M83" s="1637"/>
      <c r="N83" s="1161"/>
      <c r="O83" s="1161"/>
      <c r="P83" s="1161"/>
      <c r="Q83" s="1161"/>
      <c r="R83" s="1637"/>
      <c r="S83" s="1161"/>
      <c r="T83" s="1161"/>
      <c r="U83" s="545"/>
      <c r="V83" s="1161"/>
      <c r="W83" s="1161"/>
      <c r="X83" s="1161"/>
      <c r="Y83" s="1161"/>
      <c r="Z83" s="1161"/>
      <c r="AA83" s="1633"/>
      <c r="AB83" s="567"/>
      <c r="AC83" s="567"/>
      <c r="AD83" s="567"/>
      <c r="AE83" s="567"/>
      <c r="AF83" s="1642">
        <v>11</v>
      </c>
    </row>
    <row s="1642" customFormat="1" customHeight="1" ht="11.549999999999999">
      <c r="A84" s="988"/>
      <c r="B84" s="1637"/>
      <c r="C84" s="1637"/>
      <c r="D84" s="352"/>
      <c r="K84" s="1161"/>
      <c r="L84" s="1637"/>
      <c r="M84" s="1637"/>
      <c r="N84" s="1161"/>
      <c r="O84" s="1161"/>
      <c r="P84" s="1161"/>
      <c r="Q84" s="1161"/>
      <c r="R84" s="1637"/>
      <c r="S84" s="1161"/>
      <c r="T84" s="1161"/>
      <c r="U84" s="545"/>
      <c r="V84" s="1161"/>
      <c r="W84" s="1161"/>
      <c r="X84" s="1161"/>
      <c r="Y84" s="1161"/>
      <c r="Z84" s="1161"/>
      <c r="AA84" s="1633"/>
      <c r="AB84" s="567"/>
      <c r="AC84" s="567"/>
      <c r="AD84" s="567"/>
      <c r="AE84" s="567"/>
      <c r="AF84" s="1642">
        <v>11</v>
      </c>
    </row>
    <row s="1642" customFormat="1" customHeight="1" ht="11.549999999999999">
      <c r="A85" s="988"/>
      <c r="B85" s="1637"/>
      <c r="C85" s="1637"/>
      <c r="D85" s="352"/>
      <c r="K85" s="1161"/>
      <c r="L85" s="1637"/>
      <c r="M85" s="1637"/>
      <c r="N85" s="1161"/>
      <c r="O85" s="1161"/>
      <c r="P85" s="1161"/>
      <c r="Q85" s="1161"/>
      <c r="R85" s="1637"/>
      <c r="S85" s="1161"/>
      <c r="T85" s="1161"/>
      <c r="U85" s="545"/>
      <c r="V85" s="1161"/>
      <c r="W85" s="1161"/>
      <c r="X85" s="1161"/>
      <c r="Y85" s="1161"/>
      <c r="Z85" s="1161"/>
      <c r="AA85" s="1633"/>
      <c r="AB85" s="567"/>
      <c r="AC85" s="567"/>
      <c r="AD85" s="567"/>
      <c r="AE85" s="567"/>
      <c r="AF85" s="1642">
        <v>11</v>
      </c>
    </row>
    <row s="1642" customFormat="1" customHeight="1" ht="11.549999999999999">
      <c r="A86" s="988"/>
      <c r="B86" s="1637"/>
      <c r="C86" s="1637"/>
      <c r="D86" s="352"/>
      <c r="K86" s="1161"/>
      <c r="L86" s="1637"/>
      <c r="M86" s="1637"/>
      <c r="N86" s="1161"/>
      <c r="O86" s="1161"/>
      <c r="P86" s="1161"/>
      <c r="Q86" s="1161"/>
      <c r="R86" s="1637"/>
      <c r="S86" s="1161"/>
      <c r="T86" s="1161"/>
      <c r="U86" s="545"/>
      <c r="V86" s="1161"/>
      <c r="W86" s="1161"/>
      <c r="X86" s="1161"/>
      <c r="Y86" s="1161"/>
      <c r="Z86" s="1161"/>
      <c r="AA86" s="1633"/>
      <c r="AB86" s="567"/>
      <c r="AC86" s="567"/>
      <c r="AD86" s="567"/>
      <c r="AE86" s="567"/>
      <c r="AF86" s="1642">
        <v>11</v>
      </c>
    </row>
    <row s="1642" customFormat="1" customHeight="1" ht="11.549999999999999">
      <c r="A87" s="988"/>
      <c r="B87" s="1637"/>
      <c r="C87" s="1637"/>
      <c r="D87" s="352"/>
      <c r="K87" s="1161"/>
      <c r="L87" s="1637"/>
      <c r="M87" s="1637"/>
      <c r="N87" s="1161"/>
      <c r="O87" s="1161"/>
      <c r="P87" s="1161"/>
      <c r="Q87" s="1161"/>
      <c r="R87" s="1637"/>
      <c r="S87" s="1161"/>
      <c r="T87" s="1161"/>
      <c r="U87" s="545"/>
      <c r="V87" s="1161"/>
      <c r="W87" s="1161"/>
      <c r="X87" s="1161"/>
      <c r="Y87" s="1161"/>
      <c r="Z87" s="1161"/>
      <c r="AA87" s="1633"/>
      <c r="AB87" s="567"/>
      <c r="AC87" s="567"/>
      <c r="AD87" s="567"/>
      <c r="AE87" s="567"/>
      <c r="AF87" s="1642">
        <v>11</v>
      </c>
    </row>
    <row s="1642" customFormat="1" customHeight="1" ht="11.549999999999999">
      <c r="A88" s="988"/>
      <c r="B88" s="1637"/>
      <c r="C88" s="1637"/>
      <c r="D88" s="352"/>
      <c r="K88" s="1161"/>
      <c r="L88" s="1637"/>
      <c r="M88" s="1637"/>
      <c r="N88" s="1161"/>
      <c r="O88" s="1161"/>
      <c r="P88" s="1161"/>
      <c r="Q88" s="1161"/>
      <c r="R88" s="1637"/>
      <c r="S88" s="1161"/>
      <c r="T88" s="1161"/>
      <c r="U88" s="545"/>
      <c r="V88" s="1161"/>
      <c r="W88" s="1161"/>
      <c r="X88" s="1161"/>
      <c r="Y88" s="1161"/>
      <c r="Z88" s="1161"/>
      <c r="AA88" s="1633"/>
      <c r="AB88" s="567"/>
      <c r="AC88" s="567"/>
      <c r="AD88" s="567"/>
      <c r="AE88" s="567"/>
      <c r="AF88" s="1642">
        <v>11</v>
      </c>
    </row>
    <row s="1642" customFormat="1" customHeight="1" ht="11.549999999999999">
      <c r="A89" s="988"/>
      <c r="B89" s="1637"/>
      <c r="C89" s="1637"/>
      <c r="D89" s="352"/>
      <c r="K89" s="1161"/>
      <c r="L89" s="1637"/>
      <c r="M89" s="1637"/>
      <c r="N89" s="1161"/>
      <c r="O89" s="1161"/>
      <c r="P89" s="1161"/>
      <c r="Q89" s="1161"/>
      <c r="R89" s="1637"/>
      <c r="S89" s="1161"/>
      <c r="T89" s="1161"/>
      <c r="U89" s="545"/>
      <c r="V89" s="1161"/>
      <c r="W89" s="1161"/>
      <c r="X89" s="1161"/>
      <c r="Y89" s="1161"/>
      <c r="Z89" s="1161"/>
      <c r="AA89" s="1633"/>
      <c r="AB89" s="567"/>
      <c r="AC89" s="567"/>
      <c r="AD89" s="567"/>
      <c r="AE89" s="567"/>
      <c r="AF89" s="1642">
        <v>11</v>
      </c>
    </row>
    <row s="1642" customFormat="1" customHeight="1" ht="11.549999999999999">
      <c r="A90" s="988"/>
      <c r="B90" s="1637"/>
      <c r="C90" s="1637"/>
      <c r="D90" s="352"/>
      <c r="K90" s="1161"/>
      <c r="L90" s="1637"/>
      <c r="M90" s="1637"/>
      <c r="N90" s="1161"/>
      <c r="O90" s="1161"/>
      <c r="P90" s="1161"/>
      <c r="Q90" s="1161"/>
      <c r="R90" s="1637"/>
      <c r="S90" s="1161"/>
      <c r="T90" s="1161"/>
      <c r="U90" s="545"/>
      <c r="V90" s="1161"/>
      <c r="W90" s="1161"/>
      <c r="X90" s="1161"/>
      <c r="Y90" s="1161"/>
      <c r="Z90" s="1161"/>
      <c r="AA90" s="1633"/>
      <c r="AB90" s="567"/>
      <c r="AC90" s="567"/>
      <c r="AD90" s="567"/>
      <c r="AE90" s="567"/>
      <c r="AF90" s="1642">
        <v>11</v>
      </c>
    </row>
    <row s="1642" customFormat="1" customHeight="1" ht="11.549999999999999">
      <c r="A91" s="988"/>
      <c r="B91" s="1637"/>
      <c r="C91" s="1637"/>
      <c r="D91" s="352"/>
      <c r="K91" s="1161"/>
      <c r="L91" s="1637"/>
      <c r="M91" s="1637"/>
      <c r="N91" s="1161"/>
      <c r="O91" s="1161"/>
      <c r="P91" s="1161"/>
      <c r="Q91" s="1161"/>
      <c r="R91" s="1637"/>
      <c r="S91" s="1161"/>
      <c r="T91" s="1161"/>
      <c r="U91" s="545"/>
      <c r="V91" s="1161"/>
      <c r="W91" s="1161"/>
      <c r="X91" s="1161"/>
      <c r="Y91" s="1161"/>
      <c r="Z91" s="1161"/>
      <c r="AA91" s="1633"/>
      <c r="AB91" s="567"/>
      <c r="AC91" s="567"/>
      <c r="AD91" s="567"/>
      <c r="AE91" s="567"/>
      <c r="AF91" s="1642">
        <v>11</v>
      </c>
    </row>
    <row s="1642" customFormat="1" customHeight="1" ht="11.549999999999999">
      <c r="A92" s="988"/>
      <c r="B92" s="1637"/>
      <c r="C92" s="1637"/>
      <c r="D92" s="352"/>
      <c r="K92" s="1161"/>
      <c r="L92" s="1637"/>
      <c r="M92" s="1637"/>
      <c r="N92" s="1161"/>
      <c r="O92" s="1161"/>
      <c r="P92" s="1161"/>
      <c r="Q92" s="1161"/>
      <c r="R92" s="1637"/>
      <c r="S92" s="1161"/>
      <c r="T92" s="1161"/>
      <c r="U92" s="545"/>
      <c r="V92" s="1161"/>
      <c r="W92" s="1161"/>
      <c r="X92" s="1161"/>
      <c r="Y92" s="1161"/>
      <c r="Z92" s="1161"/>
      <c r="AA92" s="1633"/>
      <c r="AB92" s="567"/>
      <c r="AC92" s="567"/>
      <c r="AD92" s="567"/>
      <c r="AE92" s="567"/>
      <c r="AF92" s="1642">
        <v>11</v>
      </c>
    </row>
    <row s="1642" customFormat="1" customHeight="1" ht="11.549999999999999">
      <c r="A93" s="988"/>
      <c r="B93" s="1637"/>
      <c r="C93" s="1637"/>
      <c r="D93" s="352"/>
      <c r="K93" s="1161"/>
      <c r="L93" s="1637"/>
      <c r="M93" s="1637"/>
      <c r="N93" s="1161"/>
      <c r="O93" s="1161"/>
      <c r="P93" s="1161"/>
      <c r="Q93" s="1161"/>
      <c r="R93" s="1637"/>
      <c r="S93" s="1161"/>
      <c r="T93" s="1161"/>
      <c r="U93" s="545"/>
      <c r="V93" s="1161"/>
      <c r="W93" s="1161"/>
      <c r="X93" s="1161"/>
      <c r="Y93" s="1161"/>
      <c r="Z93" s="1161"/>
      <c r="AA93" s="1633"/>
      <c r="AB93" s="567"/>
      <c r="AC93" s="567"/>
      <c r="AD93" s="567"/>
      <c r="AE93" s="567"/>
      <c r="AF93" s="1642">
        <v>11</v>
      </c>
    </row>
    <row s="1642" customFormat="1" customHeight="1" ht="11.549999999999999">
      <c r="A94" s="988"/>
      <c r="B94" s="1637"/>
      <c r="C94" s="1637"/>
      <c r="D94" s="352"/>
      <c r="K94" s="1161"/>
      <c r="L94" s="1637"/>
      <c r="M94" s="1637"/>
      <c r="N94" s="1161"/>
      <c r="O94" s="1161"/>
      <c r="P94" s="1161"/>
      <c r="Q94" s="1161"/>
      <c r="R94" s="1637"/>
      <c r="S94" s="1161"/>
      <c r="T94" s="1161"/>
      <c r="U94" s="545"/>
      <c r="V94" s="1161"/>
      <c r="W94" s="1161"/>
      <c r="X94" s="1161"/>
      <c r="Y94" s="1161"/>
      <c r="Z94" s="1161"/>
      <c r="AA94" s="1633"/>
      <c r="AB94" s="567"/>
      <c r="AC94" s="567"/>
      <c r="AD94" s="567"/>
      <c r="AE94" s="567"/>
      <c r="AF94" s="1642">
        <v>11</v>
      </c>
    </row>
    <row s="1642" customFormat="1" customHeight="1" ht="11.549999999999999">
      <c r="A95" s="988"/>
      <c r="B95" s="1637"/>
      <c r="C95" s="1637"/>
      <c r="D95" s="352"/>
      <c r="K95" s="1161"/>
      <c r="L95" s="1637"/>
      <c r="M95" s="1637"/>
      <c r="N95" s="1161"/>
      <c r="O95" s="1161"/>
      <c r="P95" s="1161"/>
      <c r="Q95" s="1161"/>
      <c r="R95" s="1637"/>
      <c r="S95" s="1161"/>
      <c r="T95" s="1161"/>
      <c r="U95" s="545"/>
      <c r="V95" s="1161"/>
      <c r="W95" s="1161"/>
      <c r="X95" s="1161"/>
      <c r="Y95" s="1161"/>
      <c r="Z95" s="1161"/>
      <c r="AA95" s="1633"/>
      <c r="AB95" s="567"/>
      <c r="AC95" s="567"/>
      <c r="AD95" s="567"/>
      <c r="AE95" s="567"/>
      <c r="AF95" s="1642">
        <v>11</v>
      </c>
    </row>
    <row s="1642" customFormat="1" customHeight="1" ht="11.549999999999999">
      <c r="A96" s="988"/>
      <c r="B96" s="1637"/>
      <c r="C96" s="1637"/>
      <c r="D96" s="352"/>
      <c r="K96" s="1161"/>
      <c r="L96" s="1637"/>
      <c r="M96" s="1637"/>
      <c r="N96" s="1161"/>
      <c r="O96" s="1161"/>
      <c r="P96" s="1161"/>
      <c r="Q96" s="1161"/>
      <c r="R96" s="1637"/>
      <c r="S96" s="1161"/>
      <c r="T96" s="1161"/>
      <c r="U96" s="545"/>
      <c r="V96" s="1161"/>
      <c r="W96" s="1161"/>
      <c r="X96" s="1161"/>
      <c r="Y96" s="1161"/>
      <c r="Z96" s="1161"/>
      <c r="AA96" s="1633"/>
      <c r="AB96" s="567"/>
      <c r="AC96" s="567"/>
      <c r="AD96" s="567"/>
      <c r="AE96" s="567"/>
      <c r="AF96" s="1642">
        <v>11</v>
      </c>
    </row>
    <row s="1642" customFormat="1" customHeight="1" ht="11.549999999999999">
      <c r="A97" s="988"/>
      <c r="B97" s="1637"/>
      <c r="C97" s="1637"/>
      <c r="D97" s="352"/>
      <c r="K97" s="1161"/>
      <c r="L97" s="1637"/>
      <c r="M97" s="1637"/>
      <c r="N97" s="1161"/>
      <c r="O97" s="1161"/>
      <c r="P97" s="1161"/>
      <c r="Q97" s="1161"/>
      <c r="R97" s="1637"/>
      <c r="S97" s="1161"/>
      <c r="T97" s="1161"/>
      <c r="U97" s="545"/>
      <c r="V97" s="1161"/>
      <c r="W97" s="1161"/>
      <c r="X97" s="1161"/>
      <c r="Y97" s="1161"/>
      <c r="Z97" s="1161"/>
      <c r="AA97" s="1633"/>
      <c r="AB97" s="567"/>
      <c r="AC97" s="567"/>
      <c r="AD97" s="567"/>
      <c r="AE97" s="567"/>
      <c r="AF97" s="1642">
        <v>11</v>
      </c>
    </row>
    <row s="1642" customFormat="1" customHeight="1" ht="11.549999999999999">
      <c r="A98" s="988"/>
      <c r="B98" s="1637"/>
      <c r="C98" s="1637"/>
      <c r="D98" s="352"/>
      <c r="K98" s="1161"/>
      <c r="L98" s="1637"/>
      <c r="M98" s="1637"/>
      <c r="N98" s="1161"/>
      <c r="O98" s="1161"/>
      <c r="P98" s="1161"/>
      <c r="Q98" s="1161"/>
      <c r="R98" s="1637"/>
      <c r="S98" s="1161"/>
      <c r="T98" s="1161"/>
      <c r="U98" s="545"/>
      <c r="V98" s="1161"/>
      <c r="W98" s="1161"/>
      <c r="X98" s="1161"/>
      <c r="Y98" s="1161"/>
      <c r="Z98" s="1161"/>
      <c r="AA98" s="1633"/>
      <c r="AB98" s="567"/>
      <c r="AC98" s="567"/>
      <c r="AD98" s="567"/>
      <c r="AE98" s="567"/>
      <c r="AF98" s="1642">
        <v>11</v>
      </c>
    </row>
    <row s="1642" customFormat="1" customHeight="1" ht="11.549999999999999">
      <c r="A99" s="988"/>
      <c r="B99" s="1637"/>
      <c r="C99" s="1637"/>
      <c r="D99" s="352"/>
      <c r="K99" s="1161"/>
      <c r="L99" s="1637"/>
      <c r="M99" s="1637"/>
      <c r="N99" s="1161"/>
      <c r="O99" s="1161"/>
      <c r="P99" s="1161"/>
      <c r="Q99" s="1161"/>
      <c r="R99" s="1637"/>
      <c r="S99" s="1161"/>
      <c r="T99" s="1161"/>
      <c r="U99" s="545"/>
      <c r="V99" s="1161"/>
      <c r="W99" s="1161"/>
      <c r="X99" s="1161"/>
      <c r="Y99" s="1161"/>
      <c r="Z99" s="1161"/>
      <c r="AA99" s="1633"/>
      <c r="AB99" s="567"/>
      <c r="AC99" s="567"/>
      <c r="AD99" s="567"/>
      <c r="AE99" s="567"/>
      <c r="AF99" s="1642">
        <v>11</v>
      </c>
    </row>
    <row s="1642" customFormat="1" customHeight="1" ht="11.549999999999999">
      <c r="A100" s="988"/>
      <c r="B100" s="1637"/>
      <c r="C100" s="1637"/>
      <c r="D100" s="352"/>
      <c r="K100" s="1161"/>
      <c r="L100" s="1637"/>
      <c r="M100" s="1637"/>
      <c r="N100" s="1161"/>
      <c r="O100" s="1161"/>
      <c r="P100" s="1161"/>
      <c r="Q100" s="1161"/>
      <c r="R100" s="1637"/>
      <c r="S100" s="1161"/>
      <c r="T100" s="1161"/>
      <c r="U100" s="545"/>
      <c r="V100" s="1161"/>
      <c r="W100" s="1161"/>
      <c r="X100" s="1161"/>
      <c r="Y100" s="1161"/>
      <c r="Z100" s="1161"/>
      <c r="AA100" s="1633"/>
      <c r="AB100" s="567"/>
      <c r="AC100" s="567"/>
      <c r="AD100" s="567"/>
      <c r="AE100" s="567"/>
      <c r="AF100" s="1642">
        <v>11</v>
      </c>
    </row>
    <row s="1642" customFormat="1" customHeight="1" ht="11.549999999999999">
      <c r="A101" s="988"/>
      <c r="B101" s="1637"/>
      <c r="C101" s="1637"/>
      <c r="D101" s="352"/>
      <c r="K101" s="1161"/>
      <c r="L101" s="1637"/>
      <c r="M101" s="1637"/>
      <c r="N101" s="1161"/>
      <c r="O101" s="1161"/>
      <c r="P101" s="1161"/>
      <c r="Q101" s="1161"/>
      <c r="R101" s="1637"/>
      <c r="S101" s="1161"/>
      <c r="T101" s="1161"/>
      <c r="U101" s="545"/>
      <c r="V101" s="1161"/>
      <c r="W101" s="1161"/>
      <c r="X101" s="1161"/>
      <c r="Y101" s="1161"/>
      <c r="Z101" s="1161"/>
      <c r="AA101" s="1633"/>
      <c r="AB101" s="567"/>
      <c r="AC101" s="567"/>
      <c r="AD101" s="567"/>
      <c r="AE101" s="567"/>
      <c r="AF101" s="1642">
        <v>11</v>
      </c>
    </row>
    <row s="1642" customFormat="1" customHeight="1" ht="11.549999999999999">
      <c r="A102" s="988"/>
      <c r="B102" s="1637"/>
      <c r="C102" s="1637"/>
      <c r="D102" s="352"/>
      <c r="K102" s="1161"/>
      <c r="L102" s="1637"/>
      <c r="M102" s="1637"/>
      <c r="N102" s="1161"/>
      <c r="O102" s="1161"/>
      <c r="P102" s="1161"/>
      <c r="Q102" s="1161"/>
      <c r="R102" s="1637"/>
      <c r="S102" s="1161"/>
      <c r="T102" s="1161"/>
      <c r="U102" s="545"/>
      <c r="V102" s="1161"/>
      <c r="W102" s="1161"/>
      <c r="X102" s="1161"/>
      <c r="Y102" s="1161"/>
      <c r="Z102" s="1161"/>
      <c r="AA102" s="1633"/>
      <c r="AB102" s="567"/>
      <c r="AC102" s="567"/>
      <c r="AD102" s="567"/>
      <c r="AE102" s="567"/>
      <c r="AF102" s="1642">
        <v>11</v>
      </c>
    </row>
    <row s="1642" customFormat="1" customHeight="1" ht="11.549999999999999">
      <c r="A103" s="988"/>
      <c r="B103" s="1637"/>
      <c r="C103" s="1637"/>
      <c r="D103" s="352"/>
      <c r="K103" s="1161"/>
      <c r="L103" s="1637"/>
      <c r="M103" s="1637"/>
      <c r="N103" s="1161"/>
      <c r="O103" s="1161"/>
      <c r="P103" s="1161"/>
      <c r="Q103" s="1161"/>
      <c r="R103" s="1637"/>
      <c r="S103" s="1161"/>
      <c r="T103" s="1161"/>
      <c r="U103" s="545"/>
      <c r="V103" s="1161"/>
      <c r="W103" s="1161"/>
      <c r="X103" s="1161"/>
      <c r="Y103" s="1161"/>
      <c r="Z103" s="1161"/>
      <c r="AA103" s="1633"/>
      <c r="AB103" s="567"/>
      <c r="AC103" s="567"/>
      <c r="AD103" s="567"/>
      <c r="AE103" s="567"/>
      <c r="AF103" s="1642">
        <v>11</v>
      </c>
    </row>
    <row s="1642" customFormat="1" customHeight="1" ht="11.549999999999999">
      <c r="A104" s="988"/>
      <c r="B104" s="1637"/>
      <c r="C104" s="1637"/>
      <c r="D104" s="352"/>
      <c r="K104" s="1161"/>
      <c r="L104" s="1637"/>
      <c r="M104" s="1637"/>
      <c r="N104" s="1161"/>
      <c r="O104" s="1161"/>
      <c r="P104" s="1161"/>
      <c r="Q104" s="1161"/>
      <c r="R104" s="1637"/>
      <c r="S104" s="1161"/>
      <c r="T104" s="1161"/>
      <c r="U104" s="545"/>
      <c r="V104" s="1161"/>
      <c r="W104" s="1161"/>
      <c r="X104" s="1161"/>
      <c r="Y104" s="1161"/>
      <c r="Z104" s="1161"/>
      <c r="AA104" s="1633"/>
      <c r="AB104" s="567"/>
      <c r="AC104" s="567"/>
      <c r="AD104" s="567"/>
      <c r="AE104" s="567"/>
      <c r="AF104" s="1642">
        <v>11</v>
      </c>
    </row>
    <row s="1642" customFormat="1" customHeight="1" ht="11.549999999999999">
      <c r="A105" s="988"/>
      <c r="B105" s="1637"/>
      <c r="C105" s="1637"/>
      <c r="D105" s="352"/>
      <c r="K105" s="1161"/>
      <c r="L105" s="1637"/>
      <c r="M105" s="1637"/>
      <c r="N105" s="1161"/>
      <c r="O105" s="1161"/>
      <c r="P105" s="1161"/>
      <c r="Q105" s="1161"/>
      <c r="R105" s="1637"/>
      <c r="S105" s="1161"/>
      <c r="T105" s="1161"/>
      <c r="U105" s="545"/>
      <c r="V105" s="1161"/>
      <c r="W105" s="1161"/>
      <c r="X105" s="1161"/>
      <c r="Y105" s="1161"/>
      <c r="Z105" s="1161"/>
      <c r="AA105" s="1633"/>
      <c r="AB105" s="567"/>
      <c r="AC105" s="567"/>
      <c r="AD105" s="567"/>
      <c r="AE105" s="567"/>
      <c r="AF105" s="1642">
        <v>11</v>
      </c>
    </row>
    <row s="1642" customFormat="1" customHeight="1" ht="11.549999999999999">
      <c r="A106" s="988"/>
      <c r="B106" s="1637"/>
      <c r="C106" s="1637"/>
      <c r="D106" s="352"/>
      <c r="K106" s="1161"/>
      <c r="L106" s="1637"/>
      <c r="M106" s="1637"/>
      <c r="N106" s="1161"/>
      <c r="O106" s="1161"/>
      <c r="P106" s="1161"/>
      <c r="Q106" s="1161"/>
      <c r="R106" s="1637"/>
      <c r="S106" s="1161"/>
      <c r="T106" s="1161"/>
      <c r="U106" s="545"/>
      <c r="V106" s="1161"/>
      <c r="W106" s="1161"/>
      <c r="X106" s="1161"/>
      <c r="Y106" s="1161"/>
      <c r="Z106" s="1161"/>
      <c r="AA106" s="1633"/>
      <c r="AB106" s="567"/>
      <c r="AC106" s="567"/>
      <c r="AD106" s="567"/>
      <c r="AE106" s="567"/>
      <c r="AF106" s="1642">
        <v>11</v>
      </c>
    </row>
    <row s="1642" customFormat="1" customHeight="1" ht="11.549999999999999">
      <c r="A107" s="988"/>
      <c r="B107" s="1637"/>
      <c r="C107" s="1637"/>
      <c r="D107" s="352"/>
      <c r="K107" s="1161"/>
      <c r="L107" s="1637"/>
      <c r="M107" s="1637"/>
      <c r="N107" s="1161"/>
      <c r="O107" s="1161"/>
      <c r="P107" s="1161"/>
      <c r="Q107" s="1161"/>
      <c r="R107" s="1637"/>
      <c r="S107" s="1161"/>
      <c r="T107" s="1161"/>
      <c r="U107" s="545"/>
      <c r="V107" s="1161"/>
      <c r="W107" s="1161"/>
      <c r="X107" s="1161"/>
      <c r="Y107" s="1161"/>
      <c r="Z107" s="1161"/>
      <c r="AA107" s="1633"/>
      <c r="AB107" s="567"/>
      <c r="AC107" s="567"/>
      <c r="AD107" s="567"/>
      <c r="AE107" s="567"/>
      <c r="AF107" s="1642">
        <v>11</v>
      </c>
    </row>
    <row s="1642" customFormat="1" customHeight="1" ht="11.549999999999999">
      <c r="A108" s="988"/>
      <c r="B108" s="1637"/>
      <c r="C108" s="1637"/>
      <c r="D108" s="352"/>
      <c r="K108" s="1161"/>
      <c r="L108" s="1637"/>
      <c r="M108" s="1637"/>
      <c r="N108" s="1161"/>
      <c r="O108" s="1161"/>
      <c r="P108" s="1161"/>
      <c r="Q108" s="1161"/>
      <c r="R108" s="1637"/>
      <c r="S108" s="1161"/>
      <c r="T108" s="1161"/>
      <c r="U108" s="545"/>
      <c r="V108" s="1161"/>
      <c r="W108" s="1161"/>
      <c r="X108" s="1161"/>
      <c r="Y108" s="1161"/>
      <c r="Z108" s="1161"/>
      <c r="AA108" s="1633"/>
      <c r="AB108" s="567"/>
      <c r="AC108" s="567"/>
      <c r="AD108" s="567"/>
      <c r="AE108" s="567"/>
      <c r="AF108" s="1642">
        <v>11</v>
      </c>
    </row>
    <row s="1642" customFormat="1" customHeight="1" ht="11.549999999999999">
      <c r="A109" s="988"/>
      <c r="B109" s="1637"/>
      <c r="C109" s="1637"/>
      <c r="D109" s="352"/>
      <c r="K109" s="1161"/>
      <c r="L109" s="1637"/>
      <c r="M109" s="1637"/>
      <c r="N109" s="1161"/>
      <c r="O109" s="1161"/>
      <c r="P109" s="1161"/>
      <c r="Q109" s="1161"/>
      <c r="R109" s="1637"/>
      <c r="S109" s="1161"/>
      <c r="T109" s="1161"/>
      <c r="U109" s="545"/>
      <c r="V109" s="1161"/>
      <c r="W109" s="1161"/>
      <c r="X109" s="1161"/>
      <c r="Y109" s="1161"/>
      <c r="Z109" s="1161"/>
      <c r="AA109" s="1633"/>
      <c r="AB109" s="567"/>
      <c r="AC109" s="567"/>
      <c r="AD109" s="567"/>
      <c r="AE109" s="567"/>
      <c r="AF109" s="1642">
        <v>11</v>
      </c>
    </row>
    <row s="1642" customFormat="1" customHeight="1" ht="11.549999999999999">
      <c r="A110" s="988"/>
      <c r="B110" s="1637"/>
      <c r="C110" s="1637"/>
      <c r="D110" s="352"/>
      <c r="K110" s="1161"/>
      <c r="L110" s="1637"/>
      <c r="M110" s="1637"/>
      <c r="N110" s="1161"/>
      <c r="O110" s="1161"/>
      <c r="P110" s="1161"/>
      <c r="Q110" s="1161"/>
      <c r="R110" s="1637"/>
      <c r="S110" s="1161"/>
      <c r="T110" s="1161"/>
      <c r="U110" s="545"/>
      <c r="V110" s="1161"/>
      <c r="W110" s="1161"/>
      <c r="X110" s="1161"/>
      <c r="Y110" s="1161"/>
      <c r="Z110" s="1161"/>
      <c r="AA110" s="1633"/>
      <c r="AB110" s="567"/>
      <c r="AC110" s="567"/>
      <c r="AD110" s="567"/>
      <c r="AE110" s="567"/>
      <c r="AF110" s="1642">
        <v>11</v>
      </c>
    </row>
    <row s="1642" customFormat="1" customHeight="1" ht="11.549999999999999">
      <c r="A111" s="988"/>
      <c r="B111" s="1637"/>
      <c r="C111" s="1637"/>
      <c r="D111" s="352"/>
      <c r="K111" s="1161"/>
      <c r="L111" s="1637"/>
      <c r="M111" s="1637"/>
      <c r="N111" s="1161"/>
      <c r="O111" s="1161"/>
      <c r="P111" s="1161"/>
      <c r="Q111" s="1161"/>
      <c r="R111" s="1637"/>
      <c r="S111" s="1161"/>
      <c r="T111" s="1161"/>
      <c r="U111" s="545"/>
      <c r="V111" s="1161"/>
      <c r="W111" s="1161"/>
      <c r="X111" s="1161"/>
      <c r="Y111" s="1161"/>
      <c r="Z111" s="1161"/>
      <c r="AA111" s="1633"/>
      <c r="AB111" s="567"/>
      <c r="AC111" s="567"/>
      <c r="AD111" s="567"/>
      <c r="AE111" s="567"/>
      <c r="AF111" s="1642">
        <v>11</v>
      </c>
    </row>
    <row s="1642" customFormat="1" customHeight="1" ht="11.549999999999999">
      <c r="A112" s="988"/>
      <c r="B112" s="1637"/>
      <c r="C112" s="1637"/>
      <c r="D112" s="352"/>
      <c r="K112" s="1161"/>
      <c r="L112" s="1637"/>
      <c r="M112" s="1637"/>
      <c r="N112" s="1161"/>
      <c r="O112" s="1161"/>
      <c r="P112" s="1161"/>
      <c r="Q112" s="1161"/>
      <c r="R112" s="1637"/>
      <c r="S112" s="1161"/>
      <c r="T112" s="1161"/>
      <c r="U112" s="545"/>
      <c r="V112" s="1161"/>
      <c r="W112" s="1161"/>
      <c r="X112" s="1161"/>
      <c r="Y112" s="1161"/>
      <c r="Z112" s="1161"/>
      <c r="AA112" s="1633"/>
      <c r="AB112" s="567"/>
      <c r="AC112" s="567"/>
      <c r="AD112" s="567"/>
      <c r="AE112" s="567"/>
      <c r="AF112" s="1642">
        <v>11</v>
      </c>
    </row>
    <row s="1642" customFormat="1" customHeight="1" ht="11.549999999999999">
      <c r="A113" s="988"/>
      <c r="B113" s="1637"/>
      <c r="C113" s="1637"/>
      <c r="D113" s="352"/>
      <c r="K113" s="1161"/>
      <c r="L113" s="1637"/>
      <c r="M113" s="1637"/>
      <c r="N113" s="1161"/>
      <c r="O113" s="1161"/>
      <c r="P113" s="1161"/>
      <c r="Q113" s="1161"/>
      <c r="R113" s="1637"/>
      <c r="S113" s="1161"/>
      <c r="T113" s="1161"/>
      <c r="U113" s="545"/>
      <c r="V113" s="1161"/>
      <c r="W113" s="1161"/>
      <c r="X113" s="1161"/>
      <c r="Y113" s="1161"/>
      <c r="Z113" s="1161"/>
      <c r="AA113" s="1633"/>
      <c r="AB113" s="567"/>
      <c r="AC113" s="567"/>
      <c r="AD113" s="567"/>
      <c r="AE113" s="567"/>
      <c r="AF113" s="1642">
        <v>11</v>
      </c>
    </row>
    <row s="1642" customFormat="1" customHeight="1" ht="11.549999999999999">
      <c r="A114" s="988"/>
      <c r="B114" s="1637"/>
      <c r="C114" s="1637"/>
      <c r="D114" s="352"/>
      <c r="K114" s="1161"/>
      <c r="L114" s="1637"/>
      <c r="M114" s="1637"/>
      <c r="N114" s="1161"/>
      <c r="O114" s="1161"/>
      <c r="P114" s="1161"/>
      <c r="Q114" s="1161"/>
      <c r="R114" s="1637"/>
      <c r="S114" s="1161"/>
      <c r="T114" s="1161"/>
      <c r="U114" s="545"/>
      <c r="V114" s="1161"/>
      <c r="W114" s="1161"/>
      <c r="X114" s="1161"/>
      <c r="Y114" s="1161"/>
      <c r="Z114" s="1161"/>
      <c r="AA114" s="1633"/>
      <c r="AB114" s="567"/>
      <c r="AC114" s="567"/>
      <c r="AD114" s="567"/>
      <c r="AE114" s="567"/>
      <c r="AF114" s="1642">
        <v>11</v>
      </c>
    </row>
    <row s="1642" customFormat="1" customHeight="1" ht="11.549999999999999">
      <c r="A115" s="988"/>
      <c r="B115" s="1637"/>
      <c r="C115" s="1637"/>
      <c r="D115" s="352"/>
      <c r="K115" s="1161"/>
      <c r="L115" s="1637"/>
      <c r="M115" s="1637"/>
      <c r="N115" s="1161"/>
      <c r="O115" s="1161"/>
      <c r="P115" s="1161"/>
      <c r="Q115" s="1161"/>
      <c r="R115" s="1637"/>
      <c r="S115" s="1161"/>
      <c r="T115" s="1161"/>
      <c r="U115" s="545"/>
      <c r="V115" s="1161"/>
      <c r="W115" s="1161"/>
      <c r="X115" s="1161"/>
      <c r="Y115" s="1161"/>
      <c r="Z115" s="1161"/>
      <c r="AA115" s="1633"/>
      <c r="AB115" s="567"/>
      <c r="AC115" s="567"/>
      <c r="AD115" s="567"/>
      <c r="AE115" s="567"/>
      <c r="AF115" s="1642">
        <v>11</v>
      </c>
    </row>
    <row s="1642" customFormat="1" customHeight="1" ht="11.549999999999999">
      <c r="A116" s="988"/>
      <c r="B116" s="1637"/>
      <c r="C116" s="1637"/>
      <c r="D116" s="352"/>
      <c r="K116" s="1161"/>
      <c r="L116" s="1637"/>
      <c r="M116" s="1637"/>
      <c r="N116" s="1161"/>
      <c r="O116" s="1161"/>
      <c r="P116" s="1161"/>
      <c r="Q116" s="1161"/>
      <c r="R116" s="1637"/>
      <c r="S116" s="1161"/>
      <c r="T116" s="1161"/>
      <c r="U116" s="545"/>
      <c r="V116" s="1161"/>
      <c r="W116" s="1161"/>
      <c r="X116" s="1161"/>
      <c r="Y116" s="1161"/>
      <c r="Z116" s="1161"/>
      <c r="AA116" s="1633"/>
      <c r="AB116" s="567"/>
      <c r="AC116" s="567"/>
      <c r="AD116" s="567"/>
      <c r="AE116" s="567"/>
      <c r="AF116" s="1642">
        <v>11</v>
      </c>
    </row>
    <row s="1642" customFormat="1" customHeight="1" ht="11.549999999999999">
      <c r="A117" s="988"/>
      <c r="B117" s="1637"/>
      <c r="C117" s="1637"/>
      <c r="D117" s="352"/>
      <c r="K117" s="1161"/>
      <c r="L117" s="1637"/>
      <c r="M117" s="1637"/>
      <c r="N117" s="1161"/>
      <c r="O117" s="1161"/>
      <c r="P117" s="1161"/>
      <c r="Q117" s="1161"/>
      <c r="R117" s="1637"/>
      <c r="S117" s="1161"/>
      <c r="T117" s="1161"/>
      <c r="U117" s="545"/>
      <c r="V117" s="1161"/>
      <c r="W117" s="1161"/>
      <c r="X117" s="1161"/>
      <c r="Y117" s="1161"/>
      <c r="Z117" s="1161"/>
      <c r="AA117" s="1633"/>
      <c r="AB117" s="567"/>
      <c r="AC117" s="567"/>
      <c r="AD117" s="567"/>
      <c r="AE117" s="567"/>
      <c r="AF117" s="1642">
        <v>11</v>
      </c>
    </row>
    <row s="1642" customFormat="1" customHeight="1" ht="11.549999999999999">
      <c r="A118" s="988"/>
      <c r="B118" s="1637"/>
      <c r="C118" s="1637"/>
      <c r="D118" s="352"/>
      <c r="K118" s="1161"/>
      <c r="L118" s="1637"/>
      <c r="M118" s="1637"/>
      <c r="N118" s="1161"/>
      <c r="O118" s="1161"/>
      <c r="P118" s="1161"/>
      <c r="Q118" s="1161"/>
      <c r="R118" s="1637"/>
      <c r="S118" s="1161"/>
      <c r="T118" s="1161"/>
      <c r="U118" s="545"/>
      <c r="V118" s="1161"/>
      <c r="W118" s="1161"/>
      <c r="X118" s="1161"/>
      <c r="Y118" s="1161"/>
      <c r="Z118" s="1161"/>
      <c r="AA118" s="1633"/>
      <c r="AB118" s="567"/>
      <c r="AC118" s="567"/>
      <c r="AD118" s="567"/>
      <c r="AE118" s="567"/>
      <c r="AF118" s="1642">
        <v>11</v>
      </c>
    </row>
    <row s="1642" customFormat="1" customHeight="1" ht="11.549999999999999">
      <c r="A119" s="988"/>
      <c r="B119" s="1637"/>
      <c r="C119" s="1637"/>
      <c r="D119" s="352"/>
      <c r="K119" s="1161"/>
      <c r="L119" s="1637"/>
      <c r="M119" s="1637"/>
      <c r="N119" s="1161"/>
      <c r="O119" s="1161"/>
      <c r="P119" s="1161"/>
      <c r="Q119" s="1161"/>
      <c r="R119" s="1637"/>
      <c r="S119" s="1161"/>
      <c r="T119" s="1161"/>
      <c r="U119" s="545"/>
      <c r="V119" s="1161"/>
      <c r="W119" s="1161"/>
      <c r="X119" s="1161"/>
      <c r="Y119" s="1161"/>
      <c r="Z119" s="1161"/>
      <c r="AA119" s="1633"/>
      <c r="AB119" s="567"/>
      <c r="AC119" s="567"/>
      <c r="AD119" s="567"/>
      <c r="AE119" s="567"/>
      <c r="AF119" s="1642">
        <v>11</v>
      </c>
    </row>
    <row s="1642" customFormat="1" customHeight="1" ht="11.549999999999999">
      <c r="A120" s="988"/>
      <c r="B120" s="1637"/>
      <c r="C120" s="1637"/>
      <c r="D120" s="352"/>
      <c r="K120" s="1161"/>
      <c r="L120" s="1637"/>
      <c r="M120" s="1637"/>
      <c r="N120" s="1161"/>
      <c r="O120" s="1161"/>
      <c r="P120" s="1161"/>
      <c r="Q120" s="1161"/>
      <c r="R120" s="1637"/>
      <c r="S120" s="1161"/>
      <c r="T120" s="1161"/>
      <c r="U120" s="545"/>
      <c r="V120" s="1161"/>
      <c r="W120" s="1161"/>
      <c r="X120" s="1161"/>
      <c r="Y120" s="1161"/>
      <c r="Z120" s="1161"/>
      <c r="AA120" s="1633"/>
      <c r="AB120" s="567"/>
      <c r="AC120" s="567"/>
      <c r="AD120" s="567"/>
      <c r="AE120" s="567"/>
      <c r="AF120" s="1642">
        <v>11</v>
      </c>
    </row>
    <row s="1642" customFormat="1" customHeight="1" ht="11.549999999999999">
      <c r="A121" s="988"/>
      <c r="B121" s="1637"/>
      <c r="C121" s="1637"/>
      <c r="D121" s="352"/>
      <c r="K121" s="1161"/>
      <c r="L121" s="1637"/>
      <c r="M121" s="1637"/>
      <c r="N121" s="1161"/>
      <c r="O121" s="1161"/>
      <c r="P121" s="1161"/>
      <c r="Q121" s="1161"/>
      <c r="R121" s="1637"/>
      <c r="S121" s="1161"/>
      <c r="T121" s="1161"/>
      <c r="U121" s="545"/>
      <c r="V121" s="1161"/>
      <c r="W121" s="1161"/>
      <c r="X121" s="1161"/>
      <c r="Y121" s="1161"/>
      <c r="Z121" s="1161"/>
      <c r="AA121" s="1633"/>
      <c r="AB121" s="567"/>
      <c r="AC121" s="567"/>
      <c r="AD121" s="567"/>
      <c r="AE121" s="567"/>
      <c r="AF121" s="1642">
        <v>11</v>
      </c>
    </row>
    <row s="1642" customFormat="1" customHeight="1" ht="11.549999999999999">
      <c r="A122" s="988"/>
      <c r="B122" s="1637"/>
      <c r="C122" s="1637"/>
      <c r="D122" s="352"/>
      <c r="K122" s="1161"/>
      <c r="L122" s="1637"/>
      <c r="M122" s="1637"/>
      <c r="N122" s="1161"/>
      <c r="O122" s="1161"/>
      <c r="P122" s="1161"/>
      <c r="Q122" s="1161"/>
      <c r="R122" s="1637"/>
      <c r="S122" s="1161"/>
      <c r="T122" s="1161"/>
      <c r="U122" s="545"/>
      <c r="V122" s="1161"/>
      <c r="W122" s="1161"/>
      <c r="X122" s="1161"/>
      <c r="Y122" s="1161"/>
      <c r="Z122" s="1161"/>
      <c r="AA122" s="1633"/>
      <c r="AB122" s="567"/>
      <c r="AC122" s="567"/>
      <c r="AD122" s="567"/>
      <c r="AE122" s="567"/>
      <c r="AF122" s="1642">
        <v>11</v>
      </c>
    </row>
    <row s="1642" customFormat="1" customHeight="1" ht="11.549999999999999">
      <c r="A123" s="988"/>
      <c r="B123" s="1637"/>
      <c r="C123" s="1637"/>
      <c r="D123" s="352"/>
      <c r="K123" s="1161"/>
      <c r="L123" s="1637"/>
      <c r="M123" s="1637"/>
      <c r="N123" s="1161"/>
      <c r="O123" s="1161"/>
      <c r="P123" s="1161"/>
      <c r="Q123" s="1161"/>
      <c r="R123" s="1637"/>
      <c r="S123" s="1161"/>
      <c r="T123" s="1161"/>
      <c r="U123" s="545"/>
      <c r="V123" s="1161"/>
      <c r="W123" s="1161"/>
      <c r="X123" s="1161"/>
      <c r="Y123" s="1161"/>
      <c r="Z123" s="1161"/>
      <c r="AA123" s="1633"/>
      <c r="AB123" s="567"/>
      <c r="AC123" s="567"/>
      <c r="AD123" s="567"/>
      <c r="AE123" s="567"/>
      <c r="AF123" s="1642">
        <v>11</v>
      </c>
    </row>
    <row s="1642" customFormat="1" customHeight="1" ht="11.549999999999999">
      <c r="A124" s="988"/>
      <c r="B124" s="1637"/>
      <c r="C124" s="1637"/>
      <c r="D124" s="352"/>
      <c r="K124" s="1161"/>
      <c r="L124" s="1637"/>
      <c r="M124" s="1637"/>
      <c r="N124" s="1161"/>
      <c r="O124" s="1161"/>
      <c r="P124" s="1161"/>
      <c r="Q124" s="1161"/>
      <c r="R124" s="1637"/>
      <c r="S124" s="1161"/>
      <c r="T124" s="1161"/>
      <c r="U124" s="545"/>
      <c r="V124" s="1161"/>
      <c r="W124" s="1161"/>
      <c r="X124" s="1161"/>
      <c r="Y124" s="1161"/>
      <c r="Z124" s="1161"/>
      <c r="AA124" s="1633"/>
      <c r="AB124" s="567"/>
      <c r="AC124" s="567"/>
      <c r="AD124" s="567"/>
      <c r="AE124" s="567"/>
      <c r="AF124" s="1642">
        <v>11</v>
      </c>
    </row>
    <row s="1642" customFormat="1" customHeight="1" ht="11.549999999999999">
      <c r="A125" s="988"/>
      <c r="B125" s="1637"/>
      <c r="C125" s="1637"/>
      <c r="D125" s="352"/>
      <c r="K125" s="1161"/>
      <c r="L125" s="1637"/>
      <c r="M125" s="1637"/>
      <c r="N125" s="1161"/>
      <c r="O125" s="1161"/>
      <c r="P125" s="1161"/>
      <c r="Q125" s="1161"/>
      <c r="R125" s="1637"/>
      <c r="S125" s="1161"/>
      <c r="T125" s="1161"/>
      <c r="U125" s="545"/>
      <c r="V125" s="1161"/>
      <c r="W125" s="1161"/>
      <c r="X125" s="1161"/>
      <c r="Y125" s="1161"/>
      <c r="Z125" s="1161"/>
      <c r="AA125" s="1633"/>
      <c r="AB125" s="567"/>
      <c r="AC125" s="567"/>
      <c r="AD125" s="567"/>
      <c r="AE125" s="567"/>
      <c r="AF125" s="1642">
        <v>11</v>
      </c>
    </row>
    <row s="1642" customFormat="1" customHeight="1" ht="11.549999999999999">
      <c r="A126" s="988"/>
      <c r="B126" s="1637"/>
      <c r="C126" s="1637"/>
      <c r="D126" s="352"/>
      <c r="K126" s="1161"/>
      <c r="L126" s="1637"/>
      <c r="M126" s="1637"/>
      <c r="N126" s="1161"/>
      <c r="O126" s="1161"/>
      <c r="P126" s="1161"/>
      <c r="Q126" s="1161"/>
      <c r="R126" s="1637"/>
      <c r="S126" s="1161"/>
      <c r="T126" s="1161"/>
      <c r="U126" s="545"/>
      <c r="V126" s="1161"/>
      <c r="W126" s="1161"/>
      <c r="X126" s="1161"/>
      <c r="Y126" s="1161"/>
      <c r="Z126" s="1161"/>
      <c r="AA126" s="1633"/>
      <c r="AB126" s="567"/>
      <c r="AC126" s="567"/>
      <c r="AD126" s="567"/>
      <c r="AE126" s="567"/>
      <c r="AF126" s="1642">
        <v>11</v>
      </c>
    </row>
    <row s="1642" customFormat="1" customHeight="1" ht="11.549999999999999">
      <c r="A127" s="988"/>
      <c r="B127" s="1637"/>
      <c r="C127" s="1637"/>
      <c r="D127" s="352"/>
      <c r="K127" s="1161"/>
      <c r="L127" s="1637"/>
      <c r="M127" s="1637"/>
      <c r="N127" s="1161"/>
      <c r="O127" s="1161"/>
      <c r="P127" s="1161"/>
      <c r="Q127" s="1161"/>
      <c r="R127" s="1637"/>
      <c r="S127" s="1161"/>
      <c r="T127" s="1161"/>
      <c r="U127" s="545"/>
      <c r="V127" s="1161"/>
      <c r="W127" s="1161"/>
      <c r="X127" s="1161"/>
      <c r="Y127" s="1161"/>
      <c r="Z127" s="1161"/>
      <c r="AA127" s="1633"/>
      <c r="AB127" s="567"/>
      <c r="AC127" s="567"/>
      <c r="AD127" s="567"/>
      <c r="AE127" s="567"/>
      <c r="AF127" s="1642">
        <v>11</v>
      </c>
    </row>
    <row s="1642" customFormat="1" customHeight="1" ht="11.549999999999999">
      <c r="A128" s="988"/>
      <c r="B128" s="1637"/>
      <c r="C128" s="1637"/>
      <c r="D128" s="352"/>
      <c r="K128" s="1161"/>
      <c r="L128" s="1637"/>
      <c r="M128" s="1637"/>
      <c r="N128" s="1161"/>
      <c r="O128" s="1161"/>
      <c r="P128" s="1161"/>
      <c r="Q128" s="1161"/>
      <c r="R128" s="1637"/>
      <c r="S128" s="1161"/>
      <c r="T128" s="1161"/>
      <c r="U128" s="545"/>
      <c r="V128" s="1161"/>
      <c r="W128" s="1161"/>
      <c r="X128" s="1161"/>
      <c r="Y128" s="1161"/>
      <c r="Z128" s="1161"/>
      <c r="AA128" s="1633"/>
      <c r="AB128" s="567"/>
      <c r="AC128" s="567"/>
      <c r="AD128" s="567"/>
      <c r="AE128" s="567"/>
      <c r="AF128" s="1642">
        <v>11</v>
      </c>
    </row>
    <row s="1642" customFormat="1" customHeight="1" ht="11.549999999999999">
      <c r="A129" s="988"/>
      <c r="B129" s="1637"/>
      <c r="C129" s="1637"/>
      <c r="D129" s="352"/>
      <c r="K129" s="1161"/>
      <c r="L129" s="1637"/>
      <c r="M129" s="1637"/>
      <c r="N129" s="1161"/>
      <c r="O129" s="1161"/>
      <c r="P129" s="1161"/>
      <c r="Q129" s="1161"/>
      <c r="R129" s="1637"/>
      <c r="S129" s="1161"/>
      <c r="T129" s="1161"/>
      <c r="U129" s="545"/>
      <c r="V129" s="1161"/>
      <c r="W129" s="1161"/>
      <c r="X129" s="1161"/>
      <c r="Y129" s="1161"/>
      <c r="Z129" s="1161"/>
      <c r="AA129" s="1633"/>
      <c r="AB129" s="567"/>
      <c r="AC129" s="567"/>
      <c r="AD129" s="567"/>
      <c r="AE129" s="567"/>
      <c r="AF129" s="1642">
        <v>11</v>
      </c>
    </row>
    <row s="1642" customFormat="1" customHeight="1" ht="11.549999999999999">
      <c r="A130" s="988"/>
      <c r="B130" s="1637"/>
      <c r="C130" s="1637"/>
      <c r="D130" s="352"/>
      <c r="K130" s="1161"/>
      <c r="L130" s="1637"/>
      <c r="M130" s="1637"/>
      <c r="N130" s="1161"/>
      <c r="O130" s="1161"/>
      <c r="P130" s="1161"/>
      <c r="Q130" s="1161"/>
      <c r="R130" s="1637"/>
      <c r="S130" s="1161"/>
      <c r="T130" s="1161"/>
      <c r="U130" s="545"/>
      <c r="V130" s="1161"/>
      <c r="W130" s="1161"/>
      <c r="X130" s="1161"/>
      <c r="Y130" s="1161"/>
      <c r="Z130" s="1161"/>
      <c r="AA130" s="1633"/>
      <c r="AB130" s="567"/>
      <c r="AC130" s="567"/>
      <c r="AD130" s="567"/>
      <c r="AE130" s="567"/>
      <c r="AF130" s="1642">
        <v>11</v>
      </c>
    </row>
    <row s="1642" customFormat="1" customHeight="1" ht="11.549999999999999">
      <c r="A131" s="988"/>
      <c r="B131" s="1637"/>
      <c r="C131" s="1637"/>
      <c r="D131" s="352"/>
      <c r="K131" s="1161"/>
      <c r="L131" s="1637"/>
      <c r="M131" s="1637"/>
      <c r="N131" s="1161"/>
      <c r="O131" s="1161"/>
      <c r="P131" s="1161"/>
      <c r="Q131" s="1161"/>
      <c r="R131" s="1637"/>
      <c r="S131" s="1161"/>
      <c r="T131" s="1161"/>
      <c r="U131" s="545"/>
      <c r="V131" s="1161"/>
      <c r="W131" s="1161"/>
      <c r="X131" s="1161"/>
      <c r="Y131" s="1161"/>
      <c r="Z131" s="1161"/>
      <c r="AA131" s="1633"/>
      <c r="AB131" s="567"/>
      <c r="AC131" s="567"/>
      <c r="AD131" s="567"/>
      <c r="AE131" s="567"/>
      <c r="AF131" s="1642">
        <v>11</v>
      </c>
    </row>
    <row s="1642" customFormat="1" customHeight="1" ht="11.549999999999999">
      <c r="A132" s="988"/>
      <c r="B132" s="1637"/>
      <c r="C132" s="1637"/>
      <c r="D132" s="352"/>
      <c r="K132" s="1161"/>
      <c r="L132" s="1637"/>
      <c r="M132" s="1637"/>
      <c r="N132" s="1161"/>
      <c r="O132" s="1161"/>
      <c r="P132" s="1161"/>
      <c r="Q132" s="1161"/>
      <c r="R132" s="1637"/>
      <c r="S132" s="1161"/>
      <c r="T132" s="1161"/>
      <c r="U132" s="545"/>
      <c r="V132" s="1161"/>
      <c r="W132" s="1161"/>
      <c r="X132" s="1161"/>
      <c r="Y132" s="1161"/>
      <c r="Z132" s="1161"/>
      <c r="AA132" s="1633"/>
      <c r="AB132" s="567"/>
      <c r="AC132" s="567"/>
      <c r="AD132" s="567"/>
      <c r="AE132" s="567"/>
      <c r="AF132" s="1642">
        <v>11</v>
      </c>
    </row>
    <row s="1642" customFormat="1" customHeight="1" ht="11.549999999999999">
      <c r="A133" s="988"/>
      <c r="B133" s="1637"/>
      <c r="C133" s="1637"/>
      <c r="D133" s="352"/>
      <c r="K133" s="1161"/>
      <c r="L133" s="1637"/>
      <c r="M133" s="1637"/>
      <c r="N133" s="1161"/>
      <c r="O133" s="1161"/>
      <c r="P133" s="1161"/>
      <c r="Q133" s="1161"/>
      <c r="R133" s="1637"/>
      <c r="S133" s="1161"/>
      <c r="T133" s="1161"/>
      <c r="U133" s="545"/>
      <c r="V133" s="1161"/>
      <c r="W133" s="1161"/>
      <c r="X133" s="1161"/>
      <c r="Y133" s="1161"/>
      <c r="Z133" s="1161"/>
      <c r="AA133" s="1633"/>
      <c r="AB133" s="567"/>
      <c r="AC133" s="567"/>
      <c r="AD133" s="567"/>
      <c r="AE133" s="567"/>
      <c r="AF133" s="1642">
        <v>11</v>
      </c>
    </row>
    <row s="1642" customFormat="1" customHeight="1" ht="11.549999999999999">
      <c r="A134" s="988"/>
      <c r="B134" s="1637"/>
      <c r="C134" s="1637"/>
      <c r="D134" s="352"/>
      <c r="K134" s="1161"/>
      <c r="L134" s="1637"/>
      <c r="M134" s="1637"/>
      <c r="N134" s="1161"/>
      <c r="O134" s="1161"/>
      <c r="P134" s="1161"/>
      <c r="Q134" s="1161"/>
      <c r="R134" s="1637"/>
      <c r="S134" s="1161"/>
      <c r="T134" s="1161"/>
      <c r="U134" s="545"/>
      <c r="V134" s="1161"/>
      <c r="W134" s="1161"/>
      <c r="X134" s="1161"/>
      <c r="Y134" s="1161"/>
      <c r="Z134" s="1161"/>
      <c r="AA134" s="1633"/>
      <c r="AB134" s="567"/>
      <c r="AC134" s="567"/>
      <c r="AD134" s="567"/>
      <c r="AE134" s="567"/>
      <c r="AF134" s="1642">
        <v>11</v>
      </c>
    </row>
    <row s="1642" customFormat="1" customHeight="1" ht="11.549999999999999">
      <c r="A135" s="988"/>
      <c r="B135" s="1637"/>
      <c r="C135" s="1637"/>
      <c r="D135" s="352"/>
      <c r="K135" s="1161"/>
      <c r="L135" s="1637"/>
      <c r="M135" s="1637"/>
      <c r="N135" s="1161"/>
      <c r="O135" s="1161"/>
      <c r="P135" s="1161"/>
      <c r="Q135" s="1161"/>
      <c r="R135" s="1637"/>
      <c r="S135" s="1161"/>
      <c r="T135" s="1161"/>
      <c r="U135" s="545"/>
      <c r="V135" s="1161"/>
      <c r="W135" s="1161"/>
      <c r="X135" s="1161"/>
      <c r="Y135" s="1161"/>
      <c r="Z135" s="1161"/>
      <c r="AA135" s="1633"/>
      <c r="AB135" s="567"/>
      <c r="AC135" s="567"/>
      <c r="AD135" s="567"/>
      <c r="AE135" s="567"/>
      <c r="AF135" s="1642">
        <v>11</v>
      </c>
    </row>
    <row s="1642" customFormat="1" customHeight="1" ht="11.549999999999999">
      <c r="A136" s="988"/>
      <c r="B136" s="1637"/>
      <c r="C136" s="1637"/>
      <c r="D136" s="352"/>
      <c r="K136" s="1161"/>
      <c r="L136" s="1637"/>
      <c r="M136" s="1637"/>
      <c r="N136" s="1161"/>
      <c r="O136" s="1161"/>
      <c r="P136" s="1161"/>
      <c r="Q136" s="1161"/>
      <c r="R136" s="1637"/>
      <c r="S136" s="1161"/>
      <c r="T136" s="1161"/>
      <c r="U136" s="545"/>
      <c r="V136" s="1161"/>
      <c r="W136" s="1161"/>
      <c r="X136" s="1161"/>
      <c r="Y136" s="1161"/>
      <c r="Z136" s="1161"/>
      <c r="AA136" s="1633"/>
      <c r="AB136" s="567"/>
      <c r="AC136" s="567"/>
      <c r="AD136" s="567"/>
      <c r="AE136" s="567"/>
      <c r="AF136" s="1642">
        <v>11</v>
      </c>
    </row>
    <row s="1642" customFormat="1" customHeight="1" ht="11.549999999999999">
      <c r="A137" s="988"/>
      <c r="B137" s="1637"/>
      <c r="C137" s="1637"/>
      <c r="D137" s="352"/>
      <c r="K137" s="1161"/>
      <c r="L137" s="1637"/>
      <c r="M137" s="1637"/>
      <c r="N137" s="1161"/>
      <c r="O137" s="1161"/>
      <c r="P137" s="1161"/>
      <c r="Q137" s="1161"/>
      <c r="R137" s="1637"/>
      <c r="S137" s="1161"/>
      <c r="T137" s="1161"/>
      <c r="U137" s="545"/>
      <c r="V137" s="1161"/>
      <c r="W137" s="1161"/>
      <c r="X137" s="1161"/>
      <c r="Y137" s="1161"/>
      <c r="Z137" s="1161"/>
      <c r="AA137" s="1633"/>
      <c r="AB137" s="567"/>
      <c r="AC137" s="567"/>
      <c r="AD137" s="567"/>
      <c r="AE137" s="567"/>
      <c r="AF137" s="1642">
        <v>11</v>
      </c>
    </row>
    <row s="1642" customFormat="1" customHeight="1" ht="11.549999999999999">
      <c r="A138" s="988"/>
      <c r="B138" s="1637"/>
      <c r="C138" s="1637"/>
      <c r="D138" s="352"/>
      <c r="K138" s="1161"/>
      <c r="L138" s="1637"/>
      <c r="M138" s="1637"/>
      <c r="N138" s="1161"/>
      <c r="O138" s="1161"/>
      <c r="P138" s="1161"/>
      <c r="Q138" s="1161"/>
      <c r="R138" s="1637"/>
      <c r="S138" s="1161"/>
      <c r="T138" s="1161"/>
      <c r="U138" s="545"/>
      <c r="V138" s="1161"/>
      <c r="W138" s="1161"/>
      <c r="X138" s="1161"/>
      <c r="Y138" s="1161"/>
      <c r="Z138" s="1161"/>
      <c r="AA138" s="1633"/>
      <c r="AB138" s="567"/>
      <c r="AC138" s="567"/>
      <c r="AD138" s="567"/>
      <c r="AE138" s="567"/>
      <c r="AF138" s="1642">
        <v>11</v>
      </c>
    </row>
    <row s="1642" customFormat="1" customHeight="1" ht="11.549999999999999">
      <c r="A139" s="988"/>
      <c r="B139" s="1637"/>
      <c r="C139" s="1637"/>
      <c r="D139" s="352"/>
      <c r="K139" s="1161"/>
      <c r="L139" s="1637"/>
      <c r="M139" s="1637"/>
      <c r="N139" s="1161"/>
      <c r="O139" s="1161"/>
      <c r="P139" s="1161"/>
      <c r="Q139" s="1161"/>
      <c r="R139" s="1637"/>
      <c r="S139" s="1161"/>
      <c r="T139" s="1161"/>
      <c r="U139" s="545"/>
      <c r="V139" s="1161"/>
      <c r="W139" s="1161"/>
      <c r="X139" s="1161"/>
      <c r="Y139" s="1161"/>
      <c r="Z139" s="1161"/>
      <c r="AA139" s="1633"/>
      <c r="AB139" s="567"/>
      <c r="AC139" s="567"/>
      <c r="AD139" s="567"/>
      <c r="AE139" s="567"/>
      <c r="AF139" s="1642">
        <v>11</v>
      </c>
    </row>
    <row s="1642" customFormat="1" customHeight="1" ht="11.549999999999999">
      <c r="A140" s="988"/>
      <c r="B140" s="1637"/>
      <c r="C140" s="1637"/>
      <c r="D140" s="352"/>
      <c r="K140" s="1161"/>
      <c r="L140" s="1637"/>
      <c r="M140" s="1637"/>
      <c r="N140" s="1161"/>
      <c r="O140" s="1161"/>
      <c r="P140" s="1161"/>
      <c r="Q140" s="1161"/>
      <c r="R140" s="1637"/>
      <c r="S140" s="1161"/>
      <c r="T140" s="1161"/>
      <c r="U140" s="545"/>
      <c r="V140" s="1161"/>
      <c r="W140" s="1161"/>
      <c r="X140" s="1161"/>
      <c r="Y140" s="1161"/>
      <c r="Z140" s="1161"/>
      <c r="AA140" s="1633"/>
      <c r="AB140" s="567"/>
      <c r="AC140" s="567"/>
      <c r="AD140" s="567"/>
      <c r="AE140" s="567"/>
      <c r="AF140" s="1642">
        <v>11</v>
      </c>
    </row>
    <row s="1642" customFormat="1" customHeight="1" ht="11.549999999999999">
      <c r="A141" s="988"/>
      <c r="B141" s="1637"/>
      <c r="C141" s="1637"/>
      <c r="D141" s="352"/>
      <c r="K141" s="1161"/>
      <c r="L141" s="1637"/>
      <c r="M141" s="1637"/>
      <c r="N141" s="1161"/>
      <c r="O141" s="1161"/>
      <c r="P141" s="1161"/>
      <c r="Q141" s="1161"/>
      <c r="R141" s="1637"/>
      <c r="S141" s="1161"/>
      <c r="T141" s="1161"/>
      <c r="U141" s="545"/>
      <c r="V141" s="1161"/>
      <c r="W141" s="1161"/>
      <c r="X141" s="1161"/>
      <c r="Y141" s="1161"/>
      <c r="Z141" s="1161"/>
      <c r="AA141" s="1633"/>
      <c r="AB141" s="567"/>
      <c r="AC141" s="567"/>
      <c r="AD141" s="567"/>
      <c r="AE141" s="567"/>
      <c r="AF141" s="1642">
        <v>11</v>
      </c>
    </row>
    <row s="1642" customFormat="1" customHeight="1" ht="11.549999999999999">
      <c r="A142" s="988"/>
      <c r="B142" s="1637"/>
      <c r="C142" s="1637"/>
      <c r="D142" s="352"/>
      <c r="K142" s="1161"/>
      <c r="L142" s="1637"/>
      <c r="M142" s="1637"/>
      <c r="N142" s="1161"/>
      <c r="O142" s="1161"/>
      <c r="P142" s="1161"/>
      <c r="Q142" s="1161"/>
      <c r="R142" s="1637"/>
      <c r="S142" s="1161"/>
      <c r="T142" s="1161"/>
      <c r="U142" s="545"/>
      <c r="V142" s="1161"/>
      <c r="W142" s="1161"/>
      <c r="X142" s="1161"/>
      <c r="Y142" s="1161"/>
      <c r="Z142" s="1161"/>
      <c r="AA142" s="1633"/>
      <c r="AB142" s="567"/>
      <c r="AC142" s="567"/>
      <c r="AD142" s="567"/>
      <c r="AE142" s="567"/>
      <c r="AF142" s="1642">
        <v>11</v>
      </c>
    </row>
    <row s="1642" customFormat="1" customHeight="1" ht="11.549999999999999">
      <c r="A143" s="988"/>
      <c r="B143" s="1637"/>
      <c r="C143" s="1637"/>
      <c r="D143" s="352"/>
      <c r="K143" s="1161"/>
      <c r="L143" s="1637"/>
      <c r="M143" s="1637"/>
      <c r="N143" s="1161"/>
      <c r="O143" s="1161"/>
      <c r="P143" s="1161"/>
      <c r="Q143" s="1161"/>
      <c r="R143" s="1637"/>
      <c r="S143" s="1161"/>
      <c r="T143" s="1161"/>
      <c r="U143" s="545"/>
      <c r="V143" s="1161"/>
      <c r="W143" s="1161"/>
      <c r="X143" s="1161"/>
      <c r="Y143" s="1161"/>
      <c r="Z143" s="1161"/>
      <c r="AA143" s="1633"/>
      <c r="AB143" s="567"/>
      <c r="AC143" s="567"/>
      <c r="AD143" s="567"/>
      <c r="AE143" s="567"/>
      <c r="AF143" s="1642">
        <v>11</v>
      </c>
    </row>
    <row s="1642" customFormat="1" customHeight="1" ht="11.549999999999999">
      <c r="A144" s="988"/>
      <c r="B144" s="1637"/>
      <c r="C144" s="1637"/>
      <c r="D144" s="352"/>
      <c r="K144" s="1161"/>
      <c r="L144" s="1637"/>
      <c r="M144" s="1637"/>
      <c r="N144" s="1161"/>
      <c r="O144" s="1161"/>
      <c r="P144" s="1161"/>
      <c r="Q144" s="1161"/>
      <c r="R144" s="1637"/>
      <c r="S144" s="1161"/>
      <c r="T144" s="1161"/>
      <c r="U144" s="545"/>
      <c r="V144" s="1161"/>
      <c r="W144" s="1161"/>
      <c r="X144" s="1161"/>
      <c r="Y144" s="1161"/>
      <c r="Z144" s="1161"/>
      <c r="AA144" s="1633"/>
      <c r="AB144" s="567"/>
      <c r="AC144" s="567"/>
      <c r="AD144" s="567"/>
      <c r="AE144" s="567"/>
      <c r="AF144" s="1642">
        <v>11</v>
      </c>
    </row>
    <row s="1642" customFormat="1" customHeight="1" ht="11.549999999999999">
      <c r="A145" s="988"/>
      <c r="B145" s="1637"/>
      <c r="C145" s="1637"/>
      <c r="D145" s="352"/>
      <c r="K145" s="1161"/>
      <c r="L145" s="1637"/>
      <c r="M145" s="1637"/>
      <c r="N145" s="1161"/>
      <c r="O145" s="1161"/>
      <c r="P145" s="1161"/>
      <c r="Q145" s="1161"/>
      <c r="R145" s="1637"/>
      <c r="S145" s="1161"/>
      <c r="T145" s="1161"/>
      <c r="U145" s="545"/>
      <c r="V145" s="1161"/>
      <c r="W145" s="1161"/>
      <c r="X145" s="1161"/>
      <c r="Y145" s="1161"/>
      <c r="Z145" s="1161"/>
      <c r="AA145" s="1633"/>
      <c r="AB145" s="567"/>
      <c r="AC145" s="567"/>
      <c r="AD145" s="567"/>
      <c r="AE145" s="567"/>
      <c r="AF145" s="1642">
        <v>11</v>
      </c>
    </row>
    <row s="1642" customFormat="1" customHeight="1" ht="11.549999999999999">
      <c r="A146" s="988"/>
      <c r="B146" s="1637"/>
      <c r="C146" s="1637"/>
      <c r="D146" s="352"/>
      <c r="K146" s="1161"/>
      <c r="L146" s="1637"/>
      <c r="M146" s="1637"/>
      <c r="N146" s="1161"/>
      <c r="O146" s="1161"/>
      <c r="P146" s="1161"/>
      <c r="Q146" s="1161"/>
      <c r="R146" s="1637"/>
      <c r="S146" s="1161"/>
      <c r="T146" s="1161"/>
      <c r="U146" s="545"/>
      <c r="V146" s="1161"/>
      <c r="W146" s="1161"/>
      <c r="X146" s="1161"/>
      <c r="Y146" s="1161"/>
      <c r="Z146" s="1161"/>
      <c r="AA146" s="1633"/>
      <c r="AB146" s="567"/>
      <c r="AC146" s="567"/>
      <c r="AD146" s="567"/>
      <c r="AE146" s="567"/>
      <c r="AF146" s="1642">
        <v>11</v>
      </c>
    </row>
    <row s="1642" customFormat="1" customHeight="1" ht="11.549999999999999">
      <c r="A147" s="988"/>
      <c r="B147" s="1637"/>
      <c r="C147" s="1637"/>
      <c r="D147" s="352"/>
      <c r="K147" s="1161"/>
      <c r="L147" s="1637"/>
      <c r="M147" s="1637"/>
      <c r="N147" s="1161"/>
      <c r="O147" s="1161"/>
      <c r="P147" s="1161"/>
      <c r="Q147" s="1161"/>
      <c r="R147" s="1637"/>
      <c r="S147" s="1161"/>
      <c r="T147" s="1161"/>
      <c r="U147" s="545"/>
      <c r="V147" s="1161"/>
      <c r="W147" s="1161"/>
      <c r="X147" s="1161"/>
      <c r="Y147" s="1161"/>
      <c r="Z147" s="1161"/>
      <c r="AA147" s="1633"/>
      <c r="AB147" s="567"/>
      <c r="AC147" s="567"/>
      <c r="AD147" s="567"/>
      <c r="AE147" s="567"/>
      <c r="AF147" s="1642">
        <v>11</v>
      </c>
    </row>
    <row s="1642" customFormat="1" customHeight="1" ht="11.549999999999999">
      <c r="A148" s="988"/>
      <c r="B148" s="1637"/>
      <c r="C148" s="1637"/>
      <c r="D148" s="352"/>
      <c r="K148" s="1161"/>
      <c r="L148" s="1637"/>
      <c r="M148" s="1637"/>
      <c r="N148" s="1161"/>
      <c r="O148" s="1161"/>
      <c r="P148" s="1161"/>
      <c r="Q148" s="1161"/>
      <c r="R148" s="1637"/>
      <c r="S148" s="1161"/>
      <c r="T148" s="1161"/>
      <c r="U148" s="545"/>
      <c r="V148" s="1161"/>
      <c r="W148" s="1161"/>
      <c r="X148" s="1161"/>
      <c r="Y148" s="1161"/>
      <c r="Z148" s="1161"/>
      <c r="AA148" s="1633"/>
      <c r="AB148" s="567"/>
      <c r="AC148" s="567"/>
      <c r="AD148" s="567"/>
      <c r="AE148" s="567"/>
      <c r="AF148" s="1642">
        <v>11</v>
      </c>
    </row>
    <row s="1642" customFormat="1" customHeight="1" ht="11.549999999999999">
      <c r="A149" s="988"/>
      <c r="B149" s="1637"/>
      <c r="C149" s="1637"/>
      <c r="D149" s="352"/>
      <c r="K149" s="1161"/>
      <c r="L149" s="1637"/>
      <c r="M149" s="1637"/>
      <c r="N149" s="1161"/>
      <c r="O149" s="1161"/>
      <c r="P149" s="1161"/>
      <c r="Q149" s="1161"/>
      <c r="R149" s="1637"/>
      <c r="S149" s="1161"/>
      <c r="T149" s="1161"/>
      <c r="U149" s="545"/>
      <c r="V149" s="1161"/>
      <c r="W149" s="1161"/>
      <c r="X149" s="1161"/>
      <c r="Y149" s="1161"/>
      <c r="Z149" s="1161"/>
      <c r="AA149" s="1633"/>
      <c r="AB149" s="567"/>
      <c r="AC149" s="567"/>
      <c r="AD149" s="567"/>
      <c r="AE149" s="567"/>
      <c r="AF149" s="1642">
        <v>11</v>
      </c>
    </row>
    <row s="1642" customFormat="1" customHeight="1" ht="11.549999999999999">
      <c r="A150" s="988"/>
      <c r="B150" s="1637"/>
      <c r="C150" s="1637"/>
      <c r="D150" s="352"/>
      <c r="K150" s="1161"/>
      <c r="L150" s="1637"/>
      <c r="M150" s="1637"/>
      <c r="N150" s="1161"/>
      <c r="O150" s="1161"/>
      <c r="P150" s="1161"/>
      <c r="Q150" s="1161"/>
      <c r="R150" s="1637"/>
      <c r="S150" s="1161"/>
      <c r="T150" s="1161"/>
      <c r="U150" s="545"/>
      <c r="V150" s="1161"/>
      <c r="W150" s="1161"/>
      <c r="X150" s="1161"/>
      <c r="Y150" s="1161"/>
      <c r="Z150" s="1161"/>
      <c r="AA150" s="1633"/>
      <c r="AB150" s="567"/>
      <c r="AC150" s="567"/>
      <c r="AD150" s="567"/>
      <c r="AE150" s="567"/>
      <c r="AF150" s="1642">
        <v>11</v>
      </c>
    </row>
    <row s="1642" customFormat="1" customHeight="1" ht="11.549999999999999">
      <c r="A151" s="988"/>
      <c r="B151" s="1637"/>
      <c r="C151" s="1637"/>
      <c r="D151" s="352"/>
      <c r="K151" s="1161"/>
      <c r="L151" s="1637"/>
      <c r="M151" s="1637"/>
      <c r="N151" s="1161"/>
      <c r="O151" s="1161"/>
      <c r="P151" s="1161"/>
      <c r="Q151" s="1161"/>
      <c r="R151" s="1637"/>
      <c r="S151" s="1161"/>
      <c r="T151" s="1161"/>
      <c r="U151" s="545"/>
      <c r="V151" s="1161"/>
      <c r="W151" s="1161"/>
      <c r="X151" s="1161"/>
      <c r="Y151" s="1161"/>
      <c r="Z151" s="1161"/>
      <c r="AA151" s="1633"/>
      <c r="AB151" s="567"/>
      <c r="AC151" s="567"/>
      <c r="AD151" s="567"/>
      <c r="AE151" s="567"/>
      <c r="AF151" s="1642">
        <v>11</v>
      </c>
    </row>
    <row s="1642" customFormat="1" customHeight="1" ht="11.549999999999999">
      <c r="A152" s="988"/>
      <c r="B152" s="1637"/>
      <c r="C152" s="1637"/>
      <c r="D152" s="352"/>
      <c r="K152" s="1161"/>
      <c r="L152" s="1637"/>
      <c r="M152" s="1637"/>
      <c r="N152" s="1161"/>
      <c r="O152" s="1161"/>
      <c r="P152" s="1161"/>
      <c r="Q152" s="1161"/>
      <c r="R152" s="1637"/>
      <c r="S152" s="1161"/>
      <c r="T152" s="1161"/>
      <c r="U152" s="545"/>
      <c r="V152" s="1161"/>
      <c r="W152" s="1161"/>
      <c r="X152" s="1161"/>
      <c r="Y152" s="1161"/>
      <c r="Z152" s="1161"/>
      <c r="AA152" s="1633"/>
      <c r="AB152" s="567"/>
      <c r="AC152" s="567"/>
      <c r="AD152" s="567"/>
      <c r="AE152" s="567"/>
      <c r="AF152" s="1642">
        <v>11</v>
      </c>
    </row>
    <row s="1642" customFormat="1" customHeight="1" ht="11.549999999999999">
      <c r="A153" s="988"/>
      <c r="B153" s="1637"/>
      <c r="C153" s="1637"/>
      <c r="D153" s="352"/>
      <c r="K153" s="1161"/>
      <c r="L153" s="1637"/>
      <c r="M153" s="1637"/>
      <c r="N153" s="1161"/>
      <c r="O153" s="1161"/>
      <c r="P153" s="1161"/>
      <c r="Q153" s="1161"/>
      <c r="R153" s="1637"/>
      <c r="S153" s="1161"/>
      <c r="T153" s="1161"/>
      <c r="U153" s="545"/>
      <c r="V153" s="1161"/>
      <c r="W153" s="1161"/>
      <c r="X153" s="1161"/>
      <c r="Y153" s="1161"/>
      <c r="Z153" s="1161"/>
      <c r="AA153" s="1633"/>
      <c r="AB153" s="567"/>
      <c r="AC153" s="567"/>
      <c r="AD153" s="567"/>
      <c r="AE153" s="567"/>
      <c r="AF153" s="1642">
        <v>11</v>
      </c>
    </row>
    <row s="1642" customFormat="1" customHeight="1" ht="11.549999999999999">
      <c r="A154" s="988"/>
      <c r="B154" s="1637"/>
      <c r="C154" s="1637"/>
      <c r="D154" s="352"/>
      <c r="K154" s="1161"/>
      <c r="L154" s="1637"/>
      <c r="M154" s="1637"/>
      <c r="N154" s="1161"/>
      <c r="O154" s="1161"/>
      <c r="P154" s="1161"/>
      <c r="Q154" s="1161"/>
      <c r="R154" s="1637"/>
      <c r="S154" s="1161"/>
      <c r="T154" s="1161"/>
      <c r="U154" s="545"/>
      <c r="V154" s="1161"/>
      <c r="W154" s="1161"/>
      <c r="X154" s="1161"/>
      <c r="Y154" s="1161"/>
      <c r="Z154" s="1161"/>
      <c r="AA154" s="1633"/>
      <c r="AB154" s="567"/>
      <c r="AC154" s="567"/>
      <c r="AD154" s="567"/>
      <c r="AE154" s="567"/>
      <c r="AF154" s="1642">
        <v>11</v>
      </c>
    </row>
    <row s="1642" customFormat="1" customHeight="1" ht="11.549999999999999">
      <c r="A155" s="988"/>
      <c r="B155" s="1637"/>
      <c r="C155" s="1637"/>
      <c r="D155" s="352"/>
      <c r="K155" s="1161"/>
      <c r="L155" s="1637"/>
      <c r="M155" s="1637"/>
      <c r="N155" s="1161"/>
      <c r="O155" s="1161"/>
      <c r="P155" s="1161"/>
      <c r="Q155" s="1161"/>
      <c r="R155" s="1637"/>
      <c r="S155" s="1161"/>
      <c r="T155" s="1161"/>
      <c r="U155" s="545"/>
      <c r="V155" s="1161"/>
      <c r="W155" s="1161"/>
      <c r="X155" s="1161"/>
      <c r="Y155" s="1161"/>
      <c r="Z155" s="1161"/>
      <c r="AA155" s="1633"/>
      <c r="AB155" s="567"/>
      <c r="AC155" s="567"/>
      <c r="AD155" s="567"/>
      <c r="AE155" s="567"/>
      <c r="AF155" s="1642">
        <v>11</v>
      </c>
    </row>
    <row s="1642" customFormat="1" customHeight="1" ht="11.549999999999999">
      <c r="A156" s="988"/>
      <c r="B156" s="1637"/>
      <c r="C156" s="1637"/>
      <c r="D156" s="352"/>
      <c r="K156" s="1161"/>
      <c r="L156" s="1637"/>
      <c r="M156" s="1637"/>
      <c r="N156" s="1161"/>
      <c r="O156" s="1161"/>
      <c r="P156" s="1161"/>
      <c r="Q156" s="1161"/>
      <c r="R156" s="1637"/>
      <c r="S156" s="1161"/>
      <c r="T156" s="1161"/>
      <c r="U156" s="545"/>
      <c r="V156" s="1161"/>
      <c r="W156" s="1161"/>
      <c r="X156" s="1161"/>
      <c r="Y156" s="1161"/>
      <c r="Z156" s="1161"/>
      <c r="AA156" s="1633"/>
      <c r="AB156" s="567"/>
      <c r="AC156" s="567"/>
      <c r="AD156" s="567"/>
      <c r="AE156" s="567"/>
      <c r="AF156" s="1642">
        <v>11</v>
      </c>
    </row>
    <row s="1642" customFormat="1" customHeight="1" ht="11.549999999999999">
      <c r="A157" s="988"/>
      <c r="B157" s="1637"/>
      <c r="C157" s="1637"/>
      <c r="D157" s="352"/>
      <c r="K157" s="1161"/>
      <c r="L157" s="1637"/>
      <c r="M157" s="1637"/>
      <c r="N157" s="1161"/>
      <c r="O157" s="1161"/>
      <c r="P157" s="1161"/>
      <c r="Q157" s="1161"/>
      <c r="R157" s="1637"/>
      <c r="S157" s="1161"/>
      <c r="T157" s="1161"/>
      <c r="U157" s="545"/>
      <c r="V157" s="1161"/>
      <c r="W157" s="1161"/>
      <c r="X157" s="1161"/>
      <c r="Y157" s="1161"/>
      <c r="Z157" s="1161"/>
      <c r="AA157" s="1633"/>
      <c r="AB157" s="567"/>
      <c r="AC157" s="567"/>
      <c r="AD157" s="567"/>
      <c r="AE157" s="567"/>
      <c r="AF157" s="1642">
        <v>11</v>
      </c>
    </row>
    <row s="1642" customFormat="1" customHeight="1" ht="11.549999999999999">
      <c r="A158" s="988"/>
      <c r="B158" s="1637"/>
      <c r="C158" s="1637"/>
      <c r="D158" s="352"/>
      <c r="K158" s="1161"/>
      <c r="L158" s="1637"/>
      <c r="M158" s="1637"/>
      <c r="N158" s="1161"/>
      <c r="O158" s="1161"/>
      <c r="P158" s="1161"/>
      <c r="Q158" s="1161"/>
      <c r="R158" s="1637"/>
      <c r="S158" s="1161"/>
      <c r="T158" s="1161"/>
      <c r="U158" s="545"/>
      <c r="V158" s="1161"/>
      <c r="W158" s="1161"/>
      <c r="X158" s="1161"/>
      <c r="Y158" s="1161"/>
      <c r="Z158" s="1161"/>
      <c r="AA158" s="1633"/>
      <c r="AB158" s="567"/>
      <c r="AC158" s="567"/>
      <c r="AD158" s="567"/>
      <c r="AE158" s="567"/>
      <c r="AF158" s="1642">
        <v>11</v>
      </c>
    </row>
    <row s="1642" customFormat="1" customHeight="1" ht="11.549999999999999">
      <c r="A159" s="988"/>
      <c r="B159" s="1637"/>
      <c r="C159" s="1637"/>
      <c r="D159" s="352"/>
      <c r="K159" s="1161"/>
      <c r="L159" s="1637"/>
      <c r="M159" s="1637"/>
      <c r="N159" s="1161"/>
      <c r="O159" s="1161"/>
      <c r="P159" s="1161"/>
      <c r="Q159" s="1161"/>
      <c r="R159" s="1637"/>
      <c r="S159" s="1161"/>
      <c r="T159" s="1161"/>
      <c r="U159" s="545"/>
      <c r="V159" s="1161"/>
      <c r="W159" s="1161"/>
      <c r="X159" s="1161"/>
      <c r="Y159" s="1161"/>
      <c r="Z159" s="1161"/>
      <c r="AA159" s="1633"/>
      <c r="AB159" s="567"/>
      <c r="AC159" s="567"/>
      <c r="AD159" s="567"/>
      <c r="AE159" s="567"/>
      <c r="AF159" s="1642">
        <v>11</v>
      </c>
    </row>
    <row s="1642" customFormat="1" customHeight="1" ht="11.549999999999999">
      <c r="A160" s="988"/>
      <c r="B160" s="1637"/>
      <c r="C160" s="1637"/>
      <c r="D160" s="352"/>
      <c r="K160" s="1161"/>
      <c r="L160" s="1637"/>
      <c r="M160" s="1637"/>
      <c r="N160" s="1161"/>
      <c r="O160" s="1161"/>
      <c r="P160" s="1161"/>
      <c r="Q160" s="1161"/>
      <c r="R160" s="1637"/>
      <c r="S160" s="1161"/>
      <c r="T160" s="1161"/>
      <c r="U160" s="545"/>
      <c r="V160" s="1161"/>
      <c r="W160" s="1161"/>
      <c r="X160" s="1161"/>
      <c r="Y160" s="1161"/>
      <c r="Z160" s="1161"/>
      <c r="AA160" s="1633"/>
      <c r="AB160" s="567"/>
      <c r="AC160" s="567"/>
      <c r="AD160" s="567"/>
      <c r="AE160" s="567"/>
      <c r="AF160" s="1642">
        <v>11</v>
      </c>
    </row>
    <row s="1642" customFormat="1" customHeight="1" ht="11.549999999999999">
      <c r="A161" s="988"/>
      <c r="B161" s="1637"/>
      <c r="C161" s="1637"/>
      <c r="D161" s="352"/>
      <c r="K161" s="1161"/>
      <c r="L161" s="1637"/>
      <c r="M161" s="1637"/>
      <c r="N161" s="1161"/>
      <c r="O161" s="1161"/>
      <c r="P161" s="1161"/>
      <c r="Q161" s="1161"/>
      <c r="R161" s="1637"/>
      <c r="S161" s="1161"/>
      <c r="T161" s="1161"/>
      <c r="U161" s="545"/>
      <c r="V161" s="1161"/>
      <c r="W161" s="1161"/>
      <c r="X161" s="1161"/>
      <c r="Y161" s="1161"/>
      <c r="Z161" s="1161"/>
      <c r="AA161" s="1633"/>
      <c r="AB161" s="567"/>
      <c r="AC161" s="567"/>
      <c r="AD161" s="567"/>
      <c r="AE161" s="567"/>
      <c r="AF161" s="1642">
        <v>11</v>
      </c>
    </row>
    <row s="1642" customFormat="1" customHeight="1" ht="11.549999999999999">
      <c r="A162" s="988"/>
      <c r="B162" s="1637"/>
      <c r="C162" s="1637"/>
      <c r="D162" s="352"/>
      <c r="K162" s="1161"/>
      <c r="L162" s="1637"/>
      <c r="M162" s="1637"/>
      <c r="N162" s="1161"/>
      <c r="O162" s="1161"/>
      <c r="P162" s="1161"/>
      <c r="Q162" s="1161"/>
      <c r="R162" s="1637"/>
      <c r="S162" s="1161"/>
      <c r="T162" s="1161"/>
      <c r="U162" s="545"/>
      <c r="V162" s="1161"/>
      <c r="W162" s="1161"/>
      <c r="X162" s="1161"/>
      <c r="Y162" s="1161"/>
      <c r="Z162" s="1161"/>
      <c r="AA162" s="1633"/>
      <c r="AB162" s="567"/>
      <c r="AC162" s="567"/>
      <c r="AD162" s="567"/>
      <c r="AE162" s="567"/>
      <c r="AF162" s="1642">
        <v>11</v>
      </c>
    </row>
    <row s="1642" customFormat="1" customHeight="1" ht="11.549999999999999">
      <c r="A163" s="988"/>
      <c r="B163" s="1637"/>
      <c r="C163" s="1637"/>
      <c r="D163" s="352"/>
      <c r="K163" s="1161"/>
      <c r="L163" s="1637"/>
      <c r="M163" s="1637"/>
      <c r="N163" s="1161"/>
      <c r="O163" s="1161"/>
      <c r="P163" s="1161"/>
      <c r="Q163" s="1161"/>
      <c r="R163" s="1637"/>
      <c r="S163" s="1161"/>
      <c r="T163" s="1161"/>
      <c r="U163" s="545"/>
      <c r="V163" s="1161"/>
      <c r="W163" s="1161"/>
      <c r="X163" s="1161"/>
      <c r="Y163" s="1161"/>
      <c r="Z163" s="1161"/>
      <c r="AA163" s="1633"/>
      <c r="AB163" s="567"/>
      <c r="AC163" s="567"/>
      <c r="AD163" s="567"/>
      <c r="AE163" s="567"/>
      <c r="AF163" s="1642">
        <v>11</v>
      </c>
    </row>
    <row s="1642" customFormat="1" customHeight="1" ht="11.549999999999999">
      <c r="A164" s="988"/>
      <c r="B164" s="1637"/>
      <c r="C164" s="1637"/>
      <c r="D164" s="352"/>
      <c r="K164" s="1161"/>
      <c r="L164" s="1637"/>
      <c r="M164" s="1637"/>
      <c r="N164" s="1161"/>
      <c r="O164" s="1161"/>
      <c r="P164" s="1161"/>
      <c r="Q164" s="1161"/>
      <c r="R164" s="1637"/>
      <c r="S164" s="1161"/>
      <c r="T164" s="1161"/>
      <c r="U164" s="545"/>
      <c r="V164" s="1161"/>
      <c r="W164" s="1161"/>
      <c r="X164" s="1161"/>
      <c r="Y164" s="1161"/>
      <c r="Z164" s="1161"/>
      <c r="AA164" s="1633"/>
      <c r="AB164" s="567"/>
      <c r="AC164" s="567"/>
      <c r="AD164" s="567"/>
      <c r="AE164" s="567"/>
      <c r="AF164" s="1642">
        <v>11</v>
      </c>
    </row>
    <row s="1642" customFormat="1" customHeight="1" ht="11.549999999999999">
      <c r="A165" s="988"/>
      <c r="B165" s="1637"/>
      <c r="C165" s="1637"/>
      <c r="D165" s="352"/>
      <c r="K165" s="1161"/>
      <c r="L165" s="1637"/>
      <c r="M165" s="1637"/>
      <c r="N165" s="1161"/>
      <c r="O165" s="1161"/>
      <c r="P165" s="1161"/>
      <c r="Q165" s="1161"/>
      <c r="R165" s="1637"/>
      <c r="S165" s="1161"/>
      <c r="T165" s="1161"/>
      <c r="U165" s="545"/>
      <c r="V165" s="1161"/>
      <c r="W165" s="1161"/>
      <c r="X165" s="1161"/>
      <c r="Y165" s="1161"/>
      <c r="Z165" s="1161"/>
      <c r="AA165" s="1633"/>
      <c r="AB165" s="567"/>
      <c r="AC165" s="567"/>
      <c r="AD165" s="567"/>
      <c r="AE165" s="567"/>
      <c r="AF165" s="1642">
        <v>11</v>
      </c>
    </row>
    <row s="1642" customFormat="1" customHeight="1" ht="11.549999999999999">
      <c r="A166" s="988"/>
      <c r="B166" s="1637"/>
      <c r="C166" s="1637"/>
      <c r="D166" s="352"/>
      <c r="K166" s="1161"/>
      <c r="L166" s="1637"/>
      <c r="M166" s="1637"/>
      <c r="N166" s="1161"/>
      <c r="O166" s="1161"/>
      <c r="P166" s="1161"/>
      <c r="Q166" s="1161"/>
      <c r="R166" s="1637"/>
      <c r="S166" s="1161"/>
      <c r="T166" s="1161"/>
      <c r="U166" s="545"/>
      <c r="V166" s="1161"/>
      <c r="W166" s="1161"/>
      <c r="X166" s="1161"/>
      <c r="Y166" s="1161"/>
      <c r="Z166" s="1161"/>
      <c r="AA166" s="1633"/>
      <c r="AB166" s="567"/>
      <c r="AC166" s="567"/>
      <c r="AD166" s="567"/>
      <c r="AE166" s="567"/>
      <c r="AF166" s="1642">
        <v>11</v>
      </c>
    </row>
    <row s="1642" customFormat="1" customHeight="1" ht="11.549999999999999">
      <c r="A167" s="988"/>
      <c r="B167" s="1637"/>
      <c r="C167" s="1637"/>
      <c r="D167" s="352"/>
      <c r="K167" s="1161"/>
      <c r="L167" s="1637"/>
      <c r="M167" s="1637"/>
      <c r="N167" s="1161"/>
      <c r="O167" s="1161"/>
      <c r="P167" s="1161"/>
      <c r="Q167" s="1161"/>
      <c r="R167" s="1637"/>
      <c r="S167" s="1161"/>
      <c r="T167" s="1161"/>
      <c r="U167" s="545"/>
      <c r="V167" s="1161"/>
      <c r="W167" s="1161"/>
      <c r="X167" s="1161"/>
      <c r="Y167" s="1161"/>
      <c r="Z167" s="1161"/>
      <c r="AA167" s="1633"/>
      <c r="AB167" s="567"/>
      <c r="AC167" s="567"/>
      <c r="AD167" s="567"/>
      <c r="AE167" s="567"/>
      <c r="AF167" s="1642">
        <v>11</v>
      </c>
    </row>
    <row s="1642" customFormat="1" customHeight="1" ht="11.549999999999999">
      <c r="A168" s="988"/>
      <c r="B168" s="1637"/>
      <c r="C168" s="1637"/>
      <c r="D168" s="352"/>
      <c r="K168" s="1161"/>
      <c r="L168" s="1637"/>
      <c r="M168" s="1637"/>
      <c r="N168" s="1161"/>
      <c r="O168" s="1161"/>
      <c r="P168" s="1161"/>
      <c r="Q168" s="1161"/>
      <c r="R168" s="1637"/>
      <c r="S168" s="1161"/>
      <c r="T168" s="1161"/>
      <c r="U168" s="545"/>
      <c r="V168" s="1161"/>
      <c r="W168" s="1161"/>
      <c r="X168" s="1161"/>
      <c r="Y168" s="1161"/>
      <c r="Z168" s="1161"/>
      <c r="AA168" s="1633"/>
      <c r="AB168" s="567"/>
      <c r="AC168" s="567"/>
      <c r="AD168" s="567"/>
      <c r="AE168" s="567"/>
      <c r="AF168" s="1642">
        <v>11</v>
      </c>
    </row>
    <row s="1642" customFormat="1" customHeight="1" ht="11.549999999999999">
      <c r="A169" s="988"/>
      <c r="B169" s="1637"/>
      <c r="C169" s="1637"/>
      <c r="D169" s="352"/>
      <c r="K169" s="1161"/>
      <c r="L169" s="1637"/>
      <c r="M169" s="1637"/>
      <c r="N169" s="1161"/>
      <c r="O169" s="1161"/>
      <c r="P169" s="1161"/>
      <c r="Q169" s="1161"/>
      <c r="R169" s="1637"/>
      <c r="S169" s="1161"/>
      <c r="T169" s="1161"/>
      <c r="U169" s="545"/>
      <c r="V169" s="1161"/>
      <c r="W169" s="1161"/>
      <c r="X169" s="1161"/>
      <c r="Y169" s="1161"/>
      <c r="Z169" s="1161"/>
      <c r="AA169" s="1633"/>
      <c r="AB169" s="567"/>
      <c r="AC169" s="567"/>
      <c r="AD169" s="567"/>
      <c r="AE169" s="567"/>
      <c r="AF169" s="1642">
        <v>11</v>
      </c>
    </row>
    <row s="1642" customFormat="1" customHeight="1" ht="11.549999999999999">
      <c r="A170" s="988"/>
      <c r="B170" s="1637"/>
      <c r="C170" s="1637"/>
      <c r="D170" s="352"/>
      <c r="K170" s="1161"/>
      <c r="L170" s="1637"/>
      <c r="M170" s="1637"/>
      <c r="N170" s="1161"/>
      <c r="O170" s="1161"/>
      <c r="P170" s="1161"/>
      <c r="Q170" s="1161"/>
      <c r="R170" s="1637"/>
      <c r="S170" s="1161"/>
      <c r="T170" s="1161"/>
      <c r="U170" s="545"/>
      <c r="V170" s="1161"/>
      <c r="W170" s="1161"/>
      <c r="X170" s="1161"/>
      <c r="Y170" s="1161"/>
      <c r="Z170" s="1161"/>
      <c r="AA170" s="1633"/>
      <c r="AB170" s="567"/>
      <c r="AC170" s="567"/>
      <c r="AD170" s="567"/>
      <c r="AE170" s="567"/>
      <c r="AF170" s="1642">
        <v>11</v>
      </c>
    </row>
    <row s="1642" customFormat="1" customHeight="1" ht="11.549999999999999">
      <c r="A171" s="988"/>
      <c r="B171" s="1637"/>
      <c r="C171" s="1637"/>
      <c r="D171" s="352"/>
      <c r="K171" s="1161"/>
      <c r="L171" s="1637"/>
      <c r="M171" s="1637"/>
      <c r="N171" s="1161"/>
      <c r="O171" s="1161"/>
      <c r="P171" s="1161"/>
      <c r="Q171" s="1161"/>
      <c r="R171" s="1637"/>
      <c r="S171" s="1161"/>
      <c r="T171" s="1161"/>
      <c r="U171" s="545"/>
      <c r="V171" s="1161"/>
      <c r="W171" s="1161"/>
      <c r="X171" s="1161"/>
      <c r="Y171" s="1161"/>
      <c r="Z171" s="1161"/>
      <c r="AA171" s="1633"/>
      <c r="AB171" s="567"/>
      <c r="AC171" s="567"/>
      <c r="AD171" s="567"/>
      <c r="AE171" s="567"/>
      <c r="AF171" s="1642">
        <v>11</v>
      </c>
    </row>
    <row s="1642" customFormat="1" customHeight="1" ht="11.549999999999999">
      <c r="A172" s="988"/>
      <c r="B172" s="1637"/>
      <c r="C172" s="1637"/>
      <c r="D172" s="352"/>
      <c r="K172" s="1161"/>
      <c r="L172" s="1637"/>
      <c r="M172" s="1637"/>
      <c r="N172" s="1161"/>
      <c r="O172" s="1161"/>
      <c r="P172" s="1161"/>
      <c r="Q172" s="1161"/>
      <c r="R172" s="1637"/>
      <c r="S172" s="1161"/>
      <c r="T172" s="1161"/>
      <c r="U172" s="545"/>
      <c r="V172" s="1161"/>
      <c r="W172" s="1161"/>
      <c r="X172" s="1161"/>
      <c r="Y172" s="1161"/>
      <c r="Z172" s="1161"/>
      <c r="AA172" s="1633"/>
      <c r="AB172" s="567"/>
      <c r="AC172" s="567"/>
      <c r="AD172" s="567"/>
      <c r="AE172" s="567"/>
      <c r="AF172" s="1642">
        <v>11</v>
      </c>
    </row>
    <row s="1642" customFormat="1" customHeight="1" ht="11.549999999999999">
      <c r="A173" s="988"/>
      <c r="B173" s="1637"/>
      <c r="C173" s="1637"/>
      <c r="D173" s="352"/>
      <c r="K173" s="1161"/>
      <c r="L173" s="1637"/>
      <c r="M173" s="1637"/>
      <c r="N173" s="1161"/>
      <c r="O173" s="1161"/>
      <c r="P173" s="1161"/>
      <c r="Q173" s="1161"/>
      <c r="R173" s="1637"/>
      <c r="S173" s="1161"/>
      <c r="T173" s="1161"/>
      <c r="U173" s="545"/>
      <c r="V173" s="1161"/>
      <c r="W173" s="1161"/>
      <c r="X173" s="1161"/>
      <c r="Y173" s="1161"/>
      <c r="Z173" s="1161"/>
      <c r="AA173" s="1633"/>
      <c r="AB173" s="567"/>
      <c r="AC173" s="567"/>
      <c r="AD173" s="567"/>
      <c r="AE173" s="567"/>
      <c r="AF173" s="1642">
        <v>11</v>
      </c>
    </row>
    <row s="1642" customFormat="1" customHeight="1" ht="11.549999999999999">
      <c r="A174" s="988"/>
      <c r="B174" s="1637"/>
      <c r="C174" s="1637"/>
      <c r="D174" s="352"/>
      <c r="K174" s="1161"/>
      <c r="L174" s="1637"/>
      <c r="M174" s="1637"/>
      <c r="N174" s="1161"/>
      <c r="O174" s="1161"/>
      <c r="P174" s="1161"/>
      <c r="Q174" s="1161"/>
      <c r="R174" s="1637"/>
      <c r="S174" s="1161"/>
      <c r="T174" s="1161"/>
      <c r="U174" s="545"/>
      <c r="V174" s="1161"/>
      <c r="W174" s="1161"/>
      <c r="X174" s="1161"/>
      <c r="Y174" s="1161"/>
      <c r="Z174" s="1161"/>
      <c r="AA174" s="1633"/>
      <c r="AB174" s="567"/>
      <c r="AC174" s="567"/>
      <c r="AD174" s="567"/>
      <c r="AE174" s="567"/>
      <c r="AF174" s="1642">
        <v>11</v>
      </c>
    </row>
    <row s="1642" customFormat="1" customHeight="1" ht="11.549999999999999">
      <c r="A175" s="988"/>
      <c r="B175" s="1637"/>
      <c r="C175" s="1637"/>
      <c r="D175" s="352"/>
      <c r="K175" s="1161"/>
      <c r="L175" s="1637"/>
      <c r="M175" s="1637"/>
      <c r="N175" s="1161"/>
      <c r="O175" s="1161"/>
      <c r="P175" s="1161"/>
      <c r="Q175" s="1161"/>
      <c r="R175" s="1637"/>
      <c r="S175" s="1161"/>
      <c r="T175" s="1161"/>
      <c r="U175" s="545"/>
      <c r="V175" s="1161"/>
      <c r="W175" s="1161"/>
      <c r="X175" s="1161"/>
      <c r="Y175" s="1161"/>
      <c r="Z175" s="1161"/>
      <c r="AA175" s="1633"/>
      <c r="AB175" s="567"/>
      <c r="AC175" s="567"/>
      <c r="AD175" s="567"/>
      <c r="AE175" s="567"/>
      <c r="AF175" s="1642">
        <v>11</v>
      </c>
    </row>
    <row s="1642" customFormat="1" customHeight="1" ht="11.549999999999999">
      <c r="A176" s="988"/>
      <c r="B176" s="1637"/>
      <c r="C176" s="1637"/>
      <c r="D176" s="352"/>
      <c r="K176" s="1161"/>
      <c r="L176" s="1637"/>
      <c r="M176" s="1637"/>
      <c r="N176" s="1161"/>
      <c r="O176" s="1161"/>
      <c r="P176" s="1161"/>
      <c r="Q176" s="1161"/>
      <c r="R176" s="1637"/>
      <c r="S176" s="1161"/>
      <c r="T176" s="1161"/>
      <c r="U176" s="545"/>
      <c r="V176" s="1161"/>
      <c r="W176" s="1161"/>
      <c r="X176" s="1161"/>
      <c r="Y176" s="1161"/>
      <c r="Z176" s="1161"/>
      <c r="AA176" s="1633"/>
      <c r="AB176" s="567"/>
      <c r="AC176" s="567"/>
      <c r="AD176" s="567"/>
      <c r="AE176" s="567"/>
      <c r="AF176" s="1642">
        <v>11</v>
      </c>
    </row>
    <row s="1642" customFormat="1" customHeight="1" ht="11.549999999999999">
      <c r="A177" s="988"/>
      <c r="B177" s="1637"/>
      <c r="C177" s="1637"/>
      <c r="D177" s="352"/>
      <c r="K177" s="1161"/>
      <c r="L177" s="1637"/>
      <c r="M177" s="1637"/>
      <c r="N177" s="1161"/>
      <c r="O177" s="1161"/>
      <c r="P177" s="1161"/>
      <c r="Q177" s="1161"/>
      <c r="R177" s="1637"/>
      <c r="S177" s="1161"/>
      <c r="T177" s="1161"/>
      <c r="U177" s="545"/>
      <c r="V177" s="1161"/>
      <c r="W177" s="1161"/>
      <c r="X177" s="1161"/>
      <c r="Y177" s="1161"/>
      <c r="Z177" s="1161"/>
      <c r="AA177" s="1633"/>
      <c r="AB177" s="567"/>
      <c r="AC177" s="567"/>
      <c r="AD177" s="567"/>
      <c r="AE177" s="567"/>
      <c r="AF177" s="1642">
        <v>11</v>
      </c>
    </row>
    <row s="1642" customFormat="1" customHeight="1" ht="11.549999999999999">
      <c r="A178" s="988"/>
      <c r="B178" s="1637"/>
      <c r="C178" s="1637"/>
      <c r="D178" s="352"/>
      <c r="K178" s="1161"/>
      <c r="L178" s="1637"/>
      <c r="M178" s="1637"/>
      <c r="N178" s="1161"/>
      <c r="O178" s="1161"/>
      <c r="P178" s="1161"/>
      <c r="Q178" s="1161"/>
      <c r="R178" s="1637"/>
      <c r="S178" s="1161"/>
      <c r="T178" s="1161"/>
      <c r="U178" s="545"/>
      <c r="V178" s="1161"/>
      <c r="W178" s="1161"/>
      <c r="X178" s="1161"/>
      <c r="Y178" s="1161"/>
      <c r="Z178" s="1161"/>
      <c r="AA178" s="1633"/>
      <c r="AB178" s="567"/>
      <c r="AC178" s="567"/>
      <c r="AD178" s="567"/>
      <c r="AE178" s="567"/>
      <c r="AF178" s="1642">
        <v>11</v>
      </c>
    </row>
    <row s="1642" customFormat="1" customHeight="1" ht="11.549999999999999">
      <c r="A179" s="988"/>
      <c r="B179" s="1637"/>
      <c r="C179" s="1637"/>
      <c r="D179" s="352"/>
      <c r="K179" s="1161"/>
      <c r="L179" s="1637"/>
      <c r="M179" s="1637"/>
      <c r="N179" s="1161"/>
      <c r="O179" s="1161"/>
      <c r="P179" s="1161"/>
      <c r="Q179" s="1161"/>
      <c r="R179" s="1637"/>
      <c r="S179" s="1161"/>
      <c r="T179" s="1161"/>
      <c r="U179" s="545"/>
      <c r="V179" s="1161"/>
      <c r="W179" s="1161"/>
      <c r="X179" s="1161"/>
      <c r="Y179" s="1161"/>
      <c r="Z179" s="1161"/>
      <c r="AA179" s="1633"/>
      <c r="AB179" s="567"/>
      <c r="AC179" s="567"/>
      <c r="AD179" s="567"/>
      <c r="AE179" s="567"/>
      <c r="AF179" s="1642">
        <v>11</v>
      </c>
    </row>
    <row s="1642" customFormat="1" customHeight="1" ht="11.549999999999999">
      <c r="A180" s="988"/>
      <c r="B180" s="1637"/>
      <c r="C180" s="1637"/>
      <c r="D180" s="352"/>
      <c r="K180" s="1161"/>
      <c r="L180" s="1637"/>
      <c r="M180" s="1637"/>
      <c r="N180" s="1161"/>
      <c r="O180" s="1161"/>
      <c r="P180" s="1161"/>
      <c r="Q180" s="1161"/>
      <c r="R180" s="1637"/>
      <c r="S180" s="1161"/>
      <c r="T180" s="1161"/>
      <c r="U180" s="545"/>
      <c r="V180" s="1161"/>
      <c r="W180" s="1161"/>
      <c r="X180" s="1161"/>
      <c r="Y180" s="1161"/>
      <c r="Z180" s="1161"/>
      <c r="AA180" s="1633"/>
      <c r="AB180" s="567"/>
      <c r="AC180" s="567"/>
      <c r="AD180" s="567"/>
      <c r="AE180" s="567"/>
      <c r="AF180" s="1642">
        <v>11</v>
      </c>
    </row>
    <row s="1642" customFormat="1" customHeight="1" ht="11.549999999999999">
      <c r="A181" s="988"/>
      <c r="B181" s="1637"/>
      <c r="C181" s="1637"/>
      <c r="D181" s="352"/>
      <c r="K181" s="1161"/>
      <c r="L181" s="1637"/>
      <c r="M181" s="1637"/>
      <c r="N181" s="1161"/>
      <c r="O181" s="1161"/>
      <c r="P181" s="1161"/>
      <c r="Q181" s="1161"/>
      <c r="R181" s="1637"/>
      <c r="S181" s="1161"/>
      <c r="T181" s="1161"/>
      <c r="U181" s="545"/>
      <c r="V181" s="1161"/>
      <c r="W181" s="1161"/>
      <c r="X181" s="1161"/>
      <c r="Y181" s="1161"/>
      <c r="Z181" s="1161"/>
      <c r="AA181" s="1633"/>
      <c r="AB181" s="567"/>
      <c r="AC181" s="567"/>
      <c r="AD181" s="567"/>
      <c r="AE181" s="567"/>
      <c r="AF181" s="1642">
        <v>11</v>
      </c>
    </row>
    <row s="1642" customFormat="1" customHeight="1" ht="11.549999999999999">
      <c r="A182" s="988"/>
      <c r="B182" s="1637"/>
      <c r="C182" s="1637"/>
      <c r="D182" s="352"/>
      <c r="K182" s="1161"/>
      <c r="L182" s="1637"/>
      <c r="M182" s="1637"/>
      <c r="N182" s="1161"/>
      <c r="O182" s="1161"/>
      <c r="P182" s="1161"/>
      <c r="Q182" s="1161"/>
      <c r="R182" s="1637"/>
      <c r="S182" s="1161"/>
      <c r="T182" s="1161"/>
      <c r="U182" s="545"/>
      <c r="V182" s="1161"/>
      <c r="W182" s="1161"/>
      <c r="X182" s="1161"/>
      <c r="Y182" s="1161"/>
      <c r="Z182" s="1161"/>
      <c r="AA182" s="1633"/>
      <c r="AB182" s="567"/>
      <c r="AC182" s="567"/>
      <c r="AD182" s="567"/>
      <c r="AE182" s="567"/>
      <c r="AF182" s="1642">
        <v>11</v>
      </c>
    </row>
    <row s="1642" customFormat="1" customHeight="1" ht="11.549999999999999">
      <c r="A183" s="988"/>
      <c r="B183" s="1637"/>
      <c r="C183" s="1637"/>
      <c r="D183" s="352"/>
      <c r="K183" s="1161"/>
      <c r="L183" s="1637"/>
      <c r="M183" s="1637"/>
      <c r="N183" s="1161"/>
      <c r="O183" s="1161"/>
      <c r="P183" s="1161"/>
      <c r="Q183" s="1161"/>
      <c r="R183" s="1637"/>
      <c r="S183" s="1161"/>
      <c r="T183" s="1161"/>
      <c r="U183" s="545"/>
      <c r="V183" s="1161"/>
      <c r="W183" s="1161"/>
      <c r="X183" s="1161"/>
      <c r="Y183" s="1161"/>
      <c r="Z183" s="1161"/>
      <c r="AA183" s="1633"/>
      <c r="AB183" s="567"/>
      <c r="AC183" s="567"/>
      <c r="AD183" s="567"/>
      <c r="AE183" s="567"/>
      <c r="AF183" s="1642">
        <v>11</v>
      </c>
    </row>
    <row s="1642" customFormat="1" customHeight="1" ht="11.549999999999999">
      <c r="A184" s="988"/>
      <c r="B184" s="1637"/>
      <c r="C184" s="1637"/>
      <c r="D184" s="352"/>
      <c r="K184" s="1161"/>
      <c r="L184" s="1637"/>
      <c r="M184" s="1637"/>
      <c r="N184" s="1161"/>
      <c r="O184" s="1161"/>
      <c r="P184" s="1161"/>
      <c r="Q184" s="1161"/>
      <c r="R184" s="1637"/>
      <c r="S184" s="1161"/>
      <c r="T184" s="1161"/>
      <c r="U184" s="545"/>
      <c r="V184" s="1161"/>
      <c r="W184" s="1161"/>
      <c r="X184" s="1161"/>
      <c r="Y184" s="1161"/>
      <c r="Z184" s="1161"/>
      <c r="AA184" s="1633"/>
      <c r="AB184" s="567"/>
      <c r="AC184" s="567"/>
      <c r="AD184" s="567"/>
      <c r="AE184" s="567"/>
      <c r="AF184" s="1642">
        <v>11</v>
      </c>
    </row>
    <row s="1642" customFormat="1" customHeight="1" ht="11.549999999999999">
      <c r="A185" s="988"/>
      <c r="B185" s="1637"/>
      <c r="C185" s="1637"/>
      <c r="D185" s="352"/>
      <c r="K185" s="1161"/>
      <c r="L185" s="1637"/>
      <c r="M185" s="1637"/>
      <c r="N185" s="1161"/>
      <c r="O185" s="1161"/>
      <c r="P185" s="1161"/>
      <c r="Q185" s="1161"/>
      <c r="R185" s="1637"/>
      <c r="S185" s="1161"/>
      <c r="T185" s="1161"/>
      <c r="U185" s="545"/>
      <c r="V185" s="1161"/>
      <c r="W185" s="1161"/>
      <c r="X185" s="1161"/>
      <c r="Y185" s="1161"/>
      <c r="Z185" s="1161"/>
      <c r="AA185" s="1633"/>
      <c r="AB185" s="567"/>
      <c r="AC185" s="567"/>
      <c r="AD185" s="567"/>
      <c r="AE185" s="567"/>
      <c r="AF185" s="1642">
        <v>11</v>
      </c>
    </row>
    <row s="1642" customFormat="1" customHeight="1" ht="11.549999999999999">
      <c r="A186" s="988"/>
      <c r="B186" s="1637"/>
      <c r="C186" s="1637"/>
      <c r="D186" s="352"/>
      <c r="K186" s="1161"/>
      <c r="L186" s="1637"/>
      <c r="M186" s="1637"/>
      <c r="N186" s="1161"/>
      <c r="O186" s="1161"/>
      <c r="P186" s="1161"/>
      <c r="Q186" s="1161"/>
      <c r="R186" s="1637"/>
      <c r="S186" s="1161"/>
      <c r="T186" s="1161"/>
      <c r="U186" s="545"/>
      <c r="V186" s="1161"/>
      <c r="W186" s="1161"/>
      <c r="X186" s="1161"/>
      <c r="Y186" s="1161"/>
      <c r="Z186" s="1161"/>
      <c r="AA186" s="1633"/>
      <c r="AB186" s="567"/>
      <c r="AC186" s="567"/>
      <c r="AD186" s="567"/>
      <c r="AE186" s="567"/>
      <c r="AF186" s="1642">
        <v>11</v>
      </c>
    </row>
    <row s="1642" customFormat="1" customHeight="1" ht="11.549999999999999">
      <c r="A187" s="988"/>
      <c r="B187" s="1637"/>
      <c r="C187" s="1637"/>
      <c r="D187" s="352"/>
      <c r="K187" s="1161"/>
      <c r="L187" s="1637"/>
      <c r="M187" s="1637"/>
      <c r="N187" s="1161"/>
      <c r="O187" s="1161"/>
      <c r="P187" s="1161"/>
      <c r="Q187" s="1161"/>
      <c r="R187" s="1637"/>
      <c r="S187" s="1161"/>
      <c r="T187" s="1161"/>
      <c r="U187" s="545"/>
      <c r="V187" s="1161"/>
      <c r="W187" s="1161"/>
      <c r="X187" s="1161"/>
      <c r="Y187" s="1161"/>
      <c r="Z187" s="1161"/>
      <c r="AA187" s="1633"/>
      <c r="AB187" s="567"/>
      <c r="AC187" s="567"/>
      <c r="AD187" s="567"/>
      <c r="AE187" s="567"/>
      <c r="AF187" s="1642">
        <v>11</v>
      </c>
    </row>
    <row s="1642" customFormat="1" customHeight="1" ht="11.549999999999999">
      <c r="A188" s="988"/>
      <c r="B188" s="1637"/>
      <c r="C188" s="1637"/>
      <c r="D188" s="352"/>
      <c r="K188" s="1161"/>
      <c r="L188" s="1637"/>
      <c r="M188" s="1637"/>
      <c r="N188" s="1161"/>
      <c r="O188" s="1161"/>
      <c r="P188" s="1161"/>
      <c r="Q188" s="1161"/>
      <c r="R188" s="1637"/>
      <c r="S188" s="1161"/>
      <c r="T188" s="1161"/>
      <c r="U188" s="545"/>
      <c r="V188" s="1161"/>
      <c r="W188" s="1161"/>
      <c r="X188" s="1161"/>
      <c r="Y188" s="1161"/>
      <c r="Z188" s="1161"/>
      <c r="AA188" s="1633"/>
      <c r="AB188" s="567"/>
      <c r="AC188" s="567"/>
      <c r="AD188" s="567"/>
      <c r="AE188" s="567"/>
      <c r="AF188" s="1642">
        <v>11</v>
      </c>
    </row>
    <row s="1642" customFormat="1" customHeight="1" ht="11.549999999999999">
      <c r="A189" s="988"/>
      <c r="B189" s="1637"/>
      <c r="C189" s="1637"/>
      <c r="D189" s="352"/>
      <c r="K189" s="1161"/>
      <c r="L189" s="1637"/>
      <c r="M189" s="1637"/>
      <c r="N189" s="1161"/>
      <c r="O189" s="1161"/>
      <c r="P189" s="1161"/>
      <c r="Q189" s="1161"/>
      <c r="R189" s="1637"/>
      <c r="S189" s="1161"/>
      <c r="T189" s="1161"/>
      <c r="U189" s="545"/>
      <c r="V189" s="1161"/>
      <c r="W189" s="1161"/>
      <c r="X189" s="1161"/>
      <c r="Y189" s="1161"/>
      <c r="Z189" s="1161"/>
      <c r="AA189" s="1633"/>
      <c r="AB189" s="567"/>
      <c r="AC189" s="567"/>
      <c r="AD189" s="567"/>
      <c r="AE189" s="567"/>
      <c r="AF189" s="1642">
        <v>11</v>
      </c>
    </row>
    <row s="1642" customFormat="1" customHeight="1" ht="11.549999999999999">
      <c r="A190" s="988"/>
      <c r="B190" s="1637"/>
      <c r="C190" s="1637"/>
      <c r="D190" s="352"/>
      <c r="K190" s="1161"/>
      <c r="L190" s="1637"/>
      <c r="M190" s="1637"/>
      <c r="N190" s="1161"/>
      <c r="O190" s="1161"/>
      <c r="P190" s="1161"/>
      <c r="Q190" s="1161"/>
      <c r="R190" s="1637"/>
      <c r="S190" s="1161"/>
      <c r="T190" s="1161"/>
      <c r="U190" s="545"/>
      <c r="V190" s="1161"/>
      <c r="W190" s="1161"/>
      <c r="X190" s="1161"/>
      <c r="Y190" s="1161"/>
      <c r="Z190" s="1161"/>
      <c r="AA190" s="1633"/>
      <c r="AB190" s="567"/>
      <c r="AC190" s="567"/>
      <c r="AD190" s="567"/>
      <c r="AE190" s="567"/>
      <c r="AF190" s="1642">
        <v>11</v>
      </c>
    </row>
    <row s="1642" customFormat="1" customHeight="1" ht="11.549999999999999">
      <c r="A191" s="988"/>
      <c r="B191" s="1637"/>
      <c r="C191" s="1637"/>
      <c r="D191" s="352"/>
      <c r="K191" s="1161"/>
      <c r="L191" s="1637"/>
      <c r="M191" s="1637"/>
      <c r="N191" s="1161"/>
      <c r="O191" s="1161"/>
      <c r="P191" s="1161"/>
      <c r="Q191" s="1161"/>
      <c r="R191" s="1637"/>
      <c r="S191" s="1161"/>
      <c r="T191" s="1161"/>
      <c r="U191" s="545"/>
      <c r="V191" s="1161"/>
      <c r="W191" s="1161"/>
      <c r="X191" s="1161"/>
      <c r="Y191" s="1161"/>
      <c r="Z191" s="1161"/>
      <c r="AA191" s="1633"/>
      <c r="AB191" s="567"/>
      <c r="AC191" s="567"/>
      <c r="AD191" s="567"/>
      <c r="AE191" s="567"/>
      <c r="AF191" s="1642">
        <v>11</v>
      </c>
    </row>
    <row s="1642" customFormat="1" customHeight="1" ht="11.549999999999999">
      <c r="A192" s="988"/>
      <c r="B192" s="1637"/>
      <c r="C192" s="1637"/>
      <c r="D192" s="352"/>
      <c r="K192" s="1161"/>
      <c r="L192" s="1637"/>
      <c r="M192" s="1637"/>
      <c r="N192" s="1161"/>
      <c r="O192" s="1161"/>
      <c r="P192" s="1161"/>
      <c r="Q192" s="1161"/>
      <c r="R192" s="1637"/>
      <c r="S192" s="1161"/>
      <c r="T192" s="1161"/>
      <c r="U192" s="545"/>
      <c r="V192" s="1161"/>
      <c r="W192" s="1161"/>
      <c r="X192" s="1161"/>
      <c r="Y192" s="1161"/>
      <c r="Z192" s="1161"/>
      <c r="AA192" s="1633"/>
      <c r="AB192" s="567"/>
      <c r="AC192" s="567"/>
      <c r="AD192" s="567"/>
      <c r="AE192" s="567"/>
      <c r="AF192" s="1642">
        <v>11</v>
      </c>
    </row>
    <row s="1642" customFormat="1" customHeight="1" ht="11.549999999999999">
      <c r="A193" s="988"/>
      <c r="B193" s="1637"/>
      <c r="C193" s="1637"/>
      <c r="D193" s="352"/>
      <c r="K193" s="1161"/>
      <c r="L193" s="1637"/>
      <c r="M193" s="1637"/>
      <c r="N193" s="1161"/>
      <c r="O193" s="1161"/>
      <c r="P193" s="1161"/>
      <c r="Q193" s="1161"/>
      <c r="R193" s="1637"/>
      <c r="S193" s="1161"/>
      <c r="T193" s="1161"/>
      <c r="U193" s="545"/>
      <c r="V193" s="1161"/>
      <c r="W193" s="1161"/>
      <c r="X193" s="1161"/>
      <c r="Y193" s="1161"/>
      <c r="Z193" s="1161"/>
      <c r="AA193" s="1633"/>
      <c r="AB193" s="567"/>
      <c r="AC193" s="567"/>
      <c r="AD193" s="567"/>
      <c r="AE193" s="567"/>
      <c r="AF193" s="1642">
        <v>11</v>
      </c>
    </row>
    <row s="1642" customFormat="1" customHeight="1" ht="11.549999999999999">
      <c r="A194" s="988"/>
      <c r="B194" s="1637"/>
      <c r="C194" s="1637"/>
      <c r="D194" s="352"/>
      <c r="K194" s="1161"/>
      <c r="L194" s="1637"/>
      <c r="M194" s="1637"/>
      <c r="N194" s="1161"/>
      <c r="O194" s="1161"/>
      <c r="P194" s="1161"/>
      <c r="Q194" s="1161"/>
      <c r="R194" s="1637"/>
      <c r="S194" s="1161"/>
      <c r="T194" s="1161"/>
      <c r="U194" s="545"/>
      <c r="V194" s="1161"/>
      <c r="W194" s="1161"/>
      <c r="X194" s="1161"/>
      <c r="Y194" s="1161"/>
      <c r="Z194" s="1161"/>
      <c r="AA194" s="1633"/>
      <c r="AB194" s="567"/>
      <c r="AC194" s="567"/>
      <c r="AD194" s="567"/>
      <c r="AE194" s="567"/>
      <c r="AF194" s="1642">
        <v>11</v>
      </c>
    </row>
    <row s="1642" customFormat="1" customHeight="1" ht="11.549999999999999">
      <c r="A195" s="988"/>
      <c r="B195" s="1637"/>
      <c r="C195" s="1637"/>
      <c r="D195" s="352"/>
      <c r="K195" s="1161"/>
      <c r="L195" s="1637"/>
      <c r="M195" s="1637"/>
      <c r="N195" s="1161"/>
      <c r="O195" s="1161"/>
      <c r="P195" s="1161"/>
      <c r="Q195" s="1161"/>
      <c r="R195" s="1637"/>
      <c r="S195" s="1161"/>
      <c r="T195" s="1161"/>
      <c r="U195" s="545"/>
      <c r="V195" s="1161"/>
      <c r="W195" s="1161"/>
      <c r="X195" s="1161"/>
      <c r="Y195" s="1161"/>
      <c r="Z195" s="1161"/>
      <c r="AA195" s="1633"/>
      <c r="AB195" s="567"/>
      <c r="AC195" s="567"/>
      <c r="AD195" s="567"/>
      <c r="AE195" s="567"/>
      <c r="AF195" s="1642">
        <v>11</v>
      </c>
    </row>
    <row customHeight="1" ht="11.549999999999999">
      <c r="AF196" s="1632">
        <v>11</v>
      </c>
    </row>
    <row customHeight="1" ht="11.549999999999999">
      <c r="AF197" s="1632">
        <v>11</v>
      </c>
    </row>
    <row customHeight="1" ht="11.549999999999999">
      <c r="AF198" s="1632">
        <v>11</v>
      </c>
    </row>
    <row customHeight="1" ht="11.549999999999999">
      <c r="A199" s="991"/>
      <c r="B199" s="1632"/>
      <c r="D199" s="1632"/>
      <c r="K199" s="1632"/>
      <c r="N199" s="1632"/>
      <c r="O199" s="1632"/>
      <c r="P199" s="1632"/>
      <c r="Q199" s="1632"/>
      <c r="S199" s="1632"/>
      <c r="T199" s="1632"/>
      <c r="U199" s="1632"/>
      <c r="V199" s="1632"/>
      <c r="W199" s="1632"/>
      <c r="X199" s="1632"/>
      <c r="Y199" s="1632"/>
      <c r="Z199" s="1632"/>
      <c r="AA199" s="1632"/>
      <c r="AB199" s="1632"/>
      <c r="AC199" s="1632"/>
      <c r="AD199" s="1632"/>
      <c r="AE199" s="1632"/>
      <c r="AF199" s="1632">
        <v>11</v>
      </c>
    </row>
    <row customHeight="1" ht="11.549999999999999">
      <c r="A200" s="991"/>
      <c r="B200" s="1632"/>
      <c r="D200" s="1632"/>
      <c r="K200" s="1632"/>
      <c r="N200" s="1632"/>
      <c r="O200" s="1632"/>
      <c r="P200" s="1632"/>
      <c r="Q200" s="1632"/>
      <c r="S200" s="1632"/>
      <c r="T200" s="1632"/>
      <c r="U200" s="1632"/>
      <c r="V200" s="1632"/>
      <c r="W200" s="1632"/>
      <c r="X200" s="1632"/>
      <c r="Y200" s="1632"/>
      <c r="Z200" s="1632"/>
      <c r="AA200" s="1632"/>
      <c r="AB200" s="1632"/>
      <c r="AC200" s="1632"/>
      <c r="AD200" s="1632"/>
      <c r="AE200" s="1632"/>
      <c r="AF200" s="1632">
        <v>11</v>
      </c>
    </row>
    <row customHeight="1" ht="11.549999999999999">
      <c r="A201" s="991"/>
      <c r="B201" s="1632"/>
      <c r="D201" s="1632"/>
      <c r="K201" s="1632"/>
      <c r="N201" s="1632"/>
      <c r="O201" s="1632"/>
      <c r="P201" s="1632"/>
      <c r="Q201" s="1632"/>
      <c r="S201" s="1632"/>
      <c r="T201" s="1632"/>
      <c r="U201" s="1632"/>
      <c r="V201" s="1632"/>
      <c r="W201" s="1632"/>
      <c r="X201" s="1632"/>
      <c r="Y201" s="1632"/>
      <c r="Z201" s="1632"/>
      <c r="AA201" s="1632"/>
      <c r="AB201" s="1632"/>
      <c r="AC201" s="1632"/>
      <c r="AD201" s="1632"/>
      <c r="AE201" s="1632"/>
      <c r="AF201" s="1632">
        <v>11</v>
      </c>
    </row>
    <row customHeight="1" ht="11.549999999999999">
      <c r="A202" s="991"/>
      <c r="B202" s="1632"/>
      <c r="D202" s="1632"/>
      <c r="K202" s="1632"/>
      <c r="N202" s="1632"/>
      <c r="O202" s="1632"/>
      <c r="P202" s="1632"/>
      <c r="Q202" s="1632"/>
      <c r="S202" s="1632"/>
      <c r="T202" s="1632"/>
      <c r="U202" s="1632"/>
      <c r="V202" s="1632"/>
      <c r="W202" s="1632"/>
      <c r="X202" s="1632"/>
      <c r="Y202" s="1632"/>
      <c r="Z202" s="1632"/>
      <c r="AA202" s="1632"/>
      <c r="AB202" s="1632"/>
      <c r="AC202" s="1632"/>
      <c r="AD202" s="1632"/>
      <c r="AE202" s="1632"/>
      <c r="AF202" s="1632">
        <v>11</v>
      </c>
    </row>
    <row customHeight="1" ht="11.549999999999999">
      <c r="A203" s="991"/>
      <c r="B203" s="1632"/>
      <c r="D203" s="1632"/>
      <c r="K203" s="1632"/>
      <c r="N203" s="1632"/>
      <c r="O203" s="1632"/>
      <c r="P203" s="1632"/>
      <c r="Q203" s="1632"/>
      <c r="S203" s="1632"/>
      <c r="T203" s="1632"/>
      <c r="U203" s="1632"/>
      <c r="V203" s="1632"/>
      <c r="W203" s="1632"/>
      <c r="X203" s="1632"/>
      <c r="Y203" s="1632"/>
      <c r="Z203" s="1632"/>
      <c r="AA203" s="1632"/>
      <c r="AB203" s="1632"/>
      <c r="AC203" s="1632"/>
      <c r="AD203" s="1632"/>
      <c r="AE203" s="1632"/>
      <c r="AF203" s="1632">
        <v>11</v>
      </c>
    </row>
    <row customHeight="1" ht="11.549999999999999">
      <c r="A204" s="991"/>
      <c r="B204" s="1632"/>
      <c r="D204" s="1632"/>
      <c r="K204" s="1632"/>
      <c r="N204" s="1632"/>
      <c r="O204" s="1632"/>
      <c r="P204" s="1632"/>
      <c r="Q204" s="1632"/>
      <c r="S204" s="1632"/>
      <c r="T204" s="1632"/>
      <c r="U204" s="1632"/>
      <c r="V204" s="1632"/>
      <c r="W204" s="1632"/>
      <c r="X204" s="1632"/>
      <c r="Y204" s="1632"/>
      <c r="Z204" s="1632"/>
      <c r="AA204" s="1632"/>
      <c r="AB204" s="1632"/>
      <c r="AC204" s="1632"/>
      <c r="AD204" s="1632"/>
      <c r="AE204" s="1632"/>
      <c r="AF204" s="1632">
        <v>11</v>
      </c>
    </row>
    <row customHeight="1" ht="11.549999999999999">
      <c r="A205" s="991"/>
      <c r="B205" s="1632"/>
      <c r="D205" s="1632"/>
      <c r="K205" s="1632"/>
      <c r="N205" s="1632"/>
      <c r="O205" s="1632"/>
      <c r="P205" s="1632"/>
      <c r="Q205" s="1632"/>
      <c r="S205" s="1632"/>
      <c r="T205" s="1632"/>
      <c r="U205" s="1632"/>
      <c r="V205" s="1632"/>
      <c r="W205" s="1632"/>
      <c r="X205" s="1632"/>
      <c r="Y205" s="1632"/>
      <c r="Z205" s="1632"/>
      <c r="AA205" s="1632"/>
      <c r="AB205" s="1632"/>
      <c r="AC205" s="1632"/>
      <c r="AD205" s="1632"/>
      <c r="AE205" s="1632"/>
      <c r="AF205" s="1632">
        <v>11</v>
      </c>
    </row>
    <row customHeight="1" ht="11.549999999999999">
      <c r="A206" s="991"/>
      <c r="B206" s="1632"/>
      <c r="D206" s="1632"/>
      <c r="K206" s="1632"/>
      <c r="N206" s="1632"/>
      <c r="O206" s="1632"/>
      <c r="P206" s="1632"/>
      <c r="Q206" s="1632"/>
      <c r="S206" s="1632"/>
      <c r="T206" s="1632"/>
      <c r="U206" s="1632"/>
      <c r="V206" s="1632"/>
      <c r="W206" s="1632"/>
      <c r="X206" s="1632"/>
      <c r="Y206" s="1632"/>
      <c r="Z206" s="1632"/>
      <c r="AA206" s="1632"/>
      <c r="AB206" s="1632"/>
      <c r="AC206" s="1632"/>
      <c r="AD206" s="1632"/>
      <c r="AE206" s="1632"/>
      <c r="AF206" s="1632">
        <v>11</v>
      </c>
    </row>
    <row customHeight="1" ht="11.549999999999999">
      <c r="A207" s="991"/>
      <c r="B207" s="1632"/>
      <c r="D207" s="1632"/>
      <c r="K207" s="1632"/>
      <c r="N207" s="1632"/>
      <c r="O207" s="1632"/>
      <c r="P207" s="1632"/>
      <c r="Q207" s="1632"/>
      <c r="S207" s="1632"/>
      <c r="T207" s="1632"/>
      <c r="U207" s="1632"/>
      <c r="V207" s="1632"/>
      <c r="W207" s="1632"/>
      <c r="X207" s="1632"/>
      <c r="Y207" s="1632"/>
      <c r="Z207" s="1632"/>
      <c r="AA207" s="1632"/>
      <c r="AB207" s="1632"/>
      <c r="AC207" s="1632"/>
      <c r="AD207" s="1632"/>
      <c r="AE207" s="1632"/>
      <c r="AF207" s="1632">
        <v>11</v>
      </c>
    </row>
    <row customHeight="1" ht="11.549999999999999">
      <c r="A208" s="991"/>
      <c r="B208" s="1632"/>
      <c r="D208" s="1632"/>
      <c r="K208" s="1632"/>
      <c r="N208" s="1632"/>
      <c r="O208" s="1632"/>
      <c r="P208" s="1632"/>
      <c r="Q208" s="1632"/>
      <c r="S208" s="1632"/>
      <c r="T208" s="1632"/>
      <c r="U208" s="1632"/>
      <c r="V208" s="1632"/>
      <c r="W208" s="1632"/>
      <c r="X208" s="1632"/>
      <c r="Y208" s="1632"/>
      <c r="Z208" s="1632"/>
      <c r="AA208" s="1632"/>
      <c r="AB208" s="1632"/>
      <c r="AC208" s="1632"/>
      <c r="AD208" s="1632"/>
      <c r="AE208" s="1632"/>
      <c r="AF208" s="1632">
        <v>11</v>
      </c>
    </row>
    <row customHeight="1" ht="11.549999999999999">
      <c r="A209" s="991"/>
      <c r="B209" s="1632"/>
      <c r="D209" s="1632"/>
      <c r="K209" s="1632"/>
      <c r="N209" s="1632"/>
      <c r="O209" s="1632"/>
      <c r="P209" s="1632"/>
      <c r="Q209" s="1632"/>
      <c r="S209" s="1632"/>
      <c r="T209" s="1632"/>
      <c r="U209" s="1632"/>
      <c r="V209" s="1632"/>
      <c r="W209" s="1632"/>
      <c r="X209" s="1632"/>
      <c r="Y209" s="1632"/>
      <c r="Z209" s="1632"/>
      <c r="AA209" s="1632"/>
      <c r="AB209" s="1632"/>
      <c r="AC209" s="1632"/>
      <c r="AD209" s="1632"/>
      <c r="AE209" s="1632"/>
      <c r="AF209" s="1632">
        <v>11</v>
      </c>
    </row>
    <row customHeight="1" ht="11.25" hidden="1">
      <c r="A210" s="988" t="s">
        <v>84</v>
      </c>
      <c r="B210" s="1161">
        <v>0</v>
      </c>
      <c r="C210" s="1637">
        <v>0</v>
      </c>
      <c r="D210" s="1636">
        <v>3</v>
      </c>
      <c r="E210" s="1632">
        <v>7</v>
      </c>
      <c r="F210" s="1632">
        <v>54</v>
      </c>
      <c r="G210" s="1632">
        <v>10</v>
      </c>
      <c r="H210" s="1632">
        <v>0</v>
      </c>
      <c r="I210" s="1632">
        <v>40</v>
      </c>
      <c r="J210" s="1632">
        <v>102</v>
      </c>
      <c r="K210" s="1161">
        <v>9</v>
      </c>
      <c r="L210" s="1637">
        <v>5</v>
      </c>
      <c r="M210" s="1637">
        <v>3</v>
      </c>
      <c r="N210" s="1161">
        <v>3</v>
      </c>
      <c r="O210" s="1161">
        <v>3</v>
      </c>
      <c r="P210" s="1161">
        <v>3</v>
      </c>
      <c r="Q210" s="1161">
        <v>3</v>
      </c>
      <c r="R210" s="1637">
        <v>10</v>
      </c>
      <c r="S210" s="1161">
        <v>34</v>
      </c>
      <c r="T210" s="1161">
        <v>9</v>
      </c>
      <c r="U210" s="545">
        <v>8</v>
      </c>
      <c r="V210" s="1161">
        <v>8</v>
      </c>
      <c r="W210" s="1161">
        <v>8</v>
      </c>
      <c r="X210" s="1161">
        <v>8</v>
      </c>
      <c r="Y210" s="1161">
        <v>8</v>
      </c>
      <c r="Z210" s="1161">
        <v>8</v>
      </c>
      <c r="AA210" s="1633">
        <v>8</v>
      </c>
      <c r="AB210" s="1633">
        <v>8</v>
      </c>
      <c r="AC210" s="1633">
        <v>8</v>
      </c>
      <c r="AD210" s="1633">
        <v>8</v>
      </c>
      <c r="AE210" s="1633">
        <v>8</v>
      </c>
      <c r="AF210" s="1632">
        <v>11</v>
      </c>
    </row>
  </sheetData>
  <sheetProtection formatColumns="0" formatRows="0" autoFilter="0" sort="0" insertRows="0" insertColumns="1" deleteRows="0" deleteColumns="0"/>
  <mergeCells count="9">
    <mergeCell ref="F40:G40"/>
    <mergeCell ref="E6:I6"/>
    <mergeCell ref="E7:I7"/>
    <mergeCell ref="F10:G10"/>
    <mergeCell ref="J10:J14"/>
    <mergeCell ref="F11:G11"/>
    <mergeCell ref="F12:G12"/>
    <mergeCell ref="E13:G13"/>
    <mergeCell ref="F39:G39"/>
  </mergeCells>
  <dataValidations count="5">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BCF5F7-AE0C-F9FC-2EE3-0.DF8A45A3}" mc:Ignorable="x14ac xr xr2 xr3">
  <sheetPr>
    <tabColor theme="9" tint="-0.25"/>
  </sheetPr>
  <dimension ref="A1:X102"/>
  <sheetViews>
    <sheetView topLeftCell="A1" showGridLines="0" zoomScale="90" workbookViewId="0">
      <selection activeCell="A1" sqref="A1"/>
    </sheetView>
  </sheetViews>
  <sheetFormatPr defaultColWidth="10.57421875" customHeight="1" defaultRowHeight="11.25"/>
  <cols>
    <col min="1" max="1" style="1167" width="9.140625" hidden="1" customWidth="1"/>
    <col min="2" max="2" style="1643" width="3.57421875" hidden="1" customWidth="1"/>
    <col min="3" max="3" style="1636" width="3.00390625" customWidth="1"/>
    <col min="4" max="4" style="1636" width="7.00390625" customWidth="1"/>
    <col min="5" max="5" style="1636" width="69.00390625" customWidth="1"/>
    <col min="6" max="6" style="1636" width="10.00390625" customWidth="1"/>
    <col min="7" max="8" style="1636" width="44.00390625" hidden="1" customWidth="1"/>
    <col min="9" max="9" style="1636" width="44.00390625" customWidth="1"/>
    <col min="10" max="10" style="1636" width="43.00390625" customWidth="1"/>
    <col min="11" max="11" style="1636" width="73.00390625" customWidth="1"/>
    <col min="12" max="12" style="1636" width="3.00390625" customWidth="1"/>
    <col min="13" max="23" style="1636" width="10.00390625" customWidth="1"/>
    <col min="24" max="24" style="1636" width="10.57421875" hidden="1"/>
  </cols>
  <sheetData>
    <row s="1367" customFormat="1" customHeight="1" ht="22.5" hidden="1">
      <c r="A1" s="537"/>
      <c r="B1" s="512"/>
      <c r="G1" s="418">
        <v>4</v>
      </c>
      <c r="I1" s="418">
        <v>4</v>
      </c>
      <c r="K1" s="418">
        <v>5</v>
      </c>
      <c r="X1" s="418" t="s">
        <v>14</v>
      </c>
    </row>
    <row customHeight="1" ht="3">
      <c r="X2" s="506">
        <v>3</v>
      </c>
    </row>
    <row customHeight="1" ht="78.75">
      <c r="D3" s="2239"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240"/>
      <c r="F3" s="2241"/>
      <c r="X3" s="506">
        <v>75</v>
      </c>
    </row>
    <row s="1636" customFormat="1" customHeight="1" ht="21">
      <c r="A4" s="952"/>
      <c r="B4" s="512"/>
      <c r="D4" s="2215" t="str">
        <f>IF(org=0,"Не определено",org)</f>
        <v>ИМУП «ПОСЖИЛКОМСЕРВИС»</v>
      </c>
      <c r="E4" s="2216"/>
      <c r="F4" s="2217"/>
      <c r="X4" s="759">
        <v>20</v>
      </c>
    </row>
    <row customHeight="1" ht="11.549999999999999">
      <c r="C5" s="510"/>
      <c r="D5" s="589"/>
      <c r="E5" s="589"/>
      <c r="F5" s="589"/>
      <c r="G5" s="589"/>
      <c r="H5" s="753"/>
      <c r="I5" s="589"/>
      <c r="J5" s="753"/>
      <c r="K5" s="589"/>
      <c r="X5" s="506">
        <v>11</v>
      </c>
    </row>
    <row customHeight="1" ht="1.05">
      <c r="C6" s="510"/>
      <c r="D6" s="510"/>
      <c r="E6" s="523"/>
      <c r="F6" s="615"/>
      <c r="G6" s="1023"/>
      <c r="H6" s="1023"/>
      <c r="I6" s="1023" t="s">
        <v>120</v>
      </c>
      <c r="J6" s="1023"/>
      <c r="X6" s="506">
        <v>1</v>
      </c>
    </row>
    <row customHeight="1" ht="11.549999999999999">
      <c r="D7" s="712"/>
      <c r="E7" s="2368" t="s">
        <v>108</v>
      </c>
      <c r="F7" s="2369"/>
      <c r="G7" s="2394" t="str">
        <f>IF(G6="","",INDEX(DIFFERENTIATION_UNMERGE_VD,MATCH(G6,DIFFERENTIATION_ID_DIFF,0)))</f>
        <v/>
      </c>
      <c r="H7" s="2395"/>
      <c r="I7" s="2394">
        <f>IF(I6="","",INDEX(DIFFERENTIATION_UNMERGE_VD,MATCH(I6,DIFFERENTIATION_ID_DIFF,0)))</f>
        <v>0</v>
      </c>
      <c r="J7" s="2395"/>
      <c r="K7" s="2176"/>
      <c r="L7" s="510"/>
      <c r="X7" s="506">
        <v>11</v>
      </c>
    </row>
    <row customHeight="1" ht="11.549999999999999">
      <c r="A8" s="705"/>
      <c r="D8" s="712"/>
      <c r="E8" s="2368" t="s">
        <v>575</v>
      </c>
      <c r="F8" s="2369"/>
      <c r="G8" s="2394" t="str">
        <f>IF(G6="","",INDEX(DIFFERENTIATION_UNMERGE_AREA,MATCH(G6,DIFFERENTIATION_ID_DIFF,0)))</f>
        <v/>
      </c>
      <c r="H8" s="2395"/>
      <c r="I8" s="2394" t="str">
        <f>IF(I6="","",INDEX(DIFFERENTIATION_UNMERGE_AREA,MATCH(I6,DIFFERENTIATION_ID_DIFF,0)))</f>
        <v/>
      </c>
      <c r="J8" s="2395"/>
      <c r="K8" s="2200"/>
      <c r="L8" s="510"/>
      <c r="X8" s="506">
        <v>11</v>
      </c>
    </row>
    <row customHeight="1" ht="11.549999999999999">
      <c r="A9" s="705"/>
      <c r="D9" s="712"/>
      <c r="E9" s="2368" t="s">
        <v>576</v>
      </c>
      <c r="F9" s="2369"/>
      <c r="G9" s="2394" t="str">
        <f>IF(G6="","",INDEX(DIFFERENTIATION_UNMERGE_SYSTEM,MATCH(G6,DIFFERENTIATION_ID_DIFF,0)))</f>
        <v/>
      </c>
      <c r="H9" s="2395"/>
      <c r="I9" s="2394" t="str">
        <f>IF(I6="","",INDEX(DIFFERENTIATION_UNMERGE_SYSTEM,MATCH(I6,DIFFERENTIATION_ID_DIFF,0)))</f>
        <v>без дифференциации</v>
      </c>
      <c r="J9" s="2395"/>
      <c r="K9" s="2200"/>
      <c r="L9" s="510"/>
      <c r="X9" s="506">
        <v>11</v>
      </c>
    </row>
    <row s="1636" customFormat="1" customHeight="1" ht="11.549999999999999">
      <c r="A10" s="1022"/>
      <c r="B10" s="512"/>
      <c r="D10" s="2102" t="s">
        <v>312</v>
      </c>
      <c r="E10" s="2103"/>
      <c r="F10" s="2103"/>
      <c r="G10" s="2103"/>
      <c r="H10" s="2103"/>
      <c r="I10" s="2103"/>
      <c r="J10" s="2104"/>
      <c r="K10" s="2200"/>
      <c r="L10" s="510"/>
      <c r="X10" s="759">
        <v>11</v>
      </c>
    </row>
    <row s="1636" customFormat="1" customHeight="1" ht="24">
      <c r="A11" s="2386"/>
      <c r="B11" s="2386"/>
      <c r="C11" s="658"/>
      <c r="D11" s="704" t="s">
        <v>90</v>
      </c>
      <c r="E11" s="706" t="s">
        <v>817</v>
      </c>
      <c r="F11" s="706" t="s">
        <v>577</v>
      </c>
      <c r="G11" s="466" t="s">
        <v>315</v>
      </c>
      <c r="H11" s="466" t="s">
        <v>402</v>
      </c>
      <c r="I11" s="808" t="s">
        <v>315</v>
      </c>
      <c r="J11" s="809" t="s">
        <v>402</v>
      </c>
      <c r="K11" s="2233"/>
      <c r="L11" s="659"/>
      <c r="X11" s="510">
        <v>23</v>
      </c>
    </row>
    <row s="1643" customFormat="1" customHeight="1" ht="10.5">
      <c r="A12" s="953"/>
      <c r="D12" s="1026" t="s">
        <v>112</v>
      </c>
      <c r="E12" s="1026" t="s">
        <v>113</v>
      </c>
      <c r="F12" s="1026" t="s">
        <v>92</v>
      </c>
      <c r="G12" s="1027" t="str">
        <f>G1&amp;".1"</f>
        <v>4.1</v>
      </c>
      <c r="H12" s="1027" t="str">
        <f>G1&amp;".2"</f>
        <v>4.2</v>
      </c>
      <c r="I12" s="1027" t="str">
        <f>I1&amp;".1"</f>
        <v>4.1</v>
      </c>
      <c r="J12" s="1027" t="str">
        <f>I1&amp;".2"</f>
        <v>4.2</v>
      </c>
      <c r="K12" s="1027"/>
      <c r="X12" s="512">
        <v>10</v>
      </c>
    </row>
    <row customHeight="1" ht="22.5" hidden="1">
      <c r="A13" s="2393" t="s">
        <v>818</v>
      </c>
      <c r="D13" s="954" t="s">
        <v>112</v>
      </c>
      <c r="E13" s="280" t="s">
        <v>819</v>
      </c>
      <c r="F13" s="661" t="s">
        <v>820</v>
      </c>
      <c r="G13" s="558"/>
      <c r="H13" s="662"/>
      <c r="I13" s="558"/>
      <c r="J13" s="662"/>
      <c r="K13" s="290" t="s">
        <v>821</v>
      </c>
      <c r="L13" s="721"/>
      <c r="X13" s="506">
        <v>0</v>
      </c>
    </row>
    <row customHeight="1" ht="22.5" hidden="1">
      <c r="A14" s="2393"/>
      <c r="D14" s="540" t="s">
        <v>113</v>
      </c>
      <c r="E14" s="280" t="s">
        <v>822</v>
      </c>
      <c r="F14" s="661" t="s">
        <v>823</v>
      </c>
      <c r="G14" s="558"/>
      <c r="H14" s="663"/>
      <c r="I14" s="558"/>
      <c r="J14" s="663"/>
      <c r="K14" s="290" t="s">
        <v>824</v>
      </c>
      <c r="L14" s="721"/>
      <c r="X14" s="506">
        <v>0</v>
      </c>
    </row>
    <row s="1636" customFormat="1" customHeight="1" ht="78.75" hidden="1">
      <c r="A15" s="2393"/>
      <c r="B15" s="512"/>
      <c r="D15" s="954" t="s">
        <v>92</v>
      </c>
      <c r="E15" s="708" t="s">
        <v>825</v>
      </c>
      <c r="F15" s="951" t="s">
        <v>318</v>
      </c>
      <c r="G15" s="951" t="s">
        <v>318</v>
      </c>
      <c r="H15" s="107"/>
      <c r="I15" s="951" t="s">
        <v>318</v>
      </c>
      <c r="J15" s="107"/>
      <c r="K15" s="290" t="s">
        <v>826</v>
      </c>
      <c r="L15" s="721"/>
      <c r="X15" s="759">
        <v>0</v>
      </c>
    </row>
    <row s="1636" customFormat="1" customHeight="1" ht="22.5" hidden="1">
      <c r="A16" s="2393"/>
      <c r="B16" s="512"/>
      <c r="D16" s="954" t="s">
        <v>336</v>
      </c>
      <c r="E16" s="955" t="s">
        <v>827</v>
      </c>
      <c r="F16" s="951" t="s">
        <v>828</v>
      </c>
      <c r="G16" s="818"/>
      <c r="H16" s="107"/>
      <c r="I16" s="818"/>
      <c r="J16" s="107"/>
      <c r="K16" s="290"/>
      <c r="L16" s="721"/>
      <c r="X16" s="759">
        <v>0</v>
      </c>
    </row>
    <row s="1636" customFormat="1" customHeight="1" ht="22.5" hidden="1">
      <c r="A17" s="2393"/>
      <c r="B17" s="512"/>
      <c r="D17" s="954" t="s">
        <v>344</v>
      </c>
      <c r="E17" s="955" t="s">
        <v>829</v>
      </c>
      <c r="F17" s="951" t="s">
        <v>830</v>
      </c>
      <c r="G17" s="818"/>
      <c r="H17" s="107"/>
      <c r="I17" s="818"/>
      <c r="J17" s="107"/>
      <c r="K17" s="290"/>
      <c r="L17" s="721"/>
      <c r="X17" s="759">
        <v>0</v>
      </c>
    </row>
    <row s="1636" customFormat="1" customHeight="1" ht="33.75" hidden="1">
      <c r="A18" s="2393"/>
      <c r="B18" s="512"/>
      <c r="D18" s="954" t="s">
        <v>346</v>
      </c>
      <c r="E18" s="955" t="s">
        <v>831</v>
      </c>
      <c r="F18" s="951" t="s">
        <v>582</v>
      </c>
      <c r="G18" s="681"/>
      <c r="H18" s="107"/>
      <c r="I18" s="681"/>
      <c r="J18" s="107"/>
      <c r="K18" s="290"/>
      <c r="L18" s="721"/>
      <c r="X18" s="759">
        <v>0</v>
      </c>
    </row>
    <row customHeight="1" ht="101.25" hidden="1">
      <c r="A19" s="2393"/>
      <c r="D19" s="954" t="s">
        <v>93</v>
      </c>
      <c r="E19" s="280" t="s">
        <v>832</v>
      </c>
      <c r="F19" s="661" t="s">
        <v>557</v>
      </c>
      <c r="G19" s="664"/>
      <c r="H19" s="663"/>
      <c r="I19" s="956"/>
      <c r="J19" s="663"/>
      <c r="K19" s="290" t="s">
        <v>833</v>
      </c>
      <c r="L19" s="721"/>
      <c r="X19" s="506">
        <v>0</v>
      </c>
    </row>
    <row s="1636" customFormat="1" customHeight="1" ht="18.75" hidden="1">
      <c r="A20" s="2393"/>
      <c r="C20" s="957"/>
      <c r="D20" s="954" t="s">
        <v>764</v>
      </c>
      <c r="E20" s="955" t="s">
        <v>834</v>
      </c>
      <c r="F20" s="951" t="s">
        <v>318</v>
      </c>
      <c r="G20" s="951" t="s">
        <v>318</v>
      </c>
      <c r="H20" s="950" t="s">
        <v>318</v>
      </c>
      <c r="I20" s="951" t="s">
        <v>318</v>
      </c>
      <c r="J20" s="950" t="s">
        <v>318</v>
      </c>
      <c r="K20" s="949"/>
      <c r="L20" s="721"/>
      <c r="W20" s="676"/>
      <c r="X20" s="759">
        <v>0</v>
      </c>
    </row>
    <row s="1636" customFormat="1" customHeight="1" ht="33.75" hidden="1">
      <c r="A21" s="2393"/>
      <c r="C21" s="957"/>
      <c r="D21" s="954" t="s">
        <v>767</v>
      </c>
      <c r="E21" s="577" t="s">
        <v>835</v>
      </c>
      <c r="F21" s="951" t="s">
        <v>836</v>
      </c>
      <c r="G21" s="681"/>
      <c r="H21" s="107"/>
      <c r="I21" s="681"/>
      <c r="J21" s="107"/>
      <c r="K21" s="949"/>
      <c r="L21" s="721"/>
      <c r="W21" s="676"/>
      <c r="X21" s="759">
        <v>0</v>
      </c>
    </row>
    <row s="1636" customFormat="1" customHeight="1" ht="33.75" hidden="1">
      <c r="A22" s="2393"/>
      <c r="C22" s="957"/>
      <c r="D22" s="954" t="s">
        <v>770</v>
      </c>
      <c r="E22" s="577" t="s">
        <v>837</v>
      </c>
      <c r="F22" s="951" t="s">
        <v>838</v>
      </c>
      <c r="G22" s="681"/>
      <c r="H22" s="107"/>
      <c r="I22" s="681"/>
      <c r="J22" s="107"/>
      <c r="K22" s="949"/>
      <c r="L22" s="721"/>
      <c r="W22" s="676"/>
      <c r="X22" s="759">
        <v>0</v>
      </c>
    </row>
    <row s="1636" customFormat="1" customHeight="1" ht="22.5" hidden="1">
      <c r="A23" s="2393"/>
      <c r="C23" s="957"/>
      <c r="D23" s="954" t="s">
        <v>806</v>
      </c>
      <c r="E23" s="955" t="s">
        <v>839</v>
      </c>
      <c r="F23" s="951" t="s">
        <v>318</v>
      </c>
      <c r="G23" s="951" t="s">
        <v>318</v>
      </c>
      <c r="H23" s="950" t="s">
        <v>318</v>
      </c>
      <c r="I23" s="951" t="s">
        <v>318</v>
      </c>
      <c r="J23" s="950" t="s">
        <v>318</v>
      </c>
      <c r="K23" s="949"/>
      <c r="L23" s="721"/>
      <c r="W23" s="676"/>
      <c r="X23" s="759">
        <v>0</v>
      </c>
    </row>
    <row s="1636" customFormat="1" customHeight="1" ht="22.5" hidden="1">
      <c r="A24" s="2393"/>
      <c r="C24" s="957"/>
      <c r="D24" s="954" t="s">
        <v>840</v>
      </c>
      <c r="E24" s="577" t="s">
        <v>841</v>
      </c>
      <c r="F24" s="951" t="s">
        <v>842</v>
      </c>
      <c r="G24" s="681"/>
      <c r="H24" s="687"/>
      <c r="I24" s="681"/>
      <c r="J24" s="687"/>
      <c r="K24" s="949"/>
      <c r="L24" s="721"/>
      <c r="W24" s="676"/>
      <c r="X24" s="759">
        <v>0</v>
      </c>
    </row>
    <row s="1636" customFormat="1" customHeight="1" ht="22.5" hidden="1">
      <c r="A25" s="2393"/>
      <c r="C25" s="957"/>
      <c r="D25" s="954" t="s">
        <v>843</v>
      </c>
      <c r="E25" s="577" t="s">
        <v>844</v>
      </c>
      <c r="F25" s="951" t="s">
        <v>318</v>
      </c>
      <c r="G25" s="951" t="s">
        <v>318</v>
      </c>
      <c r="H25" s="950" t="s">
        <v>318</v>
      </c>
      <c r="I25" s="951" t="s">
        <v>318</v>
      </c>
      <c r="J25" s="950" t="s">
        <v>318</v>
      </c>
      <c r="K25" s="949"/>
      <c r="L25" s="721"/>
      <c r="W25" s="676"/>
      <c r="X25" s="759">
        <v>0</v>
      </c>
    </row>
    <row s="1636" customFormat="1" customHeight="1" ht="18.75" hidden="1">
      <c r="A26" s="2393"/>
      <c r="C26" s="957"/>
      <c r="D26" s="954" t="s">
        <v>845</v>
      </c>
      <c r="E26" s="554" t="s">
        <v>846</v>
      </c>
      <c r="F26" s="951" t="s">
        <v>847</v>
      </c>
      <c r="G26" s="681"/>
      <c r="H26" s="687"/>
      <c r="I26" s="681"/>
      <c r="J26" s="687"/>
      <c r="K26" s="949"/>
      <c r="L26" s="721"/>
      <c r="W26" s="676"/>
      <c r="X26" s="759">
        <v>0</v>
      </c>
    </row>
    <row s="1636" customFormat="1" customHeight="1" ht="18.75" hidden="1">
      <c r="A27" s="2393"/>
      <c r="C27" s="957"/>
      <c r="D27" s="954" t="s">
        <v>848</v>
      </c>
      <c r="E27" s="554" t="s">
        <v>849</v>
      </c>
      <c r="F27" s="951" t="s">
        <v>850</v>
      </c>
      <c r="G27" s="681"/>
      <c r="H27" s="687"/>
      <c r="I27" s="681"/>
      <c r="J27" s="687"/>
      <c r="K27" s="949"/>
      <c r="L27" s="721"/>
      <c r="W27" s="676"/>
      <c r="X27" s="759">
        <v>0</v>
      </c>
    </row>
    <row s="1636" customFormat="1" customHeight="1" ht="18.75" hidden="1">
      <c r="A28" s="2393"/>
      <c r="C28" s="957"/>
      <c r="D28" s="954" t="s">
        <v>851</v>
      </c>
      <c r="E28" s="577" t="s">
        <v>852</v>
      </c>
      <c r="F28" s="951" t="s">
        <v>318</v>
      </c>
      <c r="G28" s="951" t="s">
        <v>318</v>
      </c>
      <c r="H28" s="950" t="s">
        <v>318</v>
      </c>
      <c r="I28" s="951" t="s">
        <v>318</v>
      </c>
      <c r="J28" s="950" t="s">
        <v>318</v>
      </c>
      <c r="K28" s="949"/>
      <c r="L28" s="721"/>
      <c r="W28" s="676"/>
      <c r="X28" s="759">
        <v>0</v>
      </c>
    </row>
    <row s="1636" customFormat="1" customHeight="1" ht="18.75" hidden="1">
      <c r="A29" s="2393"/>
      <c r="C29" s="957"/>
      <c r="D29" s="954" t="s">
        <v>853</v>
      </c>
      <c r="E29" s="554" t="s">
        <v>846</v>
      </c>
      <c r="F29" s="951" t="s">
        <v>854</v>
      </c>
      <c r="G29" s="681"/>
      <c r="H29" s="687"/>
      <c r="I29" s="681"/>
      <c r="J29" s="687"/>
      <c r="K29" s="949"/>
      <c r="L29" s="721"/>
      <c r="W29" s="676"/>
      <c r="X29" s="759">
        <v>0</v>
      </c>
    </row>
    <row s="1636" customFormat="1" customHeight="1" ht="18.75" hidden="1">
      <c r="A30" s="2393"/>
      <c r="C30" s="957"/>
      <c r="D30" s="954" t="s">
        <v>855</v>
      </c>
      <c r="E30" s="554" t="s">
        <v>856</v>
      </c>
      <c r="F30" s="951" t="s">
        <v>857</v>
      </c>
      <c r="G30" s="681"/>
      <c r="H30" s="687"/>
      <c r="I30" s="681"/>
      <c r="J30" s="687"/>
      <c r="K30" s="949"/>
      <c r="L30" s="721"/>
      <c r="W30" s="676"/>
      <c r="X30" s="759">
        <v>0</v>
      </c>
    </row>
    <row customHeight="1" ht="126.75" hidden="1">
      <c r="A31" s="2393"/>
      <c r="D31" s="954" t="s">
        <v>114</v>
      </c>
      <c r="E31" s="280" t="s">
        <v>858</v>
      </c>
      <c r="F31" s="661" t="s">
        <v>569</v>
      </c>
      <c r="G31" s="558"/>
      <c r="H31" s="663"/>
      <c r="I31" s="558"/>
      <c r="J31" s="663"/>
      <c r="K31" s="290" t="s">
        <v>859</v>
      </c>
      <c r="L31" s="721"/>
      <c r="X31" s="506">
        <v>0</v>
      </c>
    </row>
    <row customHeight="1" ht="56.25" hidden="1">
      <c r="A32" s="2393"/>
      <c r="D32" s="954" t="s">
        <v>94</v>
      </c>
      <c r="E32" s="280" t="s">
        <v>860</v>
      </c>
      <c r="F32" s="540" t="s">
        <v>830</v>
      </c>
      <c r="G32" s="558"/>
      <c r="H32" s="663"/>
      <c r="I32" s="558"/>
      <c r="J32" s="663"/>
      <c r="K32" s="290" t="s">
        <v>861</v>
      </c>
      <c r="L32" s="721"/>
      <c r="X32" s="506">
        <v>0</v>
      </c>
    </row>
    <row customHeight="1" ht="11.25" hidden="1">
      <c r="A33" s="2393"/>
      <c r="E33" s="665"/>
      <c r="F33" s="182"/>
      <c r="G33" s="182"/>
      <c r="H33" s="182"/>
      <c r="I33" s="182"/>
      <c r="J33" s="182"/>
      <c r="K33" s="182"/>
      <c r="X33" s="506">
        <v>0</v>
      </c>
    </row>
    <row customHeight="1" ht="12.75" hidden="1">
      <c r="A34" s="2393"/>
      <c r="D34" s="66">
        <v>1</v>
      </c>
      <c r="E34" s="336" t="s">
        <v>862</v>
      </c>
      <c r="X34" s="506">
        <v>0</v>
      </c>
    </row>
    <row customHeight="1" ht="11.25" hidden="1">
      <c r="A35" s="2393"/>
      <c r="D35" s="370"/>
      <c r="E35" s="336" t="s">
        <v>863</v>
      </c>
      <c r="X35" s="506">
        <v>0</v>
      </c>
    </row>
    <row s="1636" customFormat="1" customHeight="1" ht="11.549999999999999">
      <c r="A36" s="1034"/>
      <c r="B36" s="519"/>
      <c r="D36" s="1035"/>
      <c r="E36" s="1036"/>
      <c r="X36" s="510">
        <v>11</v>
      </c>
    </row>
    <row s="1636" customFormat="1" customHeight="1" ht="22.5">
      <c r="A37" s="2393" t="s">
        <v>864</v>
      </c>
      <c r="B37" s="512"/>
      <c r="D37" s="954">
        <v>1</v>
      </c>
      <c r="E37" s="708" t="s">
        <v>865</v>
      </c>
      <c r="F37" s="661" t="s">
        <v>820</v>
      </c>
      <c r="G37" s="558"/>
      <c r="H37" s="520"/>
      <c r="I37" s="558"/>
      <c r="J37" s="520"/>
      <c r="K37" s="290" t="s">
        <v>866</v>
      </c>
      <c r="X37" s="759">
        <v>0</v>
      </c>
    </row>
    <row s="1636" customFormat="1" customHeight="1" ht="22.5">
      <c r="A38" s="2393"/>
      <c r="B38" s="512"/>
      <c r="D38" s="670" t="s">
        <v>113</v>
      </c>
      <c r="E38" s="1033" t="s">
        <v>867</v>
      </c>
      <c r="F38" s="1037" t="s">
        <v>557</v>
      </c>
      <c r="G38" s="1037" t="s">
        <v>557</v>
      </c>
      <c r="H38" s="1031"/>
      <c r="I38" s="1037" t="s">
        <v>557</v>
      </c>
      <c r="J38" s="1031"/>
      <c r="K38" s="1032"/>
      <c r="X38" s="759">
        <v>0</v>
      </c>
    </row>
    <row s="1636" customFormat="1" customHeight="1" ht="33.75">
      <c r="A39" s="2393"/>
      <c r="B39" s="512"/>
      <c r="D39" s="666" t="s">
        <v>722</v>
      </c>
      <c r="E39" s="724" t="s">
        <v>868</v>
      </c>
      <c r="F39" s="661" t="s">
        <v>869</v>
      </c>
      <c r="G39" s="669"/>
      <c r="H39" s="1024"/>
      <c r="I39" s="669"/>
      <c r="J39" s="1024"/>
      <c r="K39" s="290" t="s">
        <v>870</v>
      </c>
      <c r="X39" s="759">
        <v>0</v>
      </c>
    </row>
    <row s="1636" customFormat="1" customHeight="1" ht="33.75">
      <c r="A40" s="2393"/>
      <c r="B40" s="512"/>
      <c r="D40" s="666" t="s">
        <v>725</v>
      </c>
      <c r="E40" s="724" t="s">
        <v>871</v>
      </c>
      <c r="F40" s="1028" t="s">
        <v>872</v>
      </c>
      <c r="G40" s="742"/>
      <c r="H40" s="1024"/>
      <c r="I40" s="742"/>
      <c r="J40" s="1024"/>
      <c r="K40" s="290" t="s">
        <v>873</v>
      </c>
      <c r="X40" s="759">
        <v>0</v>
      </c>
    </row>
    <row s="1636" customFormat="1" customHeight="1" ht="22.5">
      <c r="A41" s="2393"/>
      <c r="B41" s="512"/>
      <c r="D41" s="666" t="s">
        <v>92</v>
      </c>
      <c r="E41" s="723" t="s">
        <v>874</v>
      </c>
      <c r="F41" s="661" t="s">
        <v>557</v>
      </c>
      <c r="G41" s="661" t="s">
        <v>557</v>
      </c>
      <c r="H41" s="1025"/>
      <c r="I41" s="661" t="s">
        <v>557</v>
      </c>
      <c r="J41" s="1025"/>
      <c r="K41" s="303"/>
      <c r="X41" s="759">
        <v>0</v>
      </c>
    </row>
    <row s="1636" customFormat="1" customHeight="1" ht="45">
      <c r="A42" s="2393"/>
      <c r="B42" s="512"/>
      <c r="D42" s="666" t="s">
        <v>336</v>
      </c>
      <c r="E42" s="724" t="s">
        <v>875</v>
      </c>
      <c r="F42" s="661" t="s">
        <v>569</v>
      </c>
      <c r="G42" s="558"/>
      <c r="H42" s="1025"/>
      <c r="I42" s="558"/>
      <c r="J42" s="1025"/>
      <c r="K42" s="303" t="s">
        <v>876</v>
      </c>
      <c r="X42" s="759">
        <v>0</v>
      </c>
    </row>
    <row s="1636" customFormat="1" customHeight="1" ht="45">
      <c r="A43" s="2393"/>
      <c r="B43" s="512"/>
      <c r="D43" s="666" t="s">
        <v>344</v>
      </c>
      <c r="E43" s="668" t="s">
        <v>877</v>
      </c>
      <c r="F43" s="1029" t="s">
        <v>569</v>
      </c>
      <c r="G43" s="743"/>
      <c r="H43" s="1024"/>
      <c r="I43" s="743"/>
      <c r="J43" s="1024"/>
      <c r="K43" s="303" t="s">
        <v>878</v>
      </c>
      <c r="X43" s="759">
        <v>0</v>
      </c>
    </row>
    <row s="1636" customFormat="1" customHeight="1" ht="11.25">
      <c r="A44" s="2393"/>
      <c r="B44" s="512"/>
      <c r="D44" s="666" t="s">
        <v>93</v>
      </c>
      <c r="E44" s="667" t="s">
        <v>879</v>
      </c>
      <c r="F44" s="661" t="s">
        <v>869</v>
      </c>
      <c r="G44" s="669"/>
      <c r="H44" s="1024"/>
      <c r="I44" s="669"/>
      <c r="J44" s="1024"/>
      <c r="K44" s="290"/>
      <c r="X44" s="759">
        <v>0</v>
      </c>
    </row>
    <row s="1636" customFormat="1" customHeight="1" ht="11.25">
      <c r="A45" s="2393"/>
      <c r="B45" s="512"/>
      <c r="D45" s="666" t="s">
        <v>764</v>
      </c>
      <c r="E45" s="668" t="s">
        <v>880</v>
      </c>
      <c r="F45" s="661" t="s">
        <v>869</v>
      </c>
      <c r="G45" s="669"/>
      <c r="H45" s="1024"/>
      <c r="I45" s="669"/>
      <c r="J45" s="1024"/>
      <c r="K45" s="290"/>
      <c r="X45" s="759">
        <v>0</v>
      </c>
    </row>
    <row s="1636" customFormat="1" customHeight="1" ht="11.25">
      <c r="A46" s="2393"/>
      <c r="B46" s="512"/>
      <c r="D46" s="666" t="s">
        <v>806</v>
      </c>
      <c r="E46" s="668" t="s">
        <v>881</v>
      </c>
      <c r="F46" s="661" t="s">
        <v>869</v>
      </c>
      <c r="G46" s="669"/>
      <c r="H46" s="1024"/>
      <c r="I46" s="669"/>
      <c r="J46" s="1024"/>
      <c r="K46" s="290"/>
      <c r="X46" s="759">
        <v>0</v>
      </c>
    </row>
    <row s="1636" customFormat="1" customHeight="1" ht="11.25">
      <c r="A47" s="2393"/>
      <c r="B47" s="512"/>
      <c r="D47" s="666" t="s">
        <v>809</v>
      </c>
      <c r="E47" s="668" t="s">
        <v>882</v>
      </c>
      <c r="F47" s="661" t="s">
        <v>869</v>
      </c>
      <c r="G47" s="669"/>
      <c r="H47" s="1024"/>
      <c r="I47" s="669"/>
      <c r="J47" s="1024"/>
      <c r="K47" s="290"/>
      <c r="X47" s="759">
        <v>0</v>
      </c>
    </row>
    <row s="1636" customFormat="1" customHeight="1" ht="11.25">
      <c r="A48" s="2393"/>
      <c r="B48" s="512"/>
      <c r="D48" s="666" t="s">
        <v>883</v>
      </c>
      <c r="E48" s="672" t="s">
        <v>884</v>
      </c>
      <c r="F48" s="661" t="s">
        <v>869</v>
      </c>
      <c r="G48" s="669"/>
      <c r="H48" s="1024"/>
      <c r="I48" s="669"/>
      <c r="J48" s="1024"/>
      <c r="K48" s="290"/>
      <c r="X48" s="759">
        <v>0</v>
      </c>
    </row>
    <row s="1636" customFormat="1" customHeight="1" ht="11.25">
      <c r="A49" s="2393"/>
      <c r="B49" s="512"/>
      <c r="D49" s="666" t="s">
        <v>885</v>
      </c>
      <c r="E49" s="672" t="s">
        <v>886</v>
      </c>
      <c r="F49" s="661" t="s">
        <v>869</v>
      </c>
      <c r="G49" s="669"/>
      <c r="H49" s="1024"/>
      <c r="I49" s="669"/>
      <c r="J49" s="1024"/>
      <c r="K49" s="290"/>
      <c r="X49" s="759">
        <v>0</v>
      </c>
    </row>
    <row s="1636" customFormat="1" customHeight="1" ht="11.25">
      <c r="A50" s="2393"/>
      <c r="B50" s="512"/>
      <c r="D50" s="666" t="s">
        <v>887</v>
      </c>
      <c r="E50" s="668" t="s">
        <v>888</v>
      </c>
      <c r="F50" s="661" t="s">
        <v>869</v>
      </c>
      <c r="G50" s="669"/>
      <c r="H50" s="1024"/>
      <c r="I50" s="669"/>
      <c r="J50" s="1024"/>
      <c r="K50" s="290"/>
      <c r="X50" s="759">
        <v>0</v>
      </c>
    </row>
    <row s="1636" customFormat="1" customHeight="1" ht="11.25">
      <c r="A51" s="2393"/>
      <c r="B51" s="512"/>
      <c r="D51" s="666" t="s">
        <v>889</v>
      </c>
      <c r="E51" s="668" t="s">
        <v>890</v>
      </c>
      <c r="F51" s="661" t="s">
        <v>869</v>
      </c>
      <c r="G51" s="669"/>
      <c r="H51" s="1024"/>
      <c r="I51" s="669"/>
      <c r="J51" s="1024"/>
      <c r="K51" s="290"/>
      <c r="X51" s="759">
        <v>0</v>
      </c>
    </row>
    <row s="1636" customFormat="1" customHeight="1" ht="45">
      <c r="A52" s="2393"/>
      <c r="B52" s="512"/>
      <c r="D52" s="666" t="s">
        <v>114</v>
      </c>
      <c r="E52" s="667" t="s">
        <v>891</v>
      </c>
      <c r="F52" s="661" t="s">
        <v>869</v>
      </c>
      <c r="G52" s="669"/>
      <c r="H52" s="1024"/>
      <c r="I52" s="669"/>
      <c r="J52" s="1024"/>
      <c r="K52" s="290"/>
      <c r="X52" s="759">
        <v>0</v>
      </c>
    </row>
    <row s="1636" customFormat="1" customHeight="1" ht="11.25">
      <c r="A53" s="2393"/>
      <c r="B53" s="512"/>
      <c r="D53" s="666" t="s">
        <v>325</v>
      </c>
      <c r="E53" s="668" t="s">
        <v>880</v>
      </c>
      <c r="F53" s="661" t="s">
        <v>869</v>
      </c>
      <c r="G53" s="669"/>
      <c r="H53" s="1024"/>
      <c r="I53" s="669"/>
      <c r="J53" s="1024"/>
      <c r="K53" s="290"/>
      <c r="X53" s="759">
        <v>0</v>
      </c>
    </row>
    <row s="1636" customFormat="1" customHeight="1" ht="11.25">
      <c r="A54" s="2393"/>
      <c r="B54" s="512"/>
      <c r="D54" s="666" t="s">
        <v>892</v>
      </c>
      <c r="E54" s="668" t="s">
        <v>881</v>
      </c>
      <c r="F54" s="661" t="s">
        <v>869</v>
      </c>
      <c r="G54" s="669"/>
      <c r="H54" s="1024"/>
      <c r="I54" s="669"/>
      <c r="J54" s="1024"/>
      <c r="K54" s="290"/>
      <c r="X54" s="759">
        <v>0</v>
      </c>
    </row>
    <row s="1636" customFormat="1" customHeight="1" ht="11.25">
      <c r="A55" s="2393"/>
      <c r="B55" s="512"/>
      <c r="D55" s="666" t="s">
        <v>893</v>
      </c>
      <c r="E55" s="668" t="s">
        <v>882</v>
      </c>
      <c r="F55" s="661" t="s">
        <v>869</v>
      </c>
      <c r="G55" s="669"/>
      <c r="H55" s="1024"/>
      <c r="I55" s="669"/>
      <c r="J55" s="1024"/>
      <c r="K55" s="290"/>
      <c r="X55" s="759">
        <v>0</v>
      </c>
    </row>
    <row s="1636" customFormat="1" customHeight="1" ht="11.25">
      <c r="A56" s="2393"/>
      <c r="B56" s="512"/>
      <c r="D56" s="666" t="s">
        <v>894</v>
      </c>
      <c r="E56" s="672" t="s">
        <v>884</v>
      </c>
      <c r="F56" s="661" t="s">
        <v>869</v>
      </c>
      <c r="G56" s="669"/>
      <c r="H56" s="1024"/>
      <c r="I56" s="669"/>
      <c r="J56" s="1024"/>
      <c r="K56" s="290"/>
      <c r="X56" s="759">
        <v>0</v>
      </c>
    </row>
    <row s="1636" customFormat="1" customHeight="1" ht="11.25">
      <c r="A57" s="2393"/>
      <c r="B57" s="512"/>
      <c r="D57" s="666" t="s">
        <v>895</v>
      </c>
      <c r="E57" s="672" t="s">
        <v>886</v>
      </c>
      <c r="F57" s="661" t="s">
        <v>869</v>
      </c>
      <c r="G57" s="669"/>
      <c r="H57" s="1024"/>
      <c r="I57" s="669"/>
      <c r="J57" s="1024"/>
      <c r="K57" s="290"/>
      <c r="X57" s="759">
        <v>0</v>
      </c>
    </row>
    <row s="1636" customFormat="1" customHeight="1" ht="11.25">
      <c r="A58" s="2393"/>
      <c r="B58" s="512"/>
      <c r="D58" s="666" t="s">
        <v>896</v>
      </c>
      <c r="E58" s="668" t="s">
        <v>888</v>
      </c>
      <c r="F58" s="661" t="s">
        <v>869</v>
      </c>
      <c r="G58" s="669"/>
      <c r="H58" s="1024"/>
      <c r="I58" s="669"/>
      <c r="J58" s="1024"/>
      <c r="K58" s="290"/>
      <c r="X58" s="759">
        <v>0</v>
      </c>
    </row>
    <row s="1636" customFormat="1" customHeight="1" ht="11.25">
      <c r="A59" s="2393"/>
      <c r="B59" s="512"/>
      <c r="D59" s="666" t="s">
        <v>897</v>
      </c>
      <c r="E59" s="668" t="s">
        <v>890</v>
      </c>
      <c r="F59" s="661" t="s">
        <v>869</v>
      </c>
      <c r="G59" s="669"/>
      <c r="H59" s="1024"/>
      <c r="I59" s="669"/>
      <c r="J59" s="1024"/>
      <c r="K59" s="290"/>
      <c r="X59" s="759">
        <v>0</v>
      </c>
    </row>
    <row s="1636" customFormat="1" customHeight="1" ht="33.75">
      <c r="A60" s="2393"/>
      <c r="B60" s="512"/>
      <c r="D60" s="666" t="s">
        <v>94</v>
      </c>
      <c r="E60" s="667" t="s">
        <v>898</v>
      </c>
      <c r="F60" s="722" t="s">
        <v>569</v>
      </c>
      <c r="G60" s="743"/>
      <c r="H60" s="1024"/>
      <c r="I60" s="743"/>
      <c r="J60" s="1024"/>
      <c r="K60" s="303" t="s">
        <v>899</v>
      </c>
      <c r="X60" s="759">
        <v>0</v>
      </c>
    </row>
    <row s="1636" customFormat="1" customHeight="1" ht="33.75">
      <c r="A61" s="2393"/>
      <c r="B61" s="512"/>
      <c r="D61" s="666" t="s">
        <v>95</v>
      </c>
      <c r="E61" s="667" t="s">
        <v>900</v>
      </c>
      <c r="F61" s="727" t="s">
        <v>830</v>
      </c>
      <c r="G61" s="669"/>
      <c r="H61" s="1024"/>
      <c r="I61" s="669"/>
      <c r="J61" s="1024"/>
      <c r="K61" s="290"/>
      <c r="X61" s="759">
        <v>0</v>
      </c>
    </row>
    <row s="1636" customFormat="1" customHeight="1" ht="22.5">
      <c r="A62" s="2393"/>
      <c r="B62" s="512" t="s">
        <v>599</v>
      </c>
      <c r="D62" s="666" t="s">
        <v>115</v>
      </c>
      <c r="E62" s="667" t="s">
        <v>901</v>
      </c>
      <c r="F62" s="727" t="s">
        <v>318</v>
      </c>
      <c r="G62" s="383"/>
      <c r="H62" s="1024"/>
      <c r="I62" s="383"/>
      <c r="J62" s="1024"/>
      <c r="K62" s="290" t="s">
        <v>642</v>
      </c>
      <c r="X62" s="759">
        <v>0</v>
      </c>
    </row>
    <row s="1636" customFormat="1" customHeight="1" ht="45">
      <c r="A63" s="2393"/>
      <c r="B63" s="512" t="s">
        <v>599</v>
      </c>
      <c r="D63" s="666" t="s">
        <v>902</v>
      </c>
      <c r="E63" s="668" t="s">
        <v>903</v>
      </c>
      <c r="F63" s="722" t="s">
        <v>318</v>
      </c>
      <c r="G63" s="383"/>
      <c r="H63" s="1024"/>
      <c r="I63" s="383"/>
      <c r="J63" s="1024"/>
      <c r="K63" s="290" t="s">
        <v>642</v>
      </c>
      <c r="X63" s="759">
        <v>0</v>
      </c>
    </row>
    <row s="1636" customFormat="1" customHeight="1" ht="11.549999999999999">
      <c r="A64" s="1034"/>
      <c r="B64" s="519"/>
      <c r="D64" s="1035"/>
      <c r="E64" s="1036"/>
      <c r="X64" s="510">
        <v>11</v>
      </c>
    </row>
    <row s="1636" customFormat="1" customHeight="1" ht="22.5" hidden="1">
      <c r="A65" s="2393" t="s">
        <v>904</v>
      </c>
      <c r="B65" s="512"/>
      <c r="D65" s="666">
        <v>1</v>
      </c>
      <c r="E65" s="745" t="s">
        <v>905</v>
      </c>
      <c r="F65" s="741" t="s">
        <v>820</v>
      </c>
      <c r="G65" s="742"/>
      <c r="H65" s="1030"/>
      <c r="I65" s="742"/>
      <c r="J65" s="1030"/>
      <c r="K65" s="302" t="s">
        <v>906</v>
      </c>
      <c r="X65" s="759">
        <v>0</v>
      </c>
    </row>
    <row s="1636" customFormat="1" customHeight="1" ht="56.25" hidden="1">
      <c r="A66" s="2393"/>
      <c r="B66" s="512"/>
      <c r="D66" s="744" t="s">
        <v>113</v>
      </c>
      <c r="E66" s="708" t="s">
        <v>907</v>
      </c>
      <c r="F66" s="661" t="s">
        <v>557</v>
      </c>
      <c r="G66" s="661" t="s">
        <v>557</v>
      </c>
      <c r="H66" s="520"/>
      <c r="I66" s="661" t="s">
        <v>557</v>
      </c>
      <c r="J66" s="520"/>
      <c r="K66" s="290"/>
      <c r="X66" s="759">
        <v>0</v>
      </c>
    </row>
    <row s="1636" customFormat="1" customHeight="1" ht="33.75" hidden="1">
      <c r="A67" s="2393"/>
      <c r="B67" s="512"/>
      <c r="D67" s="744" t="s">
        <v>719</v>
      </c>
      <c r="E67" s="955" t="s">
        <v>908</v>
      </c>
      <c r="F67" s="661" t="s">
        <v>872</v>
      </c>
      <c r="G67" s="728"/>
      <c r="H67" s="520"/>
      <c r="I67" s="728"/>
      <c r="J67" s="520"/>
      <c r="K67" s="290"/>
      <c r="X67" s="759">
        <v>0</v>
      </c>
    </row>
    <row s="1636" customFormat="1" customHeight="1" ht="22.5" hidden="1">
      <c r="A68" s="2393"/>
      <c r="B68" s="512"/>
      <c r="D68" s="744" t="s">
        <v>319</v>
      </c>
      <c r="E68" s="955" t="s">
        <v>909</v>
      </c>
      <c r="F68" s="661" t="s">
        <v>872</v>
      </c>
      <c r="G68" s="728"/>
      <c r="H68" s="520"/>
      <c r="I68" s="728"/>
      <c r="J68" s="520"/>
      <c r="K68" s="290"/>
      <c r="X68" s="759">
        <v>0</v>
      </c>
    </row>
    <row s="1636" customFormat="1" customHeight="1" ht="22.5" hidden="1">
      <c r="A69" s="2393"/>
      <c r="B69" s="512"/>
      <c r="D69" s="744" t="s">
        <v>322</v>
      </c>
      <c r="E69" s="955" t="s">
        <v>910</v>
      </c>
      <c r="F69" s="722" t="s">
        <v>569</v>
      </c>
      <c r="G69" s="743"/>
      <c r="H69" s="520"/>
      <c r="I69" s="743"/>
      <c r="J69" s="520"/>
      <c r="K69" s="290"/>
      <c r="X69" s="759">
        <v>0</v>
      </c>
    </row>
    <row s="1636" customFormat="1" customHeight="1" ht="22.5" hidden="1">
      <c r="A70" s="2393"/>
      <c r="B70" s="512"/>
      <c r="D70" s="744" t="s">
        <v>739</v>
      </c>
      <c r="E70" s="955" t="s">
        <v>911</v>
      </c>
      <c r="F70" s="722" t="s">
        <v>569</v>
      </c>
      <c r="G70" s="743"/>
      <c r="H70" s="520"/>
      <c r="I70" s="743"/>
      <c r="J70" s="520"/>
      <c r="K70" s="290"/>
      <c r="X70" s="759">
        <v>0</v>
      </c>
    </row>
    <row s="1636" customFormat="1" customHeight="1" ht="22.5" hidden="1">
      <c r="A71" s="2393"/>
      <c r="B71" s="512"/>
      <c r="D71" s="666" t="s">
        <v>92</v>
      </c>
      <c r="E71" s="667" t="s">
        <v>912</v>
      </c>
      <c r="F71" s="661" t="s">
        <v>872</v>
      </c>
      <c r="G71" s="558"/>
      <c r="H71" s="1031"/>
      <c r="I71" s="558"/>
      <c r="J71" s="1031"/>
      <c r="K71" s="303"/>
      <c r="X71" s="759">
        <v>0</v>
      </c>
    </row>
    <row s="1636" customFormat="1" customHeight="1" ht="56.25" hidden="1">
      <c r="A72" s="2393"/>
      <c r="B72" s="512"/>
      <c r="D72" s="666" t="s">
        <v>93</v>
      </c>
      <c r="E72" s="667" t="s">
        <v>913</v>
      </c>
      <c r="F72" s="722" t="s">
        <v>569</v>
      </c>
      <c r="G72" s="743"/>
      <c r="H72" s="1024"/>
      <c r="I72" s="743"/>
      <c r="J72" s="1024"/>
      <c r="K72" s="303"/>
      <c r="X72" s="759">
        <v>0</v>
      </c>
    </row>
    <row s="1636" customFormat="1" customHeight="1" ht="33.75" hidden="1">
      <c r="A73" s="2393"/>
      <c r="B73" s="512"/>
      <c r="D73" s="666" t="s">
        <v>114</v>
      </c>
      <c r="E73" s="667" t="s">
        <v>914</v>
      </c>
      <c r="F73" s="727" t="s">
        <v>830</v>
      </c>
      <c r="G73" s="669"/>
      <c r="H73" s="1024"/>
      <c r="I73" s="669"/>
      <c r="J73" s="1024"/>
      <c r="K73" s="290"/>
      <c r="X73" s="759">
        <v>0</v>
      </c>
    </row>
    <row s="1636" customFormat="1" customHeight="1" ht="22.5" hidden="1">
      <c r="A74" s="2393"/>
      <c r="B74" s="512" t="s">
        <v>599</v>
      </c>
      <c r="D74" s="666" t="s">
        <v>94</v>
      </c>
      <c r="E74" s="667" t="s">
        <v>915</v>
      </c>
      <c r="F74" s="727" t="s">
        <v>318</v>
      </c>
      <c r="G74" s="383"/>
      <c r="H74" s="1024"/>
      <c r="I74" s="383"/>
      <c r="J74" s="1024"/>
      <c r="K74" s="290" t="s">
        <v>642</v>
      </c>
      <c r="X74" s="759">
        <v>0</v>
      </c>
    </row>
    <row s="1636" customFormat="1" customHeight="1" ht="45" hidden="1">
      <c r="A75" s="2393"/>
      <c r="B75" s="512" t="s">
        <v>599</v>
      </c>
      <c r="D75" s="666" t="s">
        <v>663</v>
      </c>
      <c r="E75" s="668" t="s">
        <v>916</v>
      </c>
      <c r="F75" s="722" t="s">
        <v>318</v>
      </c>
      <c r="G75" s="383"/>
      <c r="H75" s="1024"/>
      <c r="I75" s="383"/>
      <c r="J75" s="1024"/>
      <c r="K75" s="290" t="s">
        <v>642</v>
      </c>
      <c r="X75" s="759">
        <v>0</v>
      </c>
    </row>
    <row s="1636" customFormat="1" customHeight="1" ht="11.549999999999999">
      <c r="A76" s="1034"/>
      <c r="B76" s="519"/>
      <c r="D76" s="1035"/>
      <c r="E76" s="1036"/>
      <c r="X76" s="510">
        <v>11</v>
      </c>
    </row>
    <row s="1636" customFormat="1" customHeight="1" ht="11.25" hidden="1">
      <c r="A77" s="2393" t="s">
        <v>917</v>
      </c>
      <c r="B77" s="512"/>
      <c r="D77" s="666">
        <v>1</v>
      </c>
      <c r="E77" s="667" t="s">
        <v>918</v>
      </c>
      <c r="F77" s="722" t="s">
        <v>820</v>
      </c>
      <c r="G77" s="725"/>
      <c r="H77" s="1024"/>
      <c r="I77" s="725"/>
      <c r="J77" s="1024"/>
      <c r="K77" s="290" t="s">
        <v>919</v>
      </c>
      <c r="X77" s="759">
        <v>0</v>
      </c>
    </row>
    <row s="1636" customFormat="1" customHeight="1" ht="11.25" hidden="1">
      <c r="A78" s="2393"/>
      <c r="B78" s="512"/>
      <c r="D78" s="666" t="s">
        <v>113</v>
      </c>
      <c r="E78" s="667" t="s">
        <v>920</v>
      </c>
      <c r="F78" s="722" t="s">
        <v>820</v>
      </c>
      <c r="G78" s="725"/>
      <c r="H78" s="1024"/>
      <c r="I78" s="725"/>
      <c r="J78" s="1024"/>
      <c r="K78" s="290" t="s">
        <v>921</v>
      </c>
      <c r="X78" s="759">
        <v>0</v>
      </c>
    </row>
    <row s="1636" customFormat="1" customHeight="1" ht="22.5" hidden="1">
      <c r="A79" s="2393"/>
      <c r="B79" s="512"/>
      <c r="D79" s="666" t="s">
        <v>92</v>
      </c>
      <c r="E79" s="723" t="s">
        <v>922</v>
      </c>
      <c r="F79" s="661" t="s">
        <v>869</v>
      </c>
      <c r="G79" s="725"/>
      <c r="H79" s="1024"/>
      <c r="I79" s="725"/>
      <c r="J79" s="1024"/>
      <c r="K79" s="290" t="s">
        <v>923</v>
      </c>
      <c r="X79" s="759">
        <v>0</v>
      </c>
    </row>
    <row s="1636" customFormat="1" customHeight="1" ht="11.25" hidden="1">
      <c r="A80" s="2393"/>
      <c r="B80" s="512"/>
      <c r="D80" s="666" t="s">
        <v>336</v>
      </c>
      <c r="E80" s="724" t="s">
        <v>924</v>
      </c>
      <c r="F80" s="661" t="s">
        <v>869</v>
      </c>
      <c r="G80" s="725"/>
      <c r="H80" s="1024"/>
      <c r="I80" s="725"/>
      <c r="J80" s="1024"/>
      <c r="K80" s="290"/>
      <c r="X80" s="759">
        <v>0</v>
      </c>
    </row>
    <row s="1636" customFormat="1" customHeight="1" ht="11.25" hidden="1">
      <c r="A81" s="2393"/>
      <c r="B81" s="512"/>
      <c r="D81" s="666" t="s">
        <v>344</v>
      </c>
      <c r="E81" s="724" t="s">
        <v>925</v>
      </c>
      <c r="F81" s="661" t="s">
        <v>869</v>
      </c>
      <c r="G81" s="725"/>
      <c r="H81" s="1024"/>
      <c r="I81" s="725"/>
      <c r="J81" s="1024"/>
      <c r="K81" s="290"/>
      <c r="X81" s="759">
        <v>0</v>
      </c>
    </row>
    <row s="1636" customFormat="1" customHeight="1" ht="11.25" hidden="1">
      <c r="A82" s="2393"/>
      <c r="B82" s="512"/>
      <c r="D82" s="666" t="s">
        <v>346</v>
      </c>
      <c r="E82" s="724" t="s">
        <v>926</v>
      </c>
      <c r="F82" s="661" t="s">
        <v>869</v>
      </c>
      <c r="G82" s="725"/>
      <c r="H82" s="1024"/>
      <c r="I82" s="725"/>
      <c r="J82" s="1024"/>
      <c r="K82" s="290"/>
      <c r="X82" s="759">
        <v>0</v>
      </c>
    </row>
    <row s="1636" customFormat="1" customHeight="1" ht="11.25" hidden="1">
      <c r="A83" s="2393"/>
      <c r="B83" s="512"/>
      <c r="D83" s="666" t="s">
        <v>348</v>
      </c>
      <c r="E83" s="724" t="s">
        <v>927</v>
      </c>
      <c r="F83" s="661" t="s">
        <v>869</v>
      </c>
      <c r="G83" s="725"/>
      <c r="H83" s="1024"/>
      <c r="I83" s="725"/>
      <c r="J83" s="1024"/>
      <c r="K83" s="290"/>
      <c r="X83" s="759">
        <v>0</v>
      </c>
    </row>
    <row s="1636" customFormat="1" customHeight="1" ht="11.25" hidden="1">
      <c r="A84" s="2393"/>
      <c r="B84" s="512"/>
      <c r="D84" s="666" t="s">
        <v>928</v>
      </c>
      <c r="E84" s="724" t="s">
        <v>929</v>
      </c>
      <c r="F84" s="661" t="s">
        <v>869</v>
      </c>
      <c r="G84" s="725"/>
      <c r="H84" s="1024"/>
      <c r="I84" s="725"/>
      <c r="J84" s="1024"/>
      <c r="K84" s="290"/>
      <c r="X84" s="759">
        <v>0</v>
      </c>
    </row>
    <row s="1636" customFormat="1" customHeight="1" ht="11.25" hidden="1">
      <c r="A85" s="2393"/>
      <c r="B85" s="512"/>
      <c r="D85" s="666" t="s">
        <v>930</v>
      </c>
      <c r="E85" s="724" t="s">
        <v>931</v>
      </c>
      <c r="F85" s="661" t="s">
        <v>869</v>
      </c>
      <c r="G85" s="725"/>
      <c r="H85" s="1024"/>
      <c r="I85" s="725"/>
      <c r="J85" s="1024"/>
      <c r="K85" s="290"/>
      <c r="X85" s="759">
        <v>0</v>
      </c>
    </row>
    <row s="1636" customFormat="1" customHeight="1" ht="11.25" hidden="1">
      <c r="A86" s="2393"/>
      <c r="B86" s="512"/>
      <c r="D86" s="666" t="s">
        <v>932</v>
      </c>
      <c r="E86" s="724" t="s">
        <v>933</v>
      </c>
      <c r="F86" s="661" t="s">
        <v>869</v>
      </c>
      <c r="G86" s="725"/>
      <c r="H86" s="1024"/>
      <c r="I86" s="725"/>
      <c r="J86" s="1024"/>
      <c r="K86" s="290"/>
      <c r="X86" s="759">
        <v>0</v>
      </c>
    </row>
    <row s="1636" customFormat="1" customHeight="1" ht="45" hidden="1">
      <c r="A87" s="2393"/>
      <c r="B87" s="512"/>
      <c r="D87" s="666" t="s">
        <v>93</v>
      </c>
      <c r="E87" s="667" t="s">
        <v>934</v>
      </c>
      <c r="F87" s="661" t="s">
        <v>869</v>
      </c>
      <c r="G87" s="725"/>
      <c r="H87" s="1024"/>
      <c r="I87" s="725"/>
      <c r="J87" s="1024"/>
      <c r="K87" s="290" t="s">
        <v>935</v>
      </c>
      <c r="X87" s="759">
        <v>0</v>
      </c>
    </row>
    <row s="1636" customFormat="1" customHeight="1" ht="11.25" hidden="1">
      <c r="A88" s="2393"/>
      <c r="B88" s="512"/>
      <c r="D88" s="666" t="s">
        <v>764</v>
      </c>
      <c r="E88" s="724" t="s">
        <v>924</v>
      </c>
      <c r="F88" s="661" t="s">
        <v>869</v>
      </c>
      <c r="G88" s="725"/>
      <c r="H88" s="1024"/>
      <c r="I88" s="725"/>
      <c r="J88" s="1024"/>
      <c r="K88" s="290"/>
      <c r="X88" s="759">
        <v>0</v>
      </c>
    </row>
    <row s="1636" customFormat="1" customHeight="1" ht="11.25" hidden="1">
      <c r="A89" s="2393"/>
      <c r="B89" s="512"/>
      <c r="D89" s="666" t="s">
        <v>806</v>
      </c>
      <c r="E89" s="724" t="s">
        <v>925</v>
      </c>
      <c r="F89" s="661" t="s">
        <v>869</v>
      </c>
      <c r="G89" s="725"/>
      <c r="H89" s="1024"/>
      <c r="I89" s="725"/>
      <c r="J89" s="1024"/>
      <c r="K89" s="290"/>
      <c r="X89" s="759">
        <v>0</v>
      </c>
    </row>
    <row s="1636" customFormat="1" customHeight="1" ht="11.25" hidden="1">
      <c r="A90" s="2393"/>
      <c r="B90" s="512"/>
      <c r="D90" s="666" t="s">
        <v>809</v>
      </c>
      <c r="E90" s="724" t="s">
        <v>926</v>
      </c>
      <c r="F90" s="661" t="s">
        <v>869</v>
      </c>
      <c r="G90" s="725"/>
      <c r="H90" s="1024"/>
      <c r="I90" s="725"/>
      <c r="J90" s="1024"/>
      <c r="K90" s="290"/>
      <c r="X90" s="759">
        <v>0</v>
      </c>
    </row>
    <row s="1636" customFormat="1" customHeight="1" ht="11.25" hidden="1">
      <c r="A91" s="2393"/>
      <c r="B91" s="512"/>
      <c r="D91" s="666" t="s">
        <v>887</v>
      </c>
      <c r="E91" s="724" t="s">
        <v>927</v>
      </c>
      <c r="F91" s="661" t="s">
        <v>869</v>
      </c>
      <c r="G91" s="725"/>
      <c r="H91" s="1024"/>
      <c r="I91" s="725"/>
      <c r="J91" s="1024"/>
      <c r="K91" s="290"/>
      <c r="X91" s="759">
        <v>0</v>
      </c>
    </row>
    <row s="1636" customFormat="1" customHeight="1" ht="11.25" hidden="1">
      <c r="A92" s="2393"/>
      <c r="B92" s="512"/>
      <c r="D92" s="666" t="s">
        <v>889</v>
      </c>
      <c r="E92" s="724" t="s">
        <v>929</v>
      </c>
      <c r="F92" s="661" t="s">
        <v>869</v>
      </c>
      <c r="G92" s="725"/>
      <c r="H92" s="1024"/>
      <c r="I92" s="725"/>
      <c r="J92" s="1024"/>
      <c r="K92" s="290"/>
      <c r="X92" s="759">
        <v>0</v>
      </c>
    </row>
    <row s="1636" customFormat="1" customHeight="1" ht="11.25" hidden="1">
      <c r="A93" s="2393"/>
      <c r="B93" s="512"/>
      <c r="D93" s="666" t="s">
        <v>936</v>
      </c>
      <c r="E93" s="724" t="s">
        <v>931</v>
      </c>
      <c r="F93" s="661" t="s">
        <v>869</v>
      </c>
      <c r="G93" s="725"/>
      <c r="H93" s="1024"/>
      <c r="I93" s="725"/>
      <c r="J93" s="1024"/>
      <c r="K93" s="290"/>
      <c r="X93" s="759">
        <v>0</v>
      </c>
    </row>
    <row s="1636" customFormat="1" customHeight="1" ht="11.25" hidden="1">
      <c r="A94" s="2393"/>
      <c r="B94" s="512"/>
      <c r="D94" s="666" t="s">
        <v>937</v>
      </c>
      <c r="E94" s="724" t="s">
        <v>933</v>
      </c>
      <c r="F94" s="661" t="s">
        <v>869</v>
      </c>
      <c r="G94" s="725"/>
      <c r="H94" s="1024"/>
      <c r="I94" s="725"/>
      <c r="J94" s="1024"/>
      <c r="K94" s="290"/>
      <c r="X94" s="759">
        <v>0</v>
      </c>
    </row>
    <row s="1636" customFormat="1" customHeight="1" ht="24.75" hidden="1">
      <c r="A95" s="2393"/>
      <c r="B95" s="512"/>
      <c r="D95" s="666" t="s">
        <v>114</v>
      </c>
      <c r="E95" s="667" t="s">
        <v>938</v>
      </c>
      <c r="F95" s="726" t="s">
        <v>569</v>
      </c>
      <c r="G95" s="728"/>
      <c r="H95" s="1024"/>
      <c r="I95" s="728"/>
      <c r="J95" s="1024"/>
      <c r="K95" s="290" t="s">
        <v>939</v>
      </c>
      <c r="X95" s="759">
        <v>0</v>
      </c>
    </row>
    <row s="1636" customFormat="1" customHeight="1" ht="33.75" hidden="1">
      <c r="A96" s="2393"/>
      <c r="B96" s="512"/>
      <c r="D96" s="666" t="s">
        <v>94</v>
      </c>
      <c r="E96" s="667" t="s">
        <v>940</v>
      </c>
      <c r="F96" s="727" t="s">
        <v>830</v>
      </c>
      <c r="G96" s="729"/>
      <c r="H96" s="1024"/>
      <c r="I96" s="729"/>
      <c r="J96" s="1024"/>
      <c r="K96" s="290"/>
      <c r="X96" s="759">
        <v>0</v>
      </c>
    </row>
    <row s="1636" customFormat="1" customHeight="1" ht="22.5" hidden="1">
      <c r="A97" s="2393"/>
      <c r="B97" s="512" t="s">
        <v>599</v>
      </c>
      <c r="D97" s="666" t="s">
        <v>95</v>
      </c>
      <c r="E97" s="667" t="s">
        <v>941</v>
      </c>
      <c r="F97" s="727" t="s">
        <v>318</v>
      </c>
      <c r="G97" s="386"/>
      <c r="H97" s="1024"/>
      <c r="I97" s="386"/>
      <c r="J97" s="1024"/>
      <c r="K97" s="290" t="s">
        <v>642</v>
      </c>
      <c r="X97" s="759">
        <v>0</v>
      </c>
    </row>
    <row s="1636" customFormat="1" customHeight="1" ht="45" hidden="1">
      <c r="A98" s="2393"/>
      <c r="B98" s="512" t="s">
        <v>599</v>
      </c>
      <c r="D98" s="666" t="s">
        <v>942</v>
      </c>
      <c r="E98" s="668" t="s">
        <v>943</v>
      </c>
      <c r="F98" s="722" t="s">
        <v>318</v>
      </c>
      <c r="G98" s="386"/>
      <c r="H98" s="1024"/>
      <c r="I98" s="386"/>
      <c r="J98" s="1024"/>
      <c r="K98" s="290" t="s">
        <v>642</v>
      </c>
      <c r="X98" s="759">
        <v>0</v>
      </c>
    </row>
    <row s="1636" customFormat="1" customHeight="1" ht="95.25" hidden="1">
      <c r="A99" s="2393"/>
      <c r="B99" s="512" t="s">
        <v>599</v>
      </c>
      <c r="D99" s="666" t="s">
        <v>115</v>
      </c>
      <c r="E99" s="667" t="s">
        <v>944</v>
      </c>
      <c r="F99" s="722" t="s">
        <v>318</v>
      </c>
      <c r="G99" s="386"/>
      <c r="H99" s="1024"/>
      <c r="I99" s="386"/>
      <c r="J99" s="1024"/>
      <c r="K99" s="290" t="s">
        <v>642</v>
      </c>
      <c r="X99" s="759">
        <v>0</v>
      </c>
    </row>
    <row s="1636" customFormat="1" customHeight="1" ht="22.5" hidden="1">
      <c r="A100" s="2393"/>
      <c r="B100" s="512" t="s">
        <v>599</v>
      </c>
      <c r="D100" s="666" t="s">
        <v>151</v>
      </c>
      <c r="E100" s="667" t="s">
        <v>945</v>
      </c>
      <c r="F100" s="722" t="s">
        <v>318</v>
      </c>
      <c r="G100" s="386"/>
      <c r="H100" s="1024"/>
      <c r="I100" s="386"/>
      <c r="J100" s="1024"/>
      <c r="K100" s="290" t="s">
        <v>642</v>
      </c>
      <c r="X100" s="759">
        <v>0</v>
      </c>
    </row>
    <row s="1636" customFormat="1" customHeight="1" ht="11.549999999999999">
      <c r="A101" s="1034"/>
      <c r="B101" s="519"/>
      <c r="D101" s="1035"/>
      <c r="E101" s="1036"/>
      <c r="X101" s="510">
        <v>11</v>
      </c>
    </row>
    <row customHeight="1" ht="22.5" hidden="1">
      <c r="A102" s="537" t="s">
        <v>84</v>
      </c>
      <c r="B102" s="512">
        <v>0</v>
      </c>
      <c r="C102" s="506">
        <v>3</v>
      </c>
      <c r="D102" s="506">
        <v>7</v>
      </c>
      <c r="E102" s="506">
        <v>69</v>
      </c>
      <c r="F102" s="506">
        <v>10</v>
      </c>
      <c r="G102" s="506">
        <v>0</v>
      </c>
      <c r="H102" s="506">
        <v>0</v>
      </c>
      <c r="I102" s="759">
        <v>43</v>
      </c>
      <c r="J102" s="759">
        <v>43</v>
      </c>
      <c r="K102" s="506">
        <v>73</v>
      </c>
      <c r="L102" s="506">
        <v>3</v>
      </c>
      <c r="M102" s="506">
        <v>10</v>
      </c>
      <c r="N102" s="506">
        <v>10</v>
      </c>
      <c r="O102" s="506">
        <v>10</v>
      </c>
      <c r="P102" s="506">
        <v>10</v>
      </c>
      <c r="Q102" s="506">
        <v>10</v>
      </c>
      <c r="R102" s="506">
        <v>10</v>
      </c>
      <c r="S102" s="506">
        <v>10</v>
      </c>
      <c r="T102" s="506">
        <v>10</v>
      </c>
      <c r="U102" s="506">
        <v>10</v>
      </c>
      <c r="V102" s="506">
        <v>10</v>
      </c>
      <c r="W102" s="506">
        <v>10</v>
      </c>
      <c r="X102" s="506">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7AC0619-0DE4-A898-E93C-0.3603F54A}" mc:Ignorable="x14ac xr xr2 xr3">
  <sheetPr>
    <tabColor rgb="FFE26B0A"/>
  </sheetPr>
  <dimension ref="A1:V40"/>
  <sheetViews>
    <sheetView topLeftCell="A1" showGridLines="0" zoomScale="90" workbookViewId="0">
      <selection activeCell="A1" sqref="A1"/>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36.00390625" customWidth="1"/>
    <col min="6" max="6" style="1636" width="9.00390625" customWidth="1"/>
    <col min="7" max="7" style="1636" width="25.7109375" hidden="1" customWidth="1"/>
    <col min="8" max="8" style="1636" width="33.7109375" hidden="1" customWidth="1"/>
    <col min="9" max="9" style="1636" width="25.7109375" customWidth="1"/>
    <col min="10" max="10" style="1636" width="33.00390625" customWidth="1"/>
    <col min="11" max="11" style="1367" width="93.00390625" customWidth="1"/>
    <col min="12" max="20" style="1636" width="10.00390625" customWidth="1"/>
    <col min="21" max="21" style="676" width="10.00390625" customWidth="1"/>
    <col min="22" max="22" style="1636" width="10.57421875" hidden="1"/>
  </cols>
  <sheetData>
    <row s="1367" customFormat="1" customHeight="1" ht="22.5" hidden="1">
      <c r="C1" s="673"/>
      <c r="G1" s="418">
        <v>4</v>
      </c>
      <c r="I1" s="418">
        <v>4</v>
      </c>
      <c r="U1" s="421"/>
      <c r="V1" s="418" t="s">
        <v>14</v>
      </c>
    </row>
    <row s="1367" customFormat="1" customHeight="1" ht="15" hidden="1">
      <c r="C2" s="673"/>
      <c r="U2" s="421"/>
      <c r="V2" s="418">
        <v>0</v>
      </c>
    </row>
    <row customHeight="1" ht="22.5" hidden="1">
      <c r="A3" s="506"/>
      <c r="B3" s="2398"/>
      <c r="C3" s="2399" t="s">
        <v>234</v>
      </c>
      <c r="D3" s="690" t="str">
        <f>B3&amp;".1"</f>
        <v>.1</v>
      </c>
      <c r="E3" s="691" t="s">
        <v>946</v>
      </c>
      <c r="F3" s="692" t="s">
        <v>318</v>
      </c>
      <c r="G3" s="687"/>
      <c r="H3" s="402"/>
      <c r="I3" s="687"/>
      <c r="J3" s="402"/>
      <c r="K3" s="290" t="s">
        <v>947</v>
      </c>
      <c r="V3" s="506">
        <v>0</v>
      </c>
    </row>
    <row customHeight="1" ht="15" hidden="1">
      <c r="A4" s="506"/>
      <c r="B4" s="2398"/>
      <c r="C4" s="2399"/>
      <c r="D4" s="690" t="str">
        <f>B3&amp;".2"</f>
        <v>.2</v>
      </c>
      <c r="E4" s="691" t="s">
        <v>948</v>
      </c>
      <c r="F4" s="692" t="s">
        <v>318</v>
      </c>
      <c r="G4" s="1739" t="s">
        <v>28</v>
      </c>
      <c r="H4" s="402"/>
      <c r="I4" s="1739" t="s">
        <v>28</v>
      </c>
      <c r="J4" s="402"/>
      <c r="K4" s="290" t="s">
        <v>949</v>
      </c>
      <c r="V4" s="506">
        <v>0</v>
      </c>
    </row>
    <row s="1367" customFormat="1" customHeight="1" ht="15" hidden="1">
      <c r="C5" s="673"/>
      <c r="U5" s="421"/>
      <c r="V5" s="418">
        <v>0</v>
      </c>
    </row>
    <row customHeight="1" ht="22.5" hidden="1">
      <c r="A6" s="506"/>
      <c r="B6" s="2398"/>
      <c r="C6" s="2399" t="s">
        <v>234</v>
      </c>
      <c r="D6" s="690" t="str">
        <f>B6&amp;".1"</f>
        <v>.1</v>
      </c>
      <c r="E6" s="691" t="s">
        <v>950</v>
      </c>
      <c r="F6" s="692" t="s">
        <v>318</v>
      </c>
      <c r="G6" s="687"/>
      <c r="H6" s="402"/>
      <c r="I6" s="687"/>
      <c r="J6" s="402"/>
      <c r="K6" s="290" t="s">
        <v>951</v>
      </c>
      <c r="V6" s="506">
        <v>0</v>
      </c>
    </row>
    <row customHeight="1" ht="15" hidden="1">
      <c r="A7" s="506"/>
      <c r="B7" s="2398"/>
      <c r="C7" s="2399"/>
      <c r="D7" s="690" t="str">
        <f>B6&amp;".2"</f>
        <v>.2</v>
      </c>
      <c r="E7" s="691" t="s">
        <v>948</v>
      </c>
      <c r="F7" s="692" t="s">
        <v>318</v>
      </c>
      <c r="G7" s="1739" t="s">
        <v>28</v>
      </c>
      <c r="H7" s="402"/>
      <c r="I7" s="1739" t="s">
        <v>28</v>
      </c>
      <c r="J7" s="402"/>
      <c r="K7" s="290" t="s">
        <v>949</v>
      </c>
      <c r="V7" s="506">
        <v>0</v>
      </c>
    </row>
    <row s="1367" customFormat="1" customHeight="1" ht="15" hidden="1">
      <c r="C8" s="673"/>
      <c r="U8" s="421"/>
      <c r="V8" s="418">
        <v>0</v>
      </c>
    </row>
    <row customHeight="1" ht="22.5" hidden="1">
      <c r="A9" s="506"/>
      <c r="B9" s="2398"/>
      <c r="C9" s="2399" t="s">
        <v>234</v>
      </c>
      <c r="D9" s="690" t="str">
        <f>B9&amp;".1"</f>
        <v>.1</v>
      </c>
      <c r="E9" s="691" t="s">
        <v>952</v>
      </c>
      <c r="F9" s="692" t="s">
        <v>318</v>
      </c>
      <c r="G9" s="698" t="s">
        <v>28</v>
      </c>
      <c r="H9" s="402" t="s">
        <v>28</v>
      </c>
      <c r="I9" s="698" t="s">
        <v>28</v>
      </c>
      <c r="J9" s="402" t="s">
        <v>28</v>
      </c>
      <c r="K9" s="290"/>
      <c r="V9" s="506">
        <v>0</v>
      </c>
    </row>
    <row customHeight="1" ht="15" hidden="1">
      <c r="A10" s="506"/>
      <c r="B10" s="2398"/>
      <c r="C10" s="2399"/>
      <c r="D10" s="690" t="str">
        <f>B9&amp;".2"</f>
        <v>.2</v>
      </c>
      <c r="E10" s="691" t="s">
        <v>953</v>
      </c>
      <c r="F10" s="692" t="s">
        <v>318</v>
      </c>
      <c r="G10" s="1733" t="s">
        <v>28</v>
      </c>
      <c r="H10" s="402" t="s">
        <v>28</v>
      </c>
      <c r="I10" s="1733" t="s">
        <v>28</v>
      </c>
      <c r="J10" s="402" t="s">
        <v>28</v>
      </c>
      <c r="K10" s="290" t="s">
        <v>954</v>
      </c>
      <c r="V10" s="506">
        <v>0</v>
      </c>
    </row>
    <row customHeight="1" ht="15" hidden="1">
      <c r="A11" s="506"/>
      <c r="B11" s="2398"/>
      <c r="C11" s="2399"/>
      <c r="D11" s="690" t="str">
        <f>B9&amp;".3"</f>
        <v>.3</v>
      </c>
      <c r="E11" s="691" t="s">
        <v>955</v>
      </c>
      <c r="F11" s="692" t="s">
        <v>318</v>
      </c>
      <c r="G11" s="1733" t="s">
        <v>28</v>
      </c>
      <c r="H11" s="402" t="s">
        <v>28</v>
      </c>
      <c r="I11" s="1733" t="s">
        <v>28</v>
      </c>
      <c r="J11" s="402" t="s">
        <v>28</v>
      </c>
      <c r="K11" s="290" t="s">
        <v>956</v>
      </c>
      <c r="V11" s="506">
        <v>0</v>
      </c>
    </row>
    <row s="1367" customFormat="1" customHeight="1" ht="15" hidden="1">
      <c r="C12" s="673"/>
      <c r="U12" s="421"/>
      <c r="V12" s="418">
        <v>0</v>
      </c>
    </row>
    <row customHeight="1" ht="33.75" hidden="1">
      <c r="A13" s="506"/>
      <c r="B13" s="2398"/>
      <c r="C13" s="2399" t="s">
        <v>234</v>
      </c>
      <c r="D13" s="690" t="str">
        <f>B13&amp;".1"</f>
        <v>.1</v>
      </c>
      <c r="E13" s="691" t="s">
        <v>957</v>
      </c>
      <c r="F13" s="692" t="s">
        <v>318</v>
      </c>
      <c r="G13" s="698" t="s">
        <v>28</v>
      </c>
      <c r="H13" s="402" t="s">
        <v>28</v>
      </c>
      <c r="I13" s="698" t="s">
        <v>28</v>
      </c>
      <c r="J13" s="402" t="s">
        <v>28</v>
      </c>
      <c r="K13" s="290" t="s">
        <v>958</v>
      </c>
      <c r="V13" s="506">
        <v>0</v>
      </c>
    </row>
    <row customHeight="1" ht="15" hidden="1">
      <c r="B14" s="2398"/>
      <c r="C14" s="2399"/>
      <c r="D14" s="690" t="str">
        <f>B13&amp;".2"</f>
        <v>.2</v>
      </c>
      <c r="E14" s="691" t="s">
        <v>959</v>
      </c>
      <c r="F14" s="692" t="s">
        <v>318</v>
      </c>
      <c r="G14" s="1733" t="s">
        <v>28</v>
      </c>
      <c r="H14" s="402" t="s">
        <v>28</v>
      </c>
      <c r="I14" s="1733" t="s">
        <v>28</v>
      </c>
      <c r="J14" s="402" t="s">
        <v>28</v>
      </c>
      <c r="K14" s="290" t="s">
        <v>960</v>
      </c>
      <c r="V14" s="506">
        <v>0</v>
      </c>
    </row>
    <row s="1367" customFormat="1" customHeight="1" ht="15" hidden="1">
      <c r="C15" s="673"/>
      <c r="U15" s="421"/>
      <c r="V15" s="418">
        <v>0</v>
      </c>
    </row>
    <row s="1367" customFormat="1" customHeight="1" ht="15" hidden="1">
      <c r="C16" s="673"/>
      <c r="U16" s="421"/>
      <c r="V16" s="418">
        <v>0</v>
      </c>
    </row>
    <row s="1367" customFormat="1" customHeight="1" ht="15" hidden="1">
      <c r="C17" s="673"/>
      <c r="U17" s="421"/>
      <c r="V17" s="418">
        <v>0</v>
      </c>
    </row>
    <row s="1367" customFormat="1" customHeight="1" ht="15" hidden="1">
      <c r="C18" s="673"/>
      <c r="U18" s="421"/>
      <c r="V18" s="418">
        <v>0</v>
      </c>
    </row>
    <row s="1367" customFormat="1" customHeight="1" ht="15" hidden="1">
      <c r="C19" s="673"/>
      <c r="U19" s="421"/>
      <c r="V19" s="418">
        <v>0</v>
      </c>
    </row>
    <row s="1367" customFormat="1" customHeight="1" ht="15" hidden="1">
      <c r="C20" s="673"/>
      <c r="U20" s="421"/>
      <c r="V20" s="418">
        <v>0</v>
      </c>
    </row>
    <row customHeight="1" ht="15.75">
      <c r="C21" s="177"/>
      <c r="D21" s="510"/>
      <c r="E21" s="510"/>
      <c r="F21" s="510"/>
      <c r="G21" s="510"/>
      <c r="H21" s="510"/>
      <c r="I21" s="510"/>
      <c r="J21" s="510"/>
      <c r="V21" s="506">
        <v>15</v>
      </c>
    </row>
    <row customHeight="1" ht="23.25">
      <c r="C22" s="177"/>
      <c r="D22" s="2238"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238"/>
      <c r="F22" s="2238"/>
      <c r="G22" s="2238"/>
      <c r="H22" s="2238"/>
      <c r="I22" s="2238"/>
      <c r="J22" s="677"/>
      <c r="K22" s="538"/>
      <c r="V22" s="506">
        <v>22</v>
      </c>
    </row>
    <row customHeight="1" ht="15.75">
      <c r="C23" s="177"/>
      <c r="D23" s="2177" t="str">
        <f>IF(org=0,"Не определено",org)</f>
        <v>ИМУП «ПОСЖИЛКОМСЕРВИС»</v>
      </c>
      <c r="E23" s="2177"/>
      <c r="F23" s="2177"/>
      <c r="G23" s="2177"/>
      <c r="H23" s="2177"/>
      <c r="I23" s="2177"/>
      <c r="J23" s="677"/>
      <c r="K23" s="538"/>
      <c r="V23" s="506">
        <v>15</v>
      </c>
    </row>
    <row customHeight="1" ht="15.75">
      <c r="C24" s="177"/>
      <c r="D24" s="510"/>
      <c r="E24" s="510"/>
      <c r="F24" s="510"/>
      <c r="G24" s="538">
        <v>22</v>
      </c>
      <c r="H24" s="753"/>
      <c r="I24" s="538">
        <v>22</v>
      </c>
      <c r="J24" s="753"/>
      <c r="V24" s="506">
        <v>15</v>
      </c>
    </row>
    <row s="1636" customFormat="1" customHeight="1" ht="1.05">
      <c r="A25" s="760"/>
      <c r="C25" s="177"/>
      <c r="D25" s="510"/>
      <c r="E25" s="510"/>
      <c r="F25" s="510"/>
      <c r="G25" s="538"/>
      <c r="H25" s="753"/>
      <c r="I25" s="538" t="s">
        <v>120</v>
      </c>
      <c r="J25" s="753"/>
      <c r="K25" s="418"/>
      <c r="U25" s="676"/>
      <c r="V25" s="759">
        <v>1</v>
      </c>
    </row>
    <row customHeight="1" ht="15.75">
      <c r="C26" s="177"/>
      <c r="D26" s="712"/>
      <c r="E26" s="2368" t="s">
        <v>108</v>
      </c>
      <c r="F26" s="2369"/>
      <c r="G26" s="2396" t="str">
        <f>IF(G25="","",INDEX(DIFFERENTIATION_UNMERGE_VD,MATCH(G25,DIFFERENTIATION_ID_DIFF,0)))</f>
        <v/>
      </c>
      <c r="H26" s="2397"/>
      <c r="I26" s="2396">
        <f>IF(I25="","",INDEX(DIFFERENTIATION_UNMERGE_VD,MATCH(I25,DIFFERENTIATION_ID_DIFF,0)))</f>
        <v>0</v>
      </c>
      <c r="J26" s="2397"/>
      <c r="K26" s="2176" t="s">
        <v>313</v>
      </c>
      <c r="V26" s="506">
        <v>15</v>
      </c>
    </row>
    <row s="1636" customFormat="1" customHeight="1" ht="15.75">
      <c r="A27" s="760"/>
      <c r="C27" s="177"/>
      <c r="D27" s="712"/>
      <c r="E27" s="2368" t="s">
        <v>575</v>
      </c>
      <c r="F27" s="2369"/>
      <c r="G27" s="2396" t="str">
        <f>IF(G25="","",INDEX(DIFFERENTIATION_UNMERGE_AREA,MATCH(G25,DIFFERENTIATION_ID_DIFF,0)))</f>
        <v/>
      </c>
      <c r="H27" s="2397"/>
      <c r="I27" s="2396" t="str">
        <f>IF(I25="","",INDEX(DIFFERENTIATION_UNMERGE_AREA,MATCH(I25,DIFFERENTIATION_ID_DIFF,0)))</f>
        <v/>
      </c>
      <c r="J27" s="2397"/>
      <c r="K27" s="2196"/>
      <c r="U27" s="676"/>
      <c r="V27" s="759">
        <v>15</v>
      </c>
    </row>
    <row s="1636" customFormat="1" customHeight="1" ht="15.75">
      <c r="A28" s="760"/>
      <c r="C28" s="177"/>
      <c r="D28" s="712"/>
      <c r="E28" s="2368" t="s">
        <v>576</v>
      </c>
      <c r="F28" s="2369"/>
      <c r="G28" s="2396" t="str">
        <f>IF(G25="","",INDEX(DIFFERENTIATION_UNMERGE_SYSTEM,MATCH(G25,DIFFERENTIATION_ID_DIFF,0)))</f>
        <v/>
      </c>
      <c r="H28" s="2397"/>
      <c r="I28" s="2396" t="str">
        <f>IF(I25="","",INDEX(DIFFERENTIATION_UNMERGE_SYSTEM,MATCH(I25,DIFFERENTIATION_ID_DIFF,0)))</f>
        <v>без дифференциации</v>
      </c>
      <c r="J28" s="2397"/>
      <c r="K28" s="2196"/>
      <c r="U28" s="676"/>
      <c r="V28" s="759">
        <v>15</v>
      </c>
    </row>
    <row s="1636" customFormat="1" customHeight="1" ht="15.75">
      <c r="A29" s="760"/>
      <c r="C29" s="177"/>
      <c r="D29" s="2370" t="s">
        <v>312</v>
      </c>
      <c r="E29" s="2371"/>
      <c r="F29" s="2371"/>
      <c r="G29" s="888"/>
      <c r="H29" s="888"/>
      <c r="I29" s="888"/>
      <c r="J29" s="889"/>
      <c r="K29" s="2196"/>
      <c r="U29" s="676"/>
      <c r="V29" s="759">
        <v>15</v>
      </c>
    </row>
    <row customHeight="1" ht="35.699999999999996">
      <c r="C30" s="177"/>
      <c r="D30" s="762" t="s">
        <v>90</v>
      </c>
      <c r="E30" s="761" t="s">
        <v>314</v>
      </c>
      <c r="F30" s="761" t="s">
        <v>577</v>
      </c>
      <c r="G30" s="809" t="s">
        <v>315</v>
      </c>
      <c r="H30" s="808" t="s">
        <v>402</v>
      </c>
      <c r="I30" s="685" t="s">
        <v>315</v>
      </c>
      <c r="J30" s="466" t="s">
        <v>402</v>
      </c>
      <c r="K30" s="2202"/>
      <c r="V30" s="506">
        <v>34</v>
      </c>
    </row>
    <row customHeight="1" ht="15" hidden="1">
      <c r="C31" s="177"/>
      <c r="D31" s="594"/>
      <c r="E31" s="594"/>
      <c r="F31" s="594"/>
      <c r="G31" s="660"/>
      <c r="H31" s="660"/>
      <c r="I31" s="660"/>
      <c r="J31" s="660"/>
      <c r="K31" s="290"/>
      <c r="V31" s="506">
        <v>0</v>
      </c>
    </row>
    <row customHeight="1" ht="24">
      <c r="A32" s="506"/>
      <c r="B32" s="506" t="s">
        <v>961</v>
      </c>
      <c r="C32" s="527"/>
      <c r="D32" s="693">
        <v>1</v>
      </c>
      <c r="E32" s="694" t="s">
        <v>962</v>
      </c>
      <c r="F32" s="692" t="s">
        <v>318</v>
      </c>
      <c r="G32" s="814" t="s">
        <v>318</v>
      </c>
      <c r="H32" s="814" t="s">
        <v>318</v>
      </c>
      <c r="I32" s="692" t="s">
        <v>318</v>
      </c>
      <c r="J32" s="692" t="s">
        <v>318</v>
      </c>
      <c r="K32" s="290"/>
      <c r="V32" s="506">
        <v>23</v>
      </c>
    </row>
    <row customHeight="1" ht="11.549999999999999">
      <c r="A33" s="506"/>
      <c r="C33" s="506"/>
      <c r="D33" s="348"/>
      <c r="E33" s="581" t="s">
        <v>597</v>
      </c>
      <c r="F33" s="573"/>
      <c r="G33" s="573"/>
      <c r="H33" s="573"/>
      <c r="I33" s="573"/>
      <c r="J33" s="573"/>
      <c r="K33" s="574"/>
      <c r="U33" s="506"/>
      <c r="V33" s="506">
        <v>11</v>
      </c>
    </row>
    <row customHeight="1" ht="24">
      <c r="A34" s="506"/>
      <c r="B34" s="582" t="s">
        <v>647</v>
      </c>
      <c r="C34" s="527"/>
      <c r="D34" s="693">
        <v>2</v>
      </c>
      <c r="E34" s="694" t="s">
        <v>963</v>
      </c>
      <c r="F34" s="821" t="s">
        <v>318</v>
      </c>
      <c r="G34" s="821" t="s">
        <v>318</v>
      </c>
      <c r="H34" s="821" t="s">
        <v>318</v>
      </c>
      <c r="I34" s="692"/>
      <c r="J34" s="692"/>
      <c r="K34" s="290"/>
      <c r="V34" s="506">
        <v>23</v>
      </c>
    </row>
    <row customHeight="1" ht="11.549999999999999">
      <c r="A35" s="506"/>
      <c r="C35" s="506"/>
      <c r="D35" s="348"/>
      <c r="E35" s="581" t="s">
        <v>964</v>
      </c>
      <c r="F35" s="573"/>
      <c r="G35" s="695"/>
      <c r="H35" s="573"/>
      <c r="I35" s="695"/>
      <c r="J35" s="573"/>
      <c r="K35" s="574"/>
      <c r="U35" s="506"/>
      <c r="V35" s="506">
        <v>11</v>
      </c>
    </row>
    <row customHeight="1" ht="71.25">
      <c r="A36" s="506"/>
      <c r="B36" s="506" t="s">
        <v>965</v>
      </c>
      <c r="C36" s="527"/>
      <c r="D36" s="693">
        <v>3</v>
      </c>
      <c r="E36" s="694" t="s">
        <v>966</v>
      </c>
      <c r="F36" s="696" t="s">
        <v>318</v>
      </c>
      <c r="G36" s="815" t="s">
        <v>967</v>
      </c>
      <c r="H36" s="814" t="s">
        <v>318</v>
      </c>
      <c r="I36" s="525" t="s">
        <v>967</v>
      </c>
      <c r="J36" s="692" t="s">
        <v>318</v>
      </c>
      <c r="K36" s="290" t="s">
        <v>968</v>
      </c>
      <c r="V36" s="506">
        <v>68</v>
      </c>
    </row>
    <row customHeight="1" ht="11.549999999999999">
      <c r="A37" s="506"/>
      <c r="C37" s="506"/>
      <c r="D37" s="348"/>
      <c r="E37" s="581" t="s">
        <v>969</v>
      </c>
      <c r="F37" s="573"/>
      <c r="G37" s="695"/>
      <c r="H37" s="695"/>
      <c r="I37" s="695"/>
      <c r="J37" s="695"/>
      <c r="K37" s="574"/>
      <c r="U37" s="506"/>
      <c r="V37" s="506">
        <v>11</v>
      </c>
    </row>
    <row customHeight="1" ht="71.25">
      <c r="A38" s="506"/>
      <c r="B38" s="506" t="s">
        <v>970</v>
      </c>
      <c r="C38" s="527"/>
      <c r="D38" s="693">
        <v>4</v>
      </c>
      <c r="E38" s="694" t="s">
        <v>971</v>
      </c>
      <c r="F38" s="696" t="s">
        <v>318</v>
      </c>
      <c r="G38" s="815" t="s">
        <v>967</v>
      </c>
      <c r="H38" s="816" t="s">
        <v>318</v>
      </c>
      <c r="I38" s="525" t="s">
        <v>967</v>
      </c>
      <c r="J38" s="522" t="s">
        <v>318</v>
      </c>
      <c r="K38" s="680" t="s">
        <v>972</v>
      </c>
      <c r="V38" s="506">
        <v>68</v>
      </c>
    </row>
    <row customHeight="1" ht="11.549999999999999">
      <c r="A39" s="506"/>
      <c r="C39" s="506"/>
      <c r="D39" s="348"/>
      <c r="E39" s="581" t="s">
        <v>973</v>
      </c>
      <c r="F39" s="573"/>
      <c r="G39" s="573"/>
      <c r="H39" s="697"/>
      <c r="I39" s="573"/>
      <c r="J39" s="697"/>
      <c r="K39" s="574"/>
      <c r="U39" s="506"/>
      <c r="V39" s="506">
        <v>11</v>
      </c>
    </row>
    <row customHeight="1" ht="22.5" hidden="1">
      <c r="A40" s="450" t="s">
        <v>84</v>
      </c>
      <c r="B40" s="506">
        <v>0</v>
      </c>
      <c r="C40" s="684">
        <v>4</v>
      </c>
      <c r="D40" s="506">
        <v>6</v>
      </c>
      <c r="E40" s="506">
        <v>36</v>
      </c>
      <c r="F40" s="506">
        <v>9</v>
      </c>
      <c r="G40" s="759">
        <v>0</v>
      </c>
      <c r="H40" s="759">
        <v>0</v>
      </c>
      <c r="I40" s="506">
        <v>25</v>
      </c>
      <c r="J40" s="506">
        <v>33</v>
      </c>
      <c r="K40" s="418">
        <v>93</v>
      </c>
      <c r="L40" s="506">
        <v>10</v>
      </c>
      <c r="M40" s="506">
        <v>10</v>
      </c>
      <c r="N40" s="506">
        <v>10</v>
      </c>
      <c r="O40" s="506">
        <v>10</v>
      </c>
      <c r="P40" s="506">
        <v>10</v>
      </c>
      <c r="Q40" s="506">
        <v>10</v>
      </c>
      <c r="R40" s="506">
        <v>10</v>
      </c>
      <c r="S40" s="506">
        <v>10</v>
      </c>
      <c r="T40" s="506">
        <v>10</v>
      </c>
      <c r="U40" s="676">
        <v>10</v>
      </c>
      <c r="V40" s="506">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13F65BF-C455-D6EA-CB8D-0.AFD79DFD}" mc:Ignorable="x14ac xr xr2 xr3">
  <sheetPr>
    <tabColor theme="9" tint="-0.25"/>
  </sheetPr>
  <dimension ref="A1:AE16"/>
  <sheetViews>
    <sheetView topLeftCell="A1" showGridLines="0" zoomScale="85" workbookViewId="0">
      <selection activeCell="A1" sqref="A1"/>
    </sheetView>
  </sheetViews>
  <sheetFormatPr defaultColWidth="9.140625" customHeight="1" defaultRowHeight="10.5"/>
  <cols>
    <col min="1" max="3" style="1167" width="6.7109375" hidden="1" customWidth="1"/>
    <col min="4" max="4" style="1367" width="6.7109375" hidden="1" customWidth="1"/>
    <col min="5" max="5" style="1636" width="3.00390625" customWidth="1"/>
    <col min="6" max="6" style="1636" width="6.00390625" customWidth="1"/>
    <col min="7" max="7" style="1636" width="37.00390625" customWidth="1"/>
    <col min="8" max="8" style="1636" width="16.00390625" customWidth="1"/>
    <col min="9" max="10" style="1636" width="19.00390625" customWidth="1"/>
    <col min="11" max="11" style="1636" width="24.00390625" customWidth="1"/>
    <col min="12" max="13" style="1636" width="25.00390625" customWidth="1"/>
    <col min="14" max="16" style="1636" width="17.00390625" customWidth="1"/>
    <col min="17" max="24" style="1636" width="19.00390625" customWidth="1"/>
    <col min="25" max="25" style="1636" width="7.00390625" customWidth="1"/>
    <col min="26" max="26" style="1636" width="3.00390625" customWidth="1"/>
    <col min="27" max="27" style="1636" width="6.00390625" customWidth="1"/>
    <col min="28" max="28" style="1636" width="34.00390625" customWidth="1"/>
    <col min="29" max="30" style="1636" width="8.00390625" customWidth="1"/>
    <col min="31" max="31" style="1636" width="9.140625" hidden="1"/>
  </cols>
  <sheetData>
    <row s="1367" customFormat="1" customHeight="1" ht="10.5" hidden="1">
      <c r="A1" s="896"/>
      <c r="B1" s="896"/>
      <c r="C1" s="896"/>
      <c r="E1" s="538"/>
      <c r="H1" s="1161"/>
      <c r="AE1" s="418" t="s">
        <v>14</v>
      </c>
    </row>
    <row customHeight="1" ht="10.5" hidden="1">
      <c r="AE2" s="759">
        <v>0</v>
      </c>
    </row>
    <row s="1633" customFormat="1" customHeight="1" ht="10.5" hidden="1">
      <c r="A3" s="896"/>
      <c r="B3" s="896"/>
      <c r="C3" s="896"/>
      <c r="D3" s="418"/>
      <c r="E3" s="363"/>
      <c r="G3" s="1633" t="s">
        <v>974</v>
      </c>
      <c r="H3" s="1157"/>
      <c r="AE3" s="760">
        <v>0</v>
      </c>
    </row>
    <row customHeight="1" ht="3">
      <c r="AE4" s="759">
        <v>3</v>
      </c>
    </row>
    <row customHeight="1" ht="27.299999999999997">
      <c r="F5" s="2249" t="str">
        <f>IP_NAME_FORM</f>
        <v>Форма 7. Информация об инвестиционных программах организации холодного водоснабжения и отчетах об их исполнении</v>
      </c>
      <c r="G5" s="2249"/>
      <c r="H5" s="2249"/>
      <c r="I5" s="2249"/>
      <c r="J5" s="2249"/>
      <c r="K5" s="2249"/>
      <c r="M5" s="583"/>
      <c r="AB5" s="907"/>
      <c r="AE5" s="759">
        <v>26</v>
      </c>
    </row>
    <row s="1636" customFormat="1" customHeight="1" ht="16.8">
      <c r="A6" s="1167"/>
      <c r="B6" s="1167"/>
      <c r="C6" s="1167"/>
      <c r="D6" s="1161"/>
      <c r="E6" s="1636"/>
      <c r="F6" s="2250" t="str">
        <f>IF(org=0,"Не определено",org)</f>
        <v>ИМУП «ПОСЖИЛКОМСЕРВИС»</v>
      </c>
      <c r="G6" s="2250"/>
      <c r="H6" s="2250"/>
      <c r="I6" s="2250"/>
      <c r="J6" s="2250"/>
      <c r="K6" s="2250"/>
      <c r="M6" s="583"/>
      <c r="AB6" s="1149"/>
      <c r="AE6" s="1632">
        <v>16</v>
      </c>
    </row>
    <row customHeight="1" ht="10.5">
      <c r="AE7" s="759">
        <v>10</v>
      </c>
    </row>
    <row customHeight="1" ht="10.5">
      <c r="A8" s="1052"/>
      <c r="B8" s="1052"/>
      <c r="C8" s="1052"/>
      <c r="F8" s="2102" t="s">
        <v>312</v>
      </c>
      <c r="G8" s="2103"/>
      <c r="H8" s="2103"/>
      <c r="I8" s="2103"/>
      <c r="J8" s="2103"/>
      <c r="K8" s="2103"/>
      <c r="L8" s="2103"/>
      <c r="M8" s="2103"/>
      <c r="N8" s="2103"/>
      <c r="O8" s="2103"/>
      <c r="P8" s="2103"/>
      <c r="Q8" s="2103"/>
      <c r="R8" s="2103"/>
      <c r="S8" s="2103"/>
      <c r="T8" s="2103"/>
      <c r="U8" s="2103"/>
      <c r="V8" s="2103"/>
      <c r="W8" s="2103"/>
      <c r="X8" s="2103"/>
      <c r="Y8" s="2103"/>
      <c r="Z8" s="2103"/>
      <c r="AA8" s="2103"/>
      <c r="AB8" s="2104"/>
      <c r="AE8" s="759">
        <v>10</v>
      </c>
    </row>
    <row customHeight="1" ht="43.050000000000004">
      <c r="A9" s="906"/>
      <c r="B9" s="906"/>
      <c r="C9" s="906"/>
      <c r="F9" s="2128" t="s">
        <v>90</v>
      </c>
      <c r="G9" s="2128" t="s">
        <v>974</v>
      </c>
      <c r="H9" s="2176" t="s">
        <v>975</v>
      </c>
      <c r="I9" s="2128" t="s">
        <v>976</v>
      </c>
      <c r="J9" s="2128" t="s">
        <v>977</v>
      </c>
      <c r="K9" s="2128" t="s">
        <v>978</v>
      </c>
      <c r="L9" s="2128" t="s">
        <v>979</v>
      </c>
      <c r="M9" s="2128" t="s">
        <v>980</v>
      </c>
      <c r="N9" s="2210" t="s">
        <v>981</v>
      </c>
      <c r="O9" s="2210"/>
      <c r="P9" s="2210"/>
      <c r="Q9" s="2400" t="s">
        <v>982</v>
      </c>
      <c r="R9" s="2401"/>
      <c r="S9" s="2401"/>
      <c r="T9" s="2402"/>
      <c r="U9" s="2400" t="s">
        <v>983</v>
      </c>
      <c r="V9" s="2401"/>
      <c r="W9" s="2401"/>
      <c r="X9" s="2402"/>
      <c r="Y9" s="2102" t="s">
        <v>984</v>
      </c>
      <c r="Z9" s="2103"/>
      <c r="AA9" s="2103"/>
      <c r="AB9" s="2104"/>
      <c r="AE9" s="759">
        <v>41</v>
      </c>
    </row>
    <row customHeight="1" ht="43.050000000000004">
      <c r="A10" s="906"/>
      <c r="B10" s="906"/>
      <c r="C10" s="906"/>
      <c r="F10" s="2176"/>
      <c r="G10" s="2176"/>
      <c r="H10" s="2233"/>
      <c r="I10" s="2176"/>
      <c r="J10" s="2176"/>
      <c r="K10" s="2176"/>
      <c r="L10" s="2176"/>
      <c r="M10" s="2176"/>
      <c r="N10" s="904" t="s">
        <v>985</v>
      </c>
      <c r="O10" s="904" t="s">
        <v>986</v>
      </c>
      <c r="P10" s="905" t="s">
        <v>987</v>
      </c>
      <c r="Q10" s="916" t="s">
        <v>91</v>
      </c>
      <c r="R10" s="916" t="s">
        <v>988</v>
      </c>
      <c r="S10" s="916" t="s">
        <v>989</v>
      </c>
      <c r="T10" s="917" t="s">
        <v>990</v>
      </c>
      <c r="U10" s="916" t="s">
        <v>91</v>
      </c>
      <c r="V10" s="916" t="s">
        <v>991</v>
      </c>
      <c r="W10" s="916" t="s">
        <v>989</v>
      </c>
      <c r="X10" s="917" t="s">
        <v>990</v>
      </c>
      <c r="Y10" s="302" t="s">
        <v>992</v>
      </c>
      <c r="Z10" s="2102" t="s">
        <v>90</v>
      </c>
      <c r="AA10" s="2104"/>
      <c r="AB10" s="1050" t="s">
        <v>993</v>
      </c>
      <c r="AE10" s="759">
        <v>41</v>
      </c>
    </row>
    <row s="1643" customFormat="1" customHeight="1" ht="5.25" hidden="1">
      <c r="A11" s="1053"/>
      <c r="B11" s="1053"/>
      <c r="C11" s="1053"/>
      <c r="E11" s="1051"/>
      <c r="F11" s="2407" t="s">
        <v>388</v>
      </c>
      <c r="G11" s="2404"/>
      <c r="H11" s="2403"/>
      <c r="I11" s="2403"/>
      <c r="J11" s="2403"/>
      <c r="K11" s="2405"/>
      <c r="L11" s="2405"/>
      <c r="M11" s="2405"/>
      <c r="N11" s="2403"/>
      <c r="O11" s="2403"/>
      <c r="P11" s="2128"/>
      <c r="Q11" s="2180"/>
      <c r="R11" s="2180"/>
      <c r="S11" s="2180"/>
      <c r="T11" s="2403"/>
      <c r="U11" s="2180"/>
      <c r="V11" s="2180"/>
      <c r="W11" s="2180"/>
      <c r="X11" s="2403"/>
      <c r="Y11" s="2109"/>
      <c r="Z11" s="2109"/>
      <c r="AA11" s="2109"/>
      <c r="AB11" s="2109"/>
      <c r="AD11" s="512" t="s">
        <v>994</v>
      </c>
      <c r="AE11" s="512">
        <v>0</v>
      </c>
    </row>
    <row s="1643" customFormat="1" customHeight="1" ht="5.25" hidden="1">
      <c r="A12" s="897"/>
      <c r="B12" s="897"/>
      <c r="C12" s="897"/>
      <c r="E12" s="519"/>
      <c r="F12" s="2407"/>
      <c r="G12" s="2404"/>
      <c r="H12" s="2403"/>
      <c r="I12" s="2403"/>
      <c r="J12" s="2403"/>
      <c r="K12" s="2405"/>
      <c r="L12" s="2405"/>
      <c r="M12" s="2405"/>
      <c r="N12" s="2403"/>
      <c r="O12" s="2403"/>
      <c r="P12" s="2128"/>
      <c r="Q12" s="2180"/>
      <c r="R12" s="2180"/>
      <c r="S12" s="2180"/>
      <c r="T12" s="2403"/>
      <c r="U12" s="2180"/>
      <c r="V12" s="2180"/>
      <c r="W12" s="2180"/>
      <c r="X12" s="2403"/>
      <c r="Y12" s="2406"/>
      <c r="Z12" s="2406"/>
      <c r="AA12" s="2406"/>
      <c r="AB12" s="2406"/>
      <c r="AE12" s="512">
        <v>0</v>
      </c>
    </row>
    <row customHeight="1" ht="10.5">
      <c r="F13" s="903"/>
      <c r="G13" s="651" t="s">
        <v>995</v>
      </c>
      <c r="H13" s="1169"/>
      <c r="I13" s="573"/>
      <c r="J13" s="573"/>
      <c r="K13" s="573"/>
      <c r="L13" s="573"/>
      <c r="M13" s="573"/>
      <c r="N13" s="573"/>
      <c r="O13" s="573"/>
      <c r="P13" s="573"/>
      <c r="Q13" s="573"/>
      <c r="R13" s="573"/>
      <c r="S13" s="573"/>
      <c r="T13" s="573"/>
      <c r="U13" s="573"/>
      <c r="V13" s="573"/>
      <c r="W13" s="573"/>
      <c r="X13" s="573"/>
      <c r="Y13" s="573"/>
      <c r="Z13" s="697"/>
      <c r="AA13" s="697"/>
      <c r="AB13" s="918"/>
      <c r="AE13" s="759">
        <v>10</v>
      </c>
    </row>
    <row customHeight="1" ht="10.5">
      <c r="AE14" s="759">
        <v>10</v>
      </c>
    </row>
    <row s="1643" customFormat="1" customHeight="1" ht="10.5">
      <c r="A15" s="1168"/>
      <c r="B15" s="1168"/>
      <c r="C15" s="1168"/>
      <c r="E15" s="519"/>
      <c r="H15" s="512">
        <f>_xlfn.IFERROR(MATCH("нет",IP_MAIN_DIFFERENTIATION_EVENTS_FLAG,0),0)</f>
        <v>0</v>
      </c>
      <c r="AE15" s="512">
        <v>10</v>
      </c>
    </row>
    <row customHeight="1" ht="10.5" hidden="1">
      <c r="A16" s="896" t="s">
        <v>84</v>
      </c>
      <c r="B16" s="896">
        <v>0</v>
      </c>
      <c r="C16" s="896">
        <v>0</v>
      </c>
      <c r="D16" s="418">
        <v>0</v>
      </c>
      <c r="E16" s="510">
        <v>3</v>
      </c>
      <c r="F16" s="759">
        <v>6</v>
      </c>
      <c r="G16" s="759">
        <v>37</v>
      </c>
      <c r="H16" s="1156">
        <v>16</v>
      </c>
      <c r="I16" s="759">
        <v>19</v>
      </c>
      <c r="J16" s="759">
        <v>19</v>
      </c>
      <c r="K16" s="759">
        <v>24</v>
      </c>
      <c r="L16" s="759">
        <v>25</v>
      </c>
      <c r="M16" s="759">
        <v>25</v>
      </c>
      <c r="N16" s="759">
        <v>17</v>
      </c>
      <c r="O16" s="759">
        <v>17</v>
      </c>
      <c r="P16" s="759">
        <v>17</v>
      </c>
      <c r="Q16" s="759">
        <v>19</v>
      </c>
      <c r="R16" s="759">
        <v>19</v>
      </c>
      <c r="S16" s="759">
        <v>19</v>
      </c>
      <c r="T16" s="759">
        <v>19</v>
      </c>
      <c r="U16" s="759">
        <v>19</v>
      </c>
      <c r="V16" s="759">
        <v>19</v>
      </c>
      <c r="W16" s="759">
        <v>19</v>
      </c>
      <c r="X16" s="759">
        <v>19</v>
      </c>
      <c r="Y16" s="759">
        <v>7</v>
      </c>
      <c r="Z16" s="759">
        <v>3</v>
      </c>
      <c r="AA16" s="759">
        <v>6</v>
      </c>
      <c r="AB16" s="759">
        <v>34</v>
      </c>
      <c r="AC16" s="759">
        <v>8</v>
      </c>
      <c r="AD16" s="759">
        <v>8</v>
      </c>
      <c r="AE16" s="759">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2F21392-763D-DD1B-0142-0.6FAD833E}" mc:Ignorable="x14ac xr xr2 xr3">
  <sheetPr>
    <tabColor theme="9" tint="-0.25"/>
  </sheetPr>
  <dimension ref="A1:BG20"/>
  <sheetViews>
    <sheetView topLeftCell="A1" showGridLines="0" zoomScale="90" workbookViewId="0">
      <selection activeCell="A1" sqref="A1"/>
    </sheetView>
  </sheetViews>
  <sheetFormatPr defaultColWidth="9.140625" customHeight="1" defaultRowHeight="10.5"/>
  <cols>
    <col min="1" max="3" style="1167" width="4.140625" hidden="1" customWidth="1"/>
    <col min="4" max="4" style="1367" width="4.140625" hidden="1" customWidth="1"/>
    <col min="5" max="5" style="1636" width="3.00390625" customWidth="1"/>
    <col min="6" max="6" style="1636" width="14.00390625" customWidth="1"/>
    <col min="7" max="7" style="1636" width="3.00390625" customWidth="1"/>
    <col min="8" max="8" style="1636" width="7.00390625" customWidth="1"/>
    <col min="9" max="10" style="1636" width="16.00390625" customWidth="1"/>
    <col min="11" max="11" style="1636" width="25.00390625" customWidth="1"/>
    <col min="12" max="12" style="1636" width="7.00390625" customWidth="1"/>
    <col min="13" max="13" style="1636" width="15.00390625" customWidth="1"/>
    <col min="14" max="14" style="1636" width="3.00390625" customWidth="1"/>
    <col min="15" max="15" style="1636" width="4.00390625" customWidth="1"/>
    <col min="16" max="16" style="1636" width="8.00390625" customWidth="1"/>
    <col min="17" max="17" style="1636" width="21.00390625" customWidth="1"/>
    <col min="18" max="18" style="1636" width="14.00390625" customWidth="1"/>
    <col min="19" max="20" style="1636" width="17.00390625" customWidth="1"/>
    <col min="21" max="21" style="1636" width="9.00390625" customWidth="1"/>
    <col min="22" max="22" style="1636" width="12.00390625" customWidth="1"/>
    <col min="23" max="23" style="1636" width="9.00390625" customWidth="1"/>
    <col min="24" max="24" style="1636" width="21.00390625" customWidth="1"/>
    <col min="25" max="25" style="1636" width="12.00390625" customWidth="1"/>
    <col min="26" max="26" style="1636" width="3.00390625" customWidth="1"/>
    <col min="27" max="27" style="1636" width="6.00390625" customWidth="1"/>
    <col min="28" max="28" style="1636" width="38.00390625" customWidth="1"/>
    <col min="29" max="29" style="1636" width="15.00390625" customWidth="1"/>
    <col min="30" max="30" style="1636" width="37.57421875" hidden="1" customWidth="1"/>
    <col min="31" max="31" style="1636" width="15.7109375" hidden="1" customWidth="1"/>
    <col min="32" max="34" style="1636" width="16.00390625" customWidth="1"/>
    <col min="35" max="37" style="1636" width="16.7109375" hidden="1" customWidth="1"/>
    <col min="38" max="58" style="1636" width="8.00390625" customWidth="1"/>
    <col min="59" max="59" style="1636" width="9.140625" hidden="1"/>
  </cols>
  <sheetData>
    <row s="1367" customFormat="1" customHeight="1" ht="10.5" hidden="1">
      <c r="A1" s="896"/>
      <c r="B1" s="896"/>
      <c r="C1" s="896"/>
      <c r="E1" s="538"/>
      <c r="H1" s="1161"/>
      <c r="L1" s="1129"/>
      <c r="M1" s="1129"/>
      <c r="AD1" s="1129"/>
      <c r="AH1" s="1148"/>
      <c r="AI1" s="1141"/>
      <c r="BG1" s="418" t="s">
        <v>14</v>
      </c>
    </row>
    <row customHeight="1" ht="10.5" hidden="1">
      <c r="BG2" s="759">
        <v>0</v>
      </c>
    </row>
    <row s="1633" customFormat="1" customHeight="1" ht="10.5" hidden="1">
      <c r="A3" s="896"/>
      <c r="B3" s="896"/>
      <c r="C3" s="896"/>
      <c r="D3" s="418"/>
      <c r="E3" s="363"/>
      <c r="H3" s="1157"/>
      <c r="L3" s="1127"/>
      <c r="M3" s="1127"/>
      <c r="AD3" s="1127"/>
      <c r="AH3" s="1146"/>
      <c r="AI3" s="1139"/>
      <c r="BG3" s="760">
        <v>0</v>
      </c>
    </row>
    <row customHeight="1" ht="3">
      <c r="BG4" s="759">
        <v>3</v>
      </c>
    </row>
    <row customHeight="1" ht="27.299999999999997">
      <c r="F5" s="2249" t="str">
        <f>IP_NAME_FORM</f>
        <v>Форма 7. Информация об инвестиционных программах организации холодного водоснабжения и отчетах об их исполнении</v>
      </c>
      <c r="G5" s="2249"/>
      <c r="H5" s="2249"/>
      <c r="I5" s="2249"/>
      <c r="J5" s="2249"/>
      <c r="K5" s="2249"/>
      <c r="L5" s="1136"/>
      <c r="M5" s="1136"/>
      <c r="AG5" s="907"/>
      <c r="AH5" s="1149"/>
      <c r="BG5" s="759">
        <v>26</v>
      </c>
    </row>
    <row customHeight="1" ht="10.5">
      <c r="F6" s="2177" t="str">
        <f>IF(org=0,"Не определено",org)</f>
        <v>ИМУП «ПОСЖИЛКОМСЕРВИС»</v>
      </c>
      <c r="G6" s="2177"/>
      <c r="H6" s="2177"/>
      <c r="I6" s="2177"/>
      <c r="J6" s="2177"/>
      <c r="K6" s="2177"/>
      <c r="L6" s="1137"/>
      <c r="M6" s="1137"/>
      <c r="BG6" s="759">
        <v>10</v>
      </c>
    </row>
    <row customHeight="1" ht="11.549999999999999">
      <c r="E7" s="909"/>
      <c r="F7" s="920"/>
      <c r="G7" s="920"/>
      <c r="H7" s="1185"/>
      <c r="I7" s="920"/>
      <c r="J7" s="920"/>
      <c r="K7" s="922"/>
      <c r="L7" s="1134"/>
      <c r="M7" s="1134"/>
      <c r="N7" s="920"/>
      <c r="O7" s="920"/>
      <c r="P7" s="920"/>
      <c r="Q7" s="922"/>
      <c r="R7" s="920"/>
      <c r="S7" s="920"/>
      <c r="T7" s="920"/>
      <c r="U7" s="920"/>
      <c r="V7" s="920"/>
      <c r="W7" s="920"/>
      <c r="X7" s="920"/>
      <c r="Y7" s="920"/>
      <c r="Z7" s="920"/>
      <c r="AA7" s="920"/>
      <c r="AB7" s="920"/>
      <c r="AC7" s="921"/>
      <c r="AD7" s="1133"/>
      <c r="AE7" s="921"/>
      <c r="AF7" s="920"/>
      <c r="AG7" s="920"/>
      <c r="AH7" s="1151"/>
      <c r="AI7" s="1144"/>
      <c r="AJ7" s="920"/>
      <c r="AK7" s="920"/>
      <c r="AL7" s="911"/>
      <c r="AM7" s="911"/>
      <c r="AN7" s="911"/>
      <c r="AO7" s="908"/>
      <c r="AP7" s="908"/>
      <c r="AQ7" s="908"/>
      <c r="AR7" s="908"/>
      <c r="AS7" s="908"/>
      <c r="AT7" s="908"/>
      <c r="AU7" s="908"/>
      <c r="AV7" s="908"/>
      <c r="AW7" s="908"/>
      <c r="AX7" s="908"/>
      <c r="AY7" s="908"/>
      <c r="AZ7" s="908"/>
      <c r="BA7" s="908"/>
      <c r="BB7" s="908"/>
      <c r="BC7" s="908"/>
      <c r="BD7" s="908"/>
      <c r="BE7" s="908"/>
      <c r="BF7" s="908"/>
      <c r="BG7" s="759">
        <v>11</v>
      </c>
    </row>
    <row customHeight="1" ht="10.5">
      <c r="E8" s="909"/>
      <c r="F8" s="2416" t="s">
        <v>312</v>
      </c>
      <c r="G8" s="2417"/>
      <c r="H8" s="2417"/>
      <c r="I8" s="2417"/>
      <c r="J8" s="2417"/>
      <c r="K8" s="2417"/>
      <c r="L8" s="2417"/>
      <c r="M8" s="2417"/>
      <c r="N8" s="2417"/>
      <c r="O8" s="2417"/>
      <c r="P8" s="2417"/>
      <c r="Q8" s="2417"/>
      <c r="R8" s="2417"/>
      <c r="S8" s="2417"/>
      <c r="T8" s="2417"/>
      <c r="U8" s="2417"/>
      <c r="V8" s="2417"/>
      <c r="W8" s="2417"/>
      <c r="X8" s="2417"/>
      <c r="Y8" s="2417"/>
      <c r="Z8" s="2417"/>
      <c r="AA8" s="2417"/>
      <c r="AB8" s="2417"/>
      <c r="AC8" s="2417"/>
      <c r="AD8" s="2417"/>
      <c r="AE8" s="2417"/>
      <c r="AF8" s="2417"/>
      <c r="AG8" s="2417"/>
      <c r="AH8" s="2417"/>
      <c r="AI8" s="2417"/>
      <c r="AJ8" s="2417"/>
      <c r="AK8" s="2418"/>
      <c r="AL8" s="910"/>
      <c r="AM8" s="908"/>
      <c r="AN8" s="908"/>
      <c r="AO8" s="908"/>
      <c r="AP8" s="908"/>
      <c r="AQ8" s="908"/>
      <c r="AR8" s="908"/>
      <c r="AS8" s="908"/>
      <c r="AT8" s="908"/>
      <c r="AU8" s="908"/>
      <c r="AV8" s="908"/>
      <c r="AW8" s="908"/>
      <c r="AX8" s="908"/>
      <c r="AY8" s="908"/>
      <c r="AZ8" s="908"/>
      <c r="BA8" s="908"/>
      <c r="BB8" s="908"/>
      <c r="BC8" s="908"/>
      <c r="BD8" s="908"/>
      <c r="BE8" s="908"/>
      <c r="BF8" s="908"/>
      <c r="BG8" s="759">
        <v>10</v>
      </c>
    </row>
    <row customHeight="1" ht="24">
      <c r="A9" s="906"/>
      <c r="B9" s="906"/>
      <c r="C9" s="906"/>
      <c r="E9" s="909"/>
      <c r="F9" s="2409" t="s">
        <v>996</v>
      </c>
      <c r="G9" s="2410" t="s">
        <v>997</v>
      </c>
      <c r="H9" s="2411"/>
      <c r="I9" s="2128" t="s">
        <v>998</v>
      </c>
      <c r="J9" s="2128"/>
      <c r="K9" s="2128" t="s">
        <v>999</v>
      </c>
      <c r="L9" s="2128"/>
      <c r="M9" s="2128"/>
      <c r="N9" s="2128"/>
      <c r="O9" s="2128"/>
      <c r="P9" s="2128"/>
      <c r="Q9" s="2128"/>
      <c r="R9" s="2128"/>
      <c r="S9" s="2128"/>
      <c r="T9" s="2128"/>
      <c r="U9" s="2128"/>
      <c r="V9" s="2128"/>
      <c r="W9" s="2128"/>
      <c r="X9" s="2128"/>
      <c r="Y9" s="2128"/>
      <c r="Z9" s="2193" t="s">
        <v>1000</v>
      </c>
      <c r="AA9" s="2194"/>
      <c r="AB9" s="2128" t="s">
        <v>1001</v>
      </c>
      <c r="AC9" s="2128"/>
      <c r="AD9" s="2128"/>
      <c r="AE9" s="2128"/>
      <c r="AF9" s="2176" t="s">
        <v>1002</v>
      </c>
      <c r="AG9" s="2128" t="s">
        <v>1003</v>
      </c>
      <c r="AH9" s="2128"/>
      <c r="AI9" s="2176" t="s">
        <v>1004</v>
      </c>
      <c r="AJ9" s="2128" t="s">
        <v>1005</v>
      </c>
      <c r="AK9" s="2128"/>
      <c r="AL9" s="1143"/>
      <c r="AM9" s="908"/>
      <c r="AN9" s="908"/>
      <c r="AO9" s="908"/>
      <c r="AP9" s="908"/>
      <c r="AQ9" s="908"/>
      <c r="AR9" s="908"/>
      <c r="AS9" s="908"/>
      <c r="AT9" s="908"/>
      <c r="AU9" s="908"/>
      <c r="AV9" s="908"/>
      <c r="AW9" s="908"/>
      <c r="AX9" s="908"/>
      <c r="AY9" s="908"/>
      <c r="AZ9" s="908"/>
      <c r="BA9" s="908"/>
      <c r="BB9" s="908"/>
      <c r="BC9" s="908"/>
      <c r="BD9" s="908"/>
      <c r="BE9" s="908"/>
      <c r="BF9" s="908"/>
      <c r="BG9" s="759">
        <v>23</v>
      </c>
    </row>
    <row customHeight="1" ht="25.2">
      <c r="A10" s="906"/>
      <c r="B10" s="906"/>
      <c r="C10" s="906"/>
      <c r="E10" s="913"/>
      <c r="F10" s="2409"/>
      <c r="G10" s="2412"/>
      <c r="H10" s="2413"/>
      <c r="I10" s="2128"/>
      <c r="J10" s="2128"/>
      <c r="K10" s="2128" t="s">
        <v>1006</v>
      </c>
      <c r="L10" s="2102" t="s">
        <v>1007</v>
      </c>
      <c r="M10" s="2104"/>
      <c r="N10" s="2128" t="s">
        <v>1008</v>
      </c>
      <c r="O10" s="2128"/>
      <c r="P10" s="2128"/>
      <c r="Q10" s="2128"/>
      <c r="R10" s="2128"/>
      <c r="S10" s="2128"/>
      <c r="T10" s="2128"/>
      <c r="U10" s="2128"/>
      <c r="V10" s="2128"/>
      <c r="W10" s="2128"/>
      <c r="X10" s="2128"/>
      <c r="Y10" s="2128"/>
      <c r="Z10" s="2195"/>
      <c r="AA10" s="2196"/>
      <c r="AB10" s="2128"/>
      <c r="AC10" s="2128"/>
      <c r="AD10" s="2128"/>
      <c r="AE10" s="2128"/>
      <c r="AF10" s="2200"/>
      <c r="AG10" s="2128"/>
      <c r="AH10" s="2128"/>
      <c r="AI10" s="2200"/>
      <c r="AJ10" s="2128"/>
      <c r="AK10" s="2128"/>
      <c r="AL10" s="1143"/>
      <c r="AM10" s="914"/>
      <c r="AN10" s="914"/>
      <c r="AO10" s="914"/>
      <c r="AP10" s="914"/>
      <c r="AQ10" s="914"/>
      <c r="AR10" s="914"/>
      <c r="AS10" s="914"/>
      <c r="AT10" s="914"/>
      <c r="AU10" s="914"/>
      <c r="AV10" s="914"/>
      <c r="AW10" s="914"/>
      <c r="AX10" s="914"/>
      <c r="AY10" s="914"/>
      <c r="AZ10" s="914"/>
      <c r="BA10" s="914"/>
      <c r="BB10" s="914"/>
      <c r="BC10" s="914"/>
      <c r="BD10" s="914"/>
      <c r="BE10" s="914"/>
      <c r="BF10" s="914"/>
      <c r="BG10" s="759">
        <v>24</v>
      </c>
    </row>
    <row s="1636" customFormat="1" customHeight="1" ht="25.2">
      <c r="A11" s="1130"/>
      <c r="B11" s="1130"/>
      <c r="C11" s="1130"/>
      <c r="D11" s="1129"/>
      <c r="E11" s="1131"/>
      <c r="F11" s="2409"/>
      <c r="G11" s="2412"/>
      <c r="H11" s="2413"/>
      <c r="I11" s="2128"/>
      <c r="J11" s="2128"/>
      <c r="K11" s="2128"/>
      <c r="L11" s="2176" t="s">
        <v>1009</v>
      </c>
      <c r="M11" s="2176" t="s">
        <v>1010</v>
      </c>
      <c r="N11" s="2128" t="s">
        <v>1011</v>
      </c>
      <c r="O11" s="2128"/>
      <c r="P11" s="2419" t="s">
        <v>992</v>
      </c>
      <c r="Q11" s="2419" t="s">
        <v>1012</v>
      </c>
      <c r="R11" s="2419" t="s">
        <v>1013</v>
      </c>
      <c r="S11" s="2419" t="s">
        <v>1014</v>
      </c>
      <c r="T11" s="2419"/>
      <c r="U11" s="2419"/>
      <c r="V11" s="2419"/>
      <c r="W11" s="2419"/>
      <c r="X11" s="2419"/>
      <c r="Y11" s="2419"/>
      <c r="Z11" s="2195"/>
      <c r="AA11" s="2196"/>
      <c r="AB11" s="2128" t="s">
        <v>1015</v>
      </c>
      <c r="AC11" s="2128"/>
      <c r="AD11" s="2102" t="s">
        <v>1016</v>
      </c>
      <c r="AE11" s="2104"/>
      <c r="AF11" s="2200"/>
      <c r="AG11" s="2128"/>
      <c r="AH11" s="2128"/>
      <c r="AI11" s="2200"/>
      <c r="AJ11" s="2128"/>
      <c r="AK11" s="2128"/>
      <c r="AL11" s="1143"/>
      <c r="AM11" s="1128"/>
      <c r="AN11" s="1128"/>
      <c r="AO11" s="1128"/>
      <c r="AP11" s="1128"/>
      <c r="AQ11" s="1128"/>
      <c r="AR11" s="1128"/>
      <c r="AS11" s="1128"/>
      <c r="AT11" s="1128"/>
      <c r="AU11" s="1128"/>
      <c r="AV11" s="1128"/>
      <c r="AW11" s="1128"/>
      <c r="AX11" s="1128"/>
      <c r="AY11" s="1128"/>
      <c r="AZ11" s="1128"/>
      <c r="BA11" s="1128"/>
      <c r="BB11" s="1128"/>
      <c r="BC11" s="1128"/>
      <c r="BD11" s="1128"/>
      <c r="BE11" s="1128"/>
      <c r="BF11" s="1128"/>
      <c r="BG11" s="1126">
        <v>24</v>
      </c>
    </row>
    <row customHeight="1" ht="35.699999999999996">
      <c r="A12" s="906"/>
      <c r="B12" s="906"/>
      <c r="C12" s="906"/>
      <c r="E12" s="909"/>
      <c r="F12" s="2409"/>
      <c r="G12" s="2414"/>
      <c r="H12" s="2415"/>
      <c r="I12" s="1154" t="s">
        <v>91</v>
      </c>
      <c r="J12" s="1154" t="s">
        <v>1017</v>
      </c>
      <c r="K12" s="2128"/>
      <c r="L12" s="2233"/>
      <c r="M12" s="2233"/>
      <c r="N12" s="2128"/>
      <c r="O12" s="2128"/>
      <c r="P12" s="2419"/>
      <c r="Q12" s="2419"/>
      <c r="R12" s="2419"/>
      <c r="S12" s="1135" t="s">
        <v>88</v>
      </c>
      <c r="T12" s="1135" t="s">
        <v>89</v>
      </c>
      <c r="U12" s="1135" t="s">
        <v>87</v>
      </c>
      <c r="V12" s="1135" t="s">
        <v>1018</v>
      </c>
      <c r="W12" s="1135" t="s">
        <v>87</v>
      </c>
      <c r="X12" s="1135" t="s">
        <v>1019</v>
      </c>
      <c r="Y12" s="1135" t="s">
        <v>1020</v>
      </c>
      <c r="Z12" s="2201"/>
      <c r="AA12" s="2202"/>
      <c r="AB12" s="1142" t="s">
        <v>1021</v>
      </c>
      <c r="AC12" s="1142" t="s">
        <v>1022</v>
      </c>
      <c r="AD12" s="1142" t="s">
        <v>1021</v>
      </c>
      <c r="AE12" s="1142" t="s">
        <v>1022</v>
      </c>
      <c r="AF12" s="2233"/>
      <c r="AG12" s="1155" t="s">
        <v>1023</v>
      </c>
      <c r="AH12" s="1155" t="s">
        <v>1024</v>
      </c>
      <c r="AI12" s="2233"/>
      <c r="AJ12" s="1155" t="s">
        <v>1023</v>
      </c>
      <c r="AK12" s="1155" t="s">
        <v>1024</v>
      </c>
      <c r="AL12" s="1143"/>
      <c r="AM12" s="908"/>
      <c r="AN12" s="908"/>
      <c r="AO12" s="908"/>
      <c r="AP12" s="908"/>
      <c r="AQ12" s="908"/>
      <c r="AR12" s="908"/>
      <c r="AS12" s="908"/>
      <c r="AT12" s="908"/>
      <c r="AU12" s="908"/>
      <c r="AV12" s="908"/>
      <c r="AW12" s="908"/>
      <c r="AX12" s="908"/>
      <c r="AY12" s="908"/>
      <c r="AZ12" s="908"/>
      <c r="BA12" s="908"/>
      <c r="BB12" s="908"/>
      <c r="BC12" s="908"/>
      <c r="BD12" s="908"/>
      <c r="BE12" s="908"/>
      <c r="BF12" s="908"/>
      <c r="BG12" s="759">
        <v>34</v>
      </c>
    </row>
    <row customHeight="1" ht="1.05">
      <c r="E13" s="909"/>
      <c r="F13" s="1125">
        <v>0</v>
      </c>
      <c r="G13" s="1125"/>
      <c r="H13" s="1125"/>
      <c r="I13" s="1125"/>
      <c r="J13" s="1125"/>
      <c r="K13" s="1132"/>
      <c r="L13" s="1132"/>
      <c r="M13" s="1132"/>
      <c r="N13" s="1132"/>
      <c r="O13" s="1132"/>
      <c r="P13" s="1132"/>
      <c r="Q13" s="1132"/>
      <c r="R13" s="1132"/>
      <c r="S13" s="1132"/>
      <c r="T13" s="1132"/>
      <c r="U13" s="1132"/>
      <c r="V13" s="1132"/>
      <c r="W13" s="1132"/>
      <c r="X13" s="1132"/>
      <c r="Y13" s="1132"/>
      <c r="Z13" s="1132"/>
      <c r="AA13" s="1132"/>
      <c r="AB13" s="1132"/>
      <c r="AC13" s="1132"/>
      <c r="AD13" s="1132"/>
      <c r="AE13" s="1132"/>
      <c r="AF13" s="1132"/>
      <c r="AG13" s="1132"/>
      <c r="AH13" s="1150"/>
      <c r="AI13" s="1143"/>
      <c r="AJ13" s="1132"/>
      <c r="AK13" s="1132"/>
      <c r="AL13" s="910"/>
      <c r="AM13" s="908"/>
      <c r="AN13" s="908"/>
      <c r="AO13" s="908"/>
      <c r="AP13" s="908"/>
      <c r="AQ13" s="908"/>
      <c r="AR13" s="908"/>
      <c r="AS13" s="908"/>
      <c r="AT13" s="908"/>
      <c r="AU13" s="908"/>
      <c r="AV13" s="908"/>
      <c r="AW13" s="908"/>
      <c r="AX13" s="908"/>
      <c r="AY13" s="908"/>
      <c r="AZ13" s="908"/>
      <c r="BA13" s="908"/>
      <c r="BB13" s="908"/>
      <c r="BC13" s="908"/>
      <c r="BD13" s="908"/>
      <c r="BE13" s="908"/>
      <c r="BF13" s="908"/>
      <c r="BG13" s="759">
        <v>1</v>
      </c>
    </row>
    <row customHeight="1" ht="10.5">
      <c r="E14" s="908"/>
      <c r="F14" s="919"/>
      <c r="G14" s="919"/>
      <c r="H14" s="1173"/>
      <c r="I14" s="919"/>
      <c r="J14" s="919"/>
      <c r="K14" s="919"/>
      <c r="L14" s="1132"/>
      <c r="M14" s="1132"/>
      <c r="N14" s="919"/>
      <c r="O14" s="919"/>
      <c r="P14" s="919"/>
      <c r="Q14" s="919"/>
      <c r="R14" s="919"/>
      <c r="S14" s="919"/>
      <c r="T14" s="919"/>
      <c r="U14" s="919"/>
      <c r="V14" s="919"/>
      <c r="W14" s="919"/>
      <c r="X14" s="919"/>
      <c r="Y14" s="919"/>
      <c r="Z14" s="919"/>
      <c r="AA14" s="919"/>
      <c r="AB14" s="919"/>
      <c r="AC14" s="919"/>
      <c r="AD14" s="1132"/>
      <c r="AE14" s="919"/>
      <c r="AF14" s="919"/>
      <c r="AG14" s="919"/>
      <c r="AH14" s="1150"/>
      <c r="AI14" s="1143"/>
      <c r="AJ14" s="919"/>
      <c r="AK14" s="919"/>
      <c r="AL14" s="908"/>
      <c r="AM14" s="908"/>
      <c r="AN14" s="908"/>
      <c r="AO14" s="908"/>
      <c r="AP14" s="908"/>
      <c r="AQ14" s="908"/>
      <c r="AR14" s="908"/>
      <c r="AS14" s="908"/>
      <c r="AT14" s="908"/>
      <c r="AU14" s="908"/>
      <c r="AV14" s="908"/>
      <c r="AW14" s="908"/>
      <c r="AX14" s="908"/>
      <c r="AY14" s="908"/>
      <c r="AZ14" s="908"/>
      <c r="BA14" s="908"/>
      <c r="BB14" s="908"/>
      <c r="BC14" s="908"/>
      <c r="BD14" s="908"/>
      <c r="BE14" s="908"/>
      <c r="BF14" s="908"/>
      <c r="BG14" s="759">
        <v>10</v>
      </c>
    </row>
    <row customHeight="1" ht="13.5">
      <c r="E15" s="908"/>
      <c r="F15" s="915" t="s">
        <v>1025</v>
      </c>
      <c r="G15" s="915"/>
      <c r="H15" s="1172"/>
      <c r="I15" s="915"/>
      <c r="J15" s="915"/>
      <c r="K15" s="912"/>
      <c r="L15" s="1128"/>
      <c r="M15" s="1128"/>
      <c r="N15" s="914"/>
      <c r="O15" s="914"/>
      <c r="P15" s="914"/>
      <c r="Q15" s="914"/>
      <c r="R15" s="914"/>
      <c r="S15" s="914"/>
      <c r="T15" s="914"/>
      <c r="U15" s="914"/>
      <c r="V15" s="914"/>
      <c r="W15" s="914"/>
      <c r="X15" s="914"/>
      <c r="Y15" s="914"/>
      <c r="Z15" s="912"/>
      <c r="AA15" s="912"/>
      <c r="AB15" s="912"/>
      <c r="AC15" s="912"/>
      <c r="AD15" s="1128"/>
      <c r="AE15" s="912"/>
      <c r="AF15" s="912"/>
      <c r="AG15" s="912"/>
      <c r="AH15" s="1147"/>
      <c r="AI15" s="1140"/>
      <c r="AJ15" s="912"/>
      <c r="AK15" s="912"/>
      <c r="AL15" s="908"/>
      <c r="AM15" s="908"/>
      <c r="AN15" s="908"/>
      <c r="AO15" s="908"/>
      <c r="AP15" s="908"/>
      <c r="AQ15" s="908"/>
      <c r="AR15" s="908"/>
      <c r="AS15" s="908"/>
      <c r="AT15" s="908"/>
      <c r="AU15" s="908"/>
      <c r="AV15" s="908"/>
      <c r="AW15" s="908"/>
      <c r="AX15" s="908"/>
      <c r="AY15" s="908"/>
      <c r="AZ15" s="908"/>
      <c r="BA15" s="908"/>
      <c r="BB15" s="908"/>
      <c r="BC15" s="908"/>
      <c r="BD15" s="908"/>
      <c r="BE15" s="908"/>
      <c r="BF15" s="908"/>
      <c r="BG15" s="759">
        <v>13</v>
      </c>
    </row>
    <row customHeight="1" ht="10.5">
      <c r="BG16" s="759">
        <v>10</v>
      </c>
    </row>
    <row customHeight="1" ht="10.5">
      <c r="E17" s="908"/>
      <c r="F17" s="2408"/>
      <c r="G17" s="2408"/>
      <c r="H17" s="2408"/>
      <c r="I17" s="2408"/>
      <c r="J17" s="2408"/>
      <c r="K17" s="912"/>
      <c r="L17" s="1128"/>
      <c r="M17" s="1128"/>
      <c r="N17" s="914"/>
      <c r="O17" s="914"/>
      <c r="P17" s="914"/>
      <c r="Q17" s="914"/>
      <c r="R17" s="914"/>
      <c r="S17" s="914"/>
      <c r="T17" s="914"/>
      <c r="U17" s="914"/>
      <c r="V17" s="914"/>
      <c r="W17" s="914"/>
      <c r="X17" s="914"/>
      <c r="Y17" s="914"/>
      <c r="Z17" s="912"/>
      <c r="AA17" s="912"/>
      <c r="AB17" s="912"/>
      <c r="AC17" s="912"/>
      <c r="AD17" s="1128"/>
      <c r="AE17" s="912"/>
      <c r="AF17" s="912"/>
      <c r="AG17" s="912"/>
      <c r="AH17" s="1147"/>
      <c r="AI17" s="1140"/>
      <c r="AJ17" s="912"/>
      <c r="AK17" s="912"/>
      <c r="AL17" s="908"/>
      <c r="AM17" s="908"/>
      <c r="AN17" s="908"/>
      <c r="AO17" s="908"/>
      <c r="AP17" s="908"/>
      <c r="AQ17" s="908"/>
      <c r="AR17" s="908"/>
      <c r="AS17" s="908"/>
      <c r="AT17" s="908"/>
      <c r="AU17" s="908"/>
      <c r="AV17" s="908"/>
      <c r="AW17" s="908"/>
      <c r="AX17" s="908"/>
      <c r="AY17" s="908"/>
      <c r="AZ17" s="908"/>
      <c r="BA17" s="908"/>
      <c r="BB17" s="908"/>
      <c r="BC17" s="908"/>
      <c r="BD17" s="908"/>
      <c r="BE17" s="908"/>
      <c r="BF17" s="908"/>
      <c r="BG17" s="759">
        <v>10</v>
      </c>
    </row>
    <row customHeight="1" ht="10.5">
      <c r="E18" s="908"/>
      <c r="F18" s="2408"/>
      <c r="G18" s="2408"/>
      <c r="H18" s="2408"/>
      <c r="I18" s="2408"/>
      <c r="J18" s="2408"/>
      <c r="K18" s="912"/>
      <c r="L18" s="1128"/>
      <c r="M18" s="1128"/>
      <c r="N18" s="914"/>
      <c r="O18" s="914"/>
      <c r="P18" s="914"/>
      <c r="Q18" s="914"/>
      <c r="R18" s="914"/>
      <c r="S18" s="914"/>
      <c r="T18" s="914"/>
      <c r="U18" s="914"/>
      <c r="V18" s="914"/>
      <c r="W18" s="914"/>
      <c r="X18" s="914"/>
      <c r="Y18" s="914"/>
      <c r="Z18" s="912"/>
      <c r="AA18" s="912"/>
      <c r="AB18" s="912"/>
      <c r="AC18" s="912"/>
      <c r="AD18" s="1128"/>
      <c r="AE18" s="912"/>
      <c r="AF18" s="912"/>
      <c r="AG18" s="912"/>
      <c r="AH18" s="1147"/>
      <c r="AI18" s="1140"/>
      <c r="AJ18" s="912"/>
      <c r="AK18" s="912"/>
      <c r="AL18" s="908"/>
      <c r="AM18" s="908"/>
      <c r="AN18" s="908"/>
      <c r="AO18" s="908"/>
      <c r="AP18" s="908"/>
      <c r="AQ18" s="908"/>
      <c r="AR18" s="908"/>
      <c r="AS18" s="908"/>
      <c r="AT18" s="908"/>
      <c r="AU18" s="908"/>
      <c r="AV18" s="908"/>
      <c r="AW18" s="908"/>
      <c r="AX18" s="908"/>
      <c r="AY18" s="908"/>
      <c r="AZ18" s="908"/>
      <c r="BA18" s="908"/>
      <c r="BB18" s="908"/>
      <c r="BC18" s="908"/>
      <c r="BD18" s="908"/>
      <c r="BE18" s="908"/>
      <c r="BF18" s="908"/>
      <c r="BG18" s="759">
        <v>10</v>
      </c>
    </row>
    <row customHeight="1" ht="10.5">
      <c r="E19" s="908"/>
      <c r="F19" s="2408"/>
      <c r="G19" s="2408"/>
      <c r="H19" s="2408"/>
      <c r="I19" s="2408"/>
      <c r="J19" s="2408"/>
      <c r="K19" s="912"/>
      <c r="L19" s="1128"/>
      <c r="M19" s="1128"/>
      <c r="N19" s="914"/>
      <c r="O19" s="914"/>
      <c r="P19" s="914"/>
      <c r="Q19" s="914"/>
      <c r="R19" s="914"/>
      <c r="S19" s="914"/>
      <c r="T19" s="914"/>
      <c r="U19" s="914"/>
      <c r="V19" s="914"/>
      <c r="W19" s="914"/>
      <c r="X19" s="914"/>
      <c r="Y19" s="914"/>
      <c r="Z19" s="912"/>
      <c r="AA19" s="912"/>
      <c r="AB19" s="912"/>
      <c r="AC19" s="912"/>
      <c r="AD19" s="1128"/>
      <c r="AE19" s="912"/>
      <c r="AF19" s="912"/>
      <c r="AG19" s="912"/>
      <c r="AH19" s="1147"/>
      <c r="AI19" s="1140"/>
      <c r="AJ19" s="912"/>
      <c r="AK19" s="912"/>
      <c r="AL19" s="908"/>
      <c r="AM19" s="908"/>
      <c r="AN19" s="908"/>
      <c r="AO19" s="908"/>
      <c r="AP19" s="908"/>
      <c r="AQ19" s="908"/>
      <c r="AR19" s="908"/>
      <c r="AS19" s="908"/>
      <c r="AT19" s="908"/>
      <c r="AU19" s="908"/>
      <c r="AV19" s="908"/>
      <c r="AW19" s="908"/>
      <c r="AX19" s="908"/>
      <c r="AY19" s="908"/>
      <c r="AZ19" s="908"/>
      <c r="BA19" s="908"/>
      <c r="BB19" s="908"/>
      <c r="BC19" s="908"/>
      <c r="BD19" s="908"/>
      <c r="BE19" s="908"/>
      <c r="BF19" s="908"/>
      <c r="BG19" s="759">
        <v>10</v>
      </c>
    </row>
    <row customHeight="1" ht="10.5" hidden="1">
      <c r="A20" s="896" t="s">
        <v>84</v>
      </c>
      <c r="B20" s="896">
        <v>0</v>
      </c>
      <c r="C20" s="896">
        <v>0</v>
      </c>
      <c r="D20" s="418">
        <v>0</v>
      </c>
      <c r="E20" s="510">
        <v>3</v>
      </c>
      <c r="F20" s="759">
        <v>14</v>
      </c>
      <c r="G20" s="759">
        <v>3</v>
      </c>
      <c r="H20" s="1156">
        <v>7</v>
      </c>
      <c r="I20" s="759">
        <v>16</v>
      </c>
      <c r="J20" s="759">
        <v>16</v>
      </c>
      <c r="K20" s="759">
        <v>25</v>
      </c>
      <c r="L20" s="1126">
        <v>7</v>
      </c>
      <c r="M20" s="1126">
        <v>15</v>
      </c>
      <c r="N20" s="759">
        <v>3</v>
      </c>
      <c r="O20" s="759">
        <v>4</v>
      </c>
      <c r="P20" s="759">
        <v>8</v>
      </c>
      <c r="Q20" s="759">
        <v>21</v>
      </c>
      <c r="R20" s="759">
        <v>14</v>
      </c>
      <c r="S20" s="759">
        <v>17</v>
      </c>
      <c r="T20" s="759">
        <v>17</v>
      </c>
      <c r="U20" s="759">
        <v>9</v>
      </c>
      <c r="V20" s="759">
        <v>12</v>
      </c>
      <c r="W20" s="759">
        <v>9</v>
      </c>
      <c r="X20" s="759">
        <v>21</v>
      </c>
      <c r="Y20" s="759">
        <v>12</v>
      </c>
      <c r="Z20" s="759">
        <v>3</v>
      </c>
      <c r="AA20" s="759">
        <v>6</v>
      </c>
      <c r="AB20" s="759">
        <v>38</v>
      </c>
      <c r="AC20" s="759">
        <v>15</v>
      </c>
      <c r="AD20" s="1126">
        <v>0</v>
      </c>
      <c r="AE20" s="759">
        <v>0</v>
      </c>
      <c r="AF20" s="759">
        <v>16</v>
      </c>
      <c r="AG20" s="759">
        <v>16</v>
      </c>
      <c r="AH20" s="1145">
        <v>16</v>
      </c>
      <c r="AI20" s="1138">
        <v>0</v>
      </c>
      <c r="AJ20" s="759">
        <v>0</v>
      </c>
      <c r="AK20" s="759">
        <v>0</v>
      </c>
      <c r="AL20" s="759">
        <v>8</v>
      </c>
      <c r="AM20" s="759">
        <v>8</v>
      </c>
      <c r="AN20" s="759">
        <v>8</v>
      </c>
      <c r="AO20" s="759">
        <v>8</v>
      </c>
      <c r="AP20" s="759">
        <v>8</v>
      </c>
      <c r="AQ20" s="759">
        <v>8</v>
      </c>
      <c r="AR20" s="759">
        <v>8</v>
      </c>
      <c r="AS20" s="759">
        <v>8</v>
      </c>
      <c r="AT20" s="759">
        <v>8</v>
      </c>
      <c r="AU20" s="759">
        <v>8</v>
      </c>
      <c r="AV20" s="759">
        <v>8</v>
      </c>
      <c r="AW20" s="759">
        <v>8</v>
      </c>
      <c r="AX20" s="759">
        <v>8</v>
      </c>
      <c r="AY20" s="759">
        <v>8</v>
      </c>
      <c r="AZ20" s="759">
        <v>8</v>
      </c>
      <c r="BA20" s="759">
        <v>8</v>
      </c>
      <c r="BB20" s="759">
        <v>8</v>
      </c>
      <c r="BC20" s="759">
        <v>8</v>
      </c>
      <c r="BD20" s="759">
        <v>8</v>
      </c>
      <c r="BE20" s="759">
        <v>8</v>
      </c>
      <c r="BF20" s="759">
        <v>8</v>
      </c>
      <c r="BG20" s="759">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3FA1182-DBC5-CA8D-9923-0.76877529}" mc:Ignorable="x14ac xr xr2 xr3">
  <sheetPr>
    <tabColor theme="9" tint="-0.25"/>
  </sheetPr>
  <dimension ref="A1:W59"/>
  <sheetViews>
    <sheetView topLeftCell="A1" showGridLines="0" zoomScale="85" workbookViewId="0">
      <selection activeCell="A1" sqref="A1"/>
    </sheetView>
  </sheetViews>
  <sheetFormatPr defaultColWidth="9.140625" customHeight="1" defaultRowHeight="10.5"/>
  <cols>
    <col min="1" max="3" style="1167" width="4.140625" hidden="1" customWidth="1"/>
    <col min="4" max="4" style="1367" width="4.140625" hidden="1" customWidth="1"/>
    <col min="5" max="5" style="1636" width="3.00390625" customWidth="1"/>
    <col min="6" max="6" style="1636" width="6.00390625" customWidth="1"/>
    <col min="7" max="7" style="1636" width="60.00390625" customWidth="1"/>
    <col min="8" max="9" style="1636" width="21.7109375" hidden="1" customWidth="1"/>
    <col min="10" max="10" style="1636" width="0.140625" customWidth="1"/>
    <col min="11" max="11" style="1636" width="1.00390625" customWidth="1"/>
    <col min="12" max="22" style="1636" width="8.00390625" customWidth="1"/>
    <col min="23" max="23" style="1636" width="9.140625" hidden="1"/>
  </cols>
  <sheetData>
    <row s="1367" customFormat="1" customHeight="1" ht="10.5" hidden="1">
      <c r="A1" s="1167"/>
      <c r="B1" s="1167"/>
      <c r="C1" s="1167"/>
      <c r="E1" s="538"/>
      <c r="W1" s="1161" t="s">
        <v>14</v>
      </c>
    </row>
    <row customHeight="1" ht="10.5" hidden="1">
      <c r="W2" s="1156">
        <v>0</v>
      </c>
    </row>
    <row s="1633" customFormat="1" customHeight="1" ht="10.5" hidden="1">
      <c r="A3" s="1167"/>
      <c r="B3" s="1167"/>
      <c r="C3" s="1167"/>
      <c r="D3" s="1161"/>
      <c r="E3" s="363"/>
      <c r="W3" s="1157">
        <v>0</v>
      </c>
    </row>
    <row customHeight="1" ht="3">
      <c r="W4" s="1156">
        <v>3</v>
      </c>
    </row>
    <row customHeight="1" ht="27.299999999999997">
      <c r="F5" s="2249" t="str">
        <f>IP_NAME_FORM&amp;"
Финансовый план"</f>
        <v>Форма 7. Информация об инвестиционных программах организации холодного водоснабжения и отчетах об их исполнении
Финансовый план</v>
      </c>
      <c r="G5" s="2249"/>
      <c r="H5" s="2249"/>
      <c r="I5" s="2249"/>
      <c r="J5" s="2249"/>
      <c r="W5" s="1156">
        <v>26</v>
      </c>
    </row>
    <row customHeight="1" ht="10.5">
      <c r="F6" s="2177" t="str">
        <f>IF(org=0,"Не определено",org)</f>
        <v>ИМУП «ПОСЖИЛКОМСЕРВИС»</v>
      </c>
      <c r="G6" s="2177"/>
      <c r="H6" s="2177"/>
      <c r="I6" s="2177"/>
      <c r="J6" s="2177"/>
      <c r="W6" s="1156">
        <v>10</v>
      </c>
    </row>
    <row customHeight="1" ht="11.549999999999999">
      <c r="E7" s="1171"/>
      <c r="F7" s="1228"/>
      <c r="G7" s="1228"/>
      <c r="H7" s="1228"/>
      <c r="I7" s="1228"/>
      <c r="J7" s="1228"/>
      <c r="K7" s="1158"/>
      <c r="L7" s="1158"/>
      <c r="M7" s="1158"/>
      <c r="N7" s="1158"/>
      <c r="O7" s="1158"/>
      <c r="P7" s="1158"/>
      <c r="Q7" s="1158"/>
      <c r="R7" s="1158"/>
      <c r="S7" s="1158"/>
      <c r="T7" s="1158"/>
      <c r="U7" s="1158"/>
      <c r="V7" s="1158"/>
      <c r="W7" s="1156">
        <v>11</v>
      </c>
    </row>
    <row s="1643" customFormat="1" customHeight="1" ht="4.2">
      <c r="A8" s="1168"/>
      <c r="B8" s="1168"/>
      <c r="C8" s="1168"/>
      <c r="E8" s="1229"/>
      <c r="F8" s="1230"/>
      <c r="G8" s="1230"/>
      <c r="H8" s="1230"/>
      <c r="I8" s="1230"/>
      <c r="J8" s="1230"/>
      <c r="K8" s="1229"/>
      <c r="L8" s="1229"/>
      <c r="M8" s="1229"/>
      <c r="N8" s="1229"/>
      <c r="O8" s="1229"/>
      <c r="P8" s="1229"/>
      <c r="Q8" s="1229"/>
      <c r="R8" s="1229"/>
      <c r="S8" s="1229"/>
      <c r="T8" s="1229"/>
      <c r="U8" s="1229"/>
      <c r="V8" s="1229"/>
      <c r="W8" s="512">
        <v>4</v>
      </c>
    </row>
    <row customHeight="1" ht="10.5">
      <c r="E9" s="1171"/>
      <c r="F9" s="2420" t="s">
        <v>312</v>
      </c>
      <c r="G9" s="2421"/>
      <c r="H9" s="2421"/>
      <c r="I9" s="2421"/>
      <c r="J9" s="2421"/>
      <c r="K9" s="1241"/>
      <c r="L9" s="1158"/>
      <c r="M9" s="1158"/>
      <c r="N9" s="1158"/>
      <c r="O9" s="1158"/>
      <c r="P9" s="1158"/>
      <c r="Q9" s="1158"/>
      <c r="R9" s="1158"/>
      <c r="S9" s="1158"/>
      <c r="T9" s="1158"/>
      <c r="U9" s="1158"/>
      <c r="V9" s="1158"/>
      <c r="W9" s="1156">
        <v>10</v>
      </c>
    </row>
    <row customHeight="1" ht="25.2">
      <c r="E10" s="1158"/>
      <c r="F10" s="2424" t="s">
        <v>90</v>
      </c>
      <c r="G10" s="2429" t="s">
        <v>1026</v>
      </c>
      <c r="H10" s="2427" t="s">
        <v>1027</v>
      </c>
      <c r="I10" s="2427"/>
      <c r="J10" s="2427"/>
      <c r="K10" s="1234"/>
      <c r="L10" s="1158"/>
      <c r="M10" s="1158"/>
      <c r="N10" s="1158"/>
      <c r="O10" s="1158"/>
      <c r="P10" s="1158"/>
      <c r="Q10" s="1158"/>
      <c r="R10" s="1158"/>
      <c r="S10" s="1158"/>
      <c r="T10" s="1158"/>
      <c r="U10" s="1158"/>
      <c r="V10" s="1158"/>
      <c r="W10" s="1156">
        <v>24</v>
      </c>
    </row>
    <row customHeight="1" ht="25.5">
      <c r="E11" s="1158"/>
      <c r="F11" s="2425"/>
      <c r="G11" s="2429"/>
      <c r="H11" s="2428">
        <f>INDEX(IP_MAIN_LIST_NAME_IP,MATCH(H8,IP_MAIN_LIST_IP_ID,0))&amp;" ("&amp;INDEX(IP_MAIN_START_DATE,MATCH(H8,IP_MAIN_LIST_IP_ID,0))&amp;"-"&amp;INDEX(IP_MAIN_END_DATE,MATCH(H8,IP_MAIN_LIST_IP_ID,0))&amp;")"</f>
      </c>
      <c r="I11" s="2428"/>
      <c r="J11" s="2428"/>
      <c r="K11" s="1234"/>
      <c r="L11" s="1158"/>
      <c r="M11" s="1158"/>
      <c r="N11" s="1158"/>
      <c r="O11" s="1158"/>
      <c r="P11" s="1158"/>
      <c r="Q11" s="1158"/>
      <c r="R11" s="1158"/>
      <c r="S11" s="1158"/>
      <c r="T11" s="1158"/>
      <c r="U11" s="1158"/>
      <c r="V11" s="1158"/>
      <c r="W11" s="1156">
        <v>24</v>
      </c>
    </row>
    <row customHeight="1" ht="10.5">
      <c r="F12" s="2426"/>
      <c r="G12" s="2429"/>
      <c r="H12" s="1227" t="s">
        <v>1028</v>
      </c>
      <c r="I12" s="1233"/>
      <c r="J12" s="1227"/>
      <c r="K12" s="1235"/>
      <c r="W12" s="1156">
        <v>10</v>
      </c>
    </row>
    <row customHeight="1" ht="10.5" hidden="1">
      <c r="F13" s="1227">
        <v>1</v>
      </c>
      <c r="G13" s="1227">
        <v>2</v>
      </c>
      <c r="H13" s="1227">
        <v>3</v>
      </c>
      <c r="I13" s="1227">
        <v>4</v>
      </c>
      <c r="J13" s="1227">
        <v>5</v>
      </c>
      <c r="K13" s="1235"/>
      <c r="W13" s="1156">
        <v>0</v>
      </c>
    </row>
    <row customHeight="1" ht="11.549999999999999">
      <c r="F14" s="1226" t="s">
        <v>1029</v>
      </c>
      <c r="G14" s="2422" t="s">
        <v>1030</v>
      </c>
      <c r="H14" s="2422"/>
      <c r="I14" s="2422"/>
      <c r="J14" s="2422"/>
      <c r="K14" s="1235"/>
      <c r="W14" s="1156">
        <v>11</v>
      </c>
    </row>
    <row customHeight="1" ht="11.549999999999999">
      <c r="F15" s="1231">
        <v>1</v>
      </c>
      <c r="G15" s="691" t="s">
        <v>1031</v>
      </c>
      <c r="H15" s="1237">
        <f>SUM(I15:J15)</f>
        <v>0</v>
      </c>
      <c r="I15" s="1237">
        <f>SUM(I16:I27)</f>
        <v>0</v>
      </c>
      <c r="J15" s="1226"/>
      <c r="K15" s="1235"/>
      <c r="W15" s="1156">
        <v>11</v>
      </c>
    </row>
    <row customHeight="1" ht="24">
      <c r="F16" s="1231" t="s">
        <v>1032</v>
      </c>
      <c r="G16" s="1238" t="s">
        <v>1033</v>
      </c>
      <c r="H16" s="1237">
        <f>SUM(I16:J16)</f>
        <v>0</v>
      </c>
      <c r="I16" s="1236"/>
      <c r="J16" s="1226"/>
      <c r="K16" s="1235"/>
      <c r="W16" s="1156">
        <v>23</v>
      </c>
    </row>
    <row customHeight="1" ht="24">
      <c r="F17" s="1231" t="s">
        <v>1034</v>
      </c>
      <c r="G17" s="1238" t="s">
        <v>1035</v>
      </c>
      <c r="H17" s="1237">
        <f>SUM(I17:J17)</f>
        <v>0</v>
      </c>
      <c r="I17" s="1236"/>
      <c r="J17" s="1226"/>
      <c r="K17" s="1235"/>
      <c r="W17" s="1156">
        <v>23</v>
      </c>
    </row>
    <row customHeight="1" ht="35.699999999999996">
      <c r="F18" s="1231" t="s">
        <v>1036</v>
      </c>
      <c r="G18" s="1238" t="s">
        <v>1037</v>
      </c>
      <c r="H18" s="1237">
        <f>SUM(I18:J18)</f>
        <v>0</v>
      </c>
      <c r="I18" s="1236"/>
      <c r="J18" s="1226"/>
      <c r="K18" s="1235"/>
      <c r="W18" s="1156">
        <v>34</v>
      </c>
    </row>
    <row customHeight="1" ht="35.699999999999996">
      <c r="F19" s="1231" t="s">
        <v>1038</v>
      </c>
      <c r="G19" s="1238" t="s">
        <v>1039</v>
      </c>
      <c r="H19" s="1237">
        <f>SUM(I19:J19)</f>
        <v>0</v>
      </c>
      <c r="I19" s="1236"/>
      <c r="J19" s="1226"/>
      <c r="K19" s="1235"/>
      <c r="W19" s="1156">
        <v>34</v>
      </c>
    </row>
    <row customHeight="1" ht="48.29999999999999">
      <c r="F20" s="1231" t="s">
        <v>1040</v>
      </c>
      <c r="G20" s="1238" t="s">
        <v>1041</v>
      </c>
      <c r="H20" s="1237">
        <f>SUM(I20:J20)</f>
        <v>0</v>
      </c>
      <c r="I20" s="1236"/>
      <c r="J20" s="1226"/>
      <c r="K20" s="1235"/>
      <c r="W20" s="1156">
        <v>46</v>
      </c>
    </row>
    <row customHeight="1" ht="35.699999999999996">
      <c r="F21" s="1231" t="s">
        <v>1042</v>
      </c>
      <c r="G21" s="1238" t="s">
        <v>1043</v>
      </c>
      <c r="H21" s="1237">
        <f>SUM(I21:J21)</f>
        <v>0</v>
      </c>
      <c r="I21" s="1236"/>
      <c r="J21" s="1226"/>
      <c r="K21" s="1235"/>
      <c r="W21" s="1156">
        <v>34</v>
      </c>
    </row>
    <row customHeight="1" ht="35.699999999999996">
      <c r="F22" s="1231" t="s">
        <v>1044</v>
      </c>
      <c r="G22" s="1238" t="s">
        <v>1045</v>
      </c>
      <c r="H22" s="1237">
        <f>SUM(I22:J22)</f>
        <v>0</v>
      </c>
      <c r="I22" s="1236"/>
      <c r="J22" s="1226"/>
      <c r="K22" s="1235"/>
      <c r="W22" s="1156">
        <v>34</v>
      </c>
    </row>
    <row customHeight="1" ht="24">
      <c r="F23" s="1231" t="s">
        <v>1046</v>
      </c>
      <c r="G23" s="1238" t="s">
        <v>1047</v>
      </c>
      <c r="H23" s="1237">
        <f>SUM(I23:J23)</f>
        <v>0</v>
      </c>
      <c r="I23" s="1236"/>
      <c r="J23" s="1226"/>
      <c r="K23" s="1235"/>
      <c r="W23" s="1156">
        <v>23</v>
      </c>
    </row>
    <row customHeight="1" ht="24">
      <c r="F24" s="1231" t="s">
        <v>1048</v>
      </c>
      <c r="G24" s="1238" t="s">
        <v>1049</v>
      </c>
      <c r="H24" s="1237">
        <f>SUM(I24:J24)</f>
        <v>0</v>
      </c>
      <c r="I24" s="1236"/>
      <c r="J24" s="1226"/>
      <c r="K24" s="1235"/>
      <c r="W24" s="1156">
        <v>23</v>
      </c>
    </row>
    <row customHeight="1" ht="35.699999999999996">
      <c r="F25" s="1231" t="s">
        <v>1050</v>
      </c>
      <c r="G25" s="1238" t="s">
        <v>1051</v>
      </c>
      <c r="H25" s="1237">
        <f>SUM(I25:J25)</f>
        <v>0</v>
      </c>
      <c r="I25" s="1236"/>
      <c r="J25" s="1226"/>
      <c r="K25" s="1235"/>
      <c r="W25" s="1156">
        <v>34</v>
      </c>
    </row>
    <row customHeight="1" ht="35.699999999999996">
      <c r="F26" s="1231" t="s">
        <v>1052</v>
      </c>
      <c r="G26" s="1238" t="s">
        <v>1053</v>
      </c>
      <c r="H26" s="1237">
        <f>SUM(I26:J26)</f>
        <v>0</v>
      </c>
      <c r="I26" s="1236"/>
      <c r="J26" s="1226"/>
      <c r="K26" s="1235"/>
      <c r="W26" s="1156">
        <v>34</v>
      </c>
    </row>
    <row customHeight="1" ht="11.549999999999999">
      <c r="F27" s="1231" t="s">
        <v>1054</v>
      </c>
      <c r="G27" s="1238" t="s">
        <v>1055</v>
      </c>
      <c r="H27" s="1237">
        <f>SUM(I27:J27)</f>
        <v>0</v>
      </c>
      <c r="I27" s="1236"/>
      <c r="J27" s="1226"/>
      <c r="K27" s="1235"/>
      <c r="W27" s="1156">
        <v>11</v>
      </c>
    </row>
    <row customHeight="1" ht="11.549999999999999">
      <c r="F28" s="1231">
        <v>2</v>
      </c>
      <c r="G28" s="691" t="s">
        <v>1056</v>
      </c>
      <c r="H28" s="1237">
        <f>SUM(I28:J28)</f>
        <v>0</v>
      </c>
      <c r="I28" s="1237">
        <f>SUM(I29:I31)</f>
        <v>0</v>
      </c>
      <c r="J28" s="1226"/>
      <c r="K28" s="1235"/>
      <c r="W28" s="1156">
        <v>11</v>
      </c>
    </row>
    <row customHeight="1" ht="11.549999999999999">
      <c r="F29" s="1231" t="s">
        <v>719</v>
      </c>
      <c r="G29" s="1238" t="s">
        <v>1057</v>
      </c>
      <c r="H29" s="1237">
        <f>SUM(I29:J29)</f>
        <v>0</v>
      </c>
      <c r="I29" s="1236"/>
      <c r="J29" s="1226"/>
      <c r="K29" s="1235"/>
      <c r="W29" s="1156">
        <v>11</v>
      </c>
    </row>
    <row customHeight="1" ht="11.549999999999999">
      <c r="F30" s="1231" t="s">
        <v>319</v>
      </c>
      <c r="G30" s="1238" t="s">
        <v>1058</v>
      </c>
      <c r="H30" s="1237">
        <f>SUM(I30:J30)</f>
        <v>0</v>
      </c>
      <c r="I30" s="1236"/>
      <c r="J30" s="1226"/>
      <c r="K30" s="1235"/>
      <c r="W30" s="1156">
        <v>11</v>
      </c>
    </row>
    <row customHeight="1" ht="11.549999999999999">
      <c r="F31" s="1231" t="s">
        <v>322</v>
      </c>
      <c r="G31" s="1238" t="s">
        <v>1059</v>
      </c>
      <c r="H31" s="1237">
        <f>SUM(I31:J31)</f>
        <v>0</v>
      </c>
      <c r="I31" s="1236"/>
      <c r="J31" s="1226"/>
      <c r="K31" s="1235"/>
      <c r="W31" s="1156">
        <v>11</v>
      </c>
    </row>
    <row customHeight="1" ht="11.549999999999999">
      <c r="F32" s="1231">
        <v>3</v>
      </c>
      <c r="G32" s="691" t="s">
        <v>1060</v>
      </c>
      <c r="H32" s="1237">
        <f>SUM(I32:J32)</f>
        <v>0</v>
      </c>
      <c r="I32" s="1237">
        <f>SUM(I33:I34)</f>
        <v>0</v>
      </c>
      <c r="J32" s="1226"/>
      <c r="K32" s="1235"/>
      <c r="W32" s="1156">
        <v>11</v>
      </c>
    </row>
    <row customHeight="1" ht="48.29999999999999">
      <c r="F33" s="1231" t="s">
        <v>336</v>
      </c>
      <c r="G33" s="1238" t="s">
        <v>1061</v>
      </c>
      <c r="H33" s="1237">
        <f>SUM(I33:J33)</f>
        <v>0</v>
      </c>
      <c r="I33" s="1236"/>
      <c r="J33" s="1226"/>
      <c r="K33" s="1235"/>
      <c r="W33" s="1156">
        <v>46</v>
      </c>
    </row>
    <row customHeight="1" ht="11.549999999999999">
      <c r="F34" s="1231" t="s">
        <v>344</v>
      </c>
      <c r="G34" s="1238" t="s">
        <v>1062</v>
      </c>
      <c r="H34" s="1237">
        <f>SUM(I34:J34)</f>
        <v>0</v>
      </c>
      <c r="I34" s="1236"/>
      <c r="J34" s="1226"/>
      <c r="K34" s="1235"/>
      <c r="W34" s="1156">
        <v>11</v>
      </c>
    </row>
    <row customHeight="1" ht="11.549999999999999">
      <c r="F35" s="1231">
        <v>4</v>
      </c>
      <c r="G35" s="691" t="s">
        <v>1063</v>
      </c>
      <c r="H35" s="1237">
        <f>SUM(I35:J35)</f>
        <v>0</v>
      </c>
      <c r="I35" s="1236"/>
      <c r="J35" s="1226"/>
      <c r="K35" s="1235"/>
      <c r="W35" s="1156">
        <v>11</v>
      </c>
    </row>
    <row customHeight="1" ht="11.549999999999999">
      <c r="F36" s="1231"/>
      <c r="G36" s="694" t="s">
        <v>1064</v>
      </c>
      <c r="H36" s="1237">
        <f>SUM(I36:J36)</f>
        <v>0</v>
      </c>
      <c r="I36" s="1237">
        <f>SUM(I15,I28,I32,I35)</f>
        <v>0</v>
      </c>
      <c r="J36" s="1226"/>
      <c r="K36" s="1235"/>
      <c r="W36" s="1156">
        <v>11</v>
      </c>
    </row>
    <row customHeight="1" ht="29.25">
      <c r="F37" s="1232" t="s">
        <v>1065</v>
      </c>
      <c r="G37" s="2423" t="s">
        <v>1066</v>
      </c>
      <c r="H37" s="2423"/>
      <c r="I37" s="2423"/>
      <c r="J37" s="2423"/>
      <c r="K37" s="1235"/>
      <c r="W37" s="1156">
        <v>28</v>
      </c>
    </row>
    <row customHeight="1" ht="24">
      <c r="F38" s="1231" t="s">
        <v>112</v>
      </c>
      <c r="G38" s="691" t="s">
        <v>1067</v>
      </c>
      <c r="H38" s="1237">
        <f>SUM(I38:J38)</f>
        <v>0</v>
      </c>
      <c r="I38" s="1237">
        <f>SUM(I39,I44,I47)</f>
        <v>0</v>
      </c>
      <c r="J38" s="1226"/>
      <c r="K38" s="1235"/>
      <c r="W38" s="1156">
        <v>23</v>
      </c>
    </row>
    <row customHeight="1" ht="11.549999999999999">
      <c r="F39" s="1231" t="s">
        <v>1032</v>
      </c>
      <c r="G39" s="1238" t="s">
        <v>1031</v>
      </c>
      <c r="H39" s="1237">
        <f>SUM(I39:J39)</f>
        <v>0</v>
      </c>
      <c r="I39" s="1237">
        <f>SUM(I40:I43)</f>
        <v>0</v>
      </c>
      <c r="J39" s="1226"/>
      <c r="K39" s="1235"/>
      <c r="W39" s="1156">
        <v>11</v>
      </c>
    </row>
    <row customHeight="1" ht="24">
      <c r="F40" s="1231" t="s">
        <v>1068</v>
      </c>
      <c r="G40" s="1239" t="s">
        <v>1069</v>
      </c>
      <c r="H40" s="1237">
        <f>SUM(I40:J40)</f>
        <v>0</v>
      </c>
      <c r="I40" s="1236"/>
      <c r="J40" s="1226"/>
      <c r="K40" s="1235"/>
      <c r="W40" s="1156">
        <v>23</v>
      </c>
    </row>
    <row customHeight="1" ht="11.549999999999999">
      <c r="F41" s="1231" t="s">
        <v>1070</v>
      </c>
      <c r="G41" s="1239" t="s">
        <v>1071</v>
      </c>
      <c r="H41" s="1237">
        <f>SUM(I41:J41)</f>
        <v>0</v>
      </c>
      <c r="I41" s="1236"/>
      <c r="J41" s="1226"/>
      <c r="K41" s="1235"/>
      <c r="W41" s="1156">
        <v>11</v>
      </c>
    </row>
    <row customHeight="1" ht="11.549999999999999">
      <c r="F42" s="1231" t="s">
        <v>1072</v>
      </c>
      <c r="G42" s="1239" t="s">
        <v>1073</v>
      </c>
      <c r="H42" s="1237">
        <f>SUM(I42:J42)</f>
        <v>0</v>
      </c>
      <c r="I42" s="1236"/>
      <c r="J42" s="1226"/>
      <c r="K42" s="1235"/>
      <c r="W42" s="1156">
        <v>11</v>
      </c>
    </row>
    <row customHeight="1" ht="35.699999999999996">
      <c r="F43" s="1231" t="s">
        <v>1074</v>
      </c>
      <c r="G43" s="1239" t="s">
        <v>1075</v>
      </c>
      <c r="H43" s="1237">
        <f>SUM(I43:J43)</f>
        <v>0</v>
      </c>
      <c r="I43" s="1236"/>
      <c r="J43" s="1226"/>
      <c r="K43" s="1235"/>
      <c r="W43" s="1156">
        <v>34</v>
      </c>
    </row>
    <row customHeight="1" ht="11.549999999999999">
      <c r="F44" s="1231" t="s">
        <v>1034</v>
      </c>
      <c r="G44" s="1238" t="s">
        <v>1060</v>
      </c>
      <c r="H44" s="1237">
        <f>SUM(I44:J44)</f>
        <v>0</v>
      </c>
      <c r="I44" s="1237">
        <f>SUM(I45:I46)</f>
        <v>0</v>
      </c>
      <c r="J44" s="1226"/>
      <c r="K44" s="1235"/>
      <c r="W44" s="1156">
        <v>11</v>
      </c>
    </row>
    <row customHeight="1" ht="48.29999999999999">
      <c r="F45" s="1231" t="s">
        <v>1076</v>
      </c>
      <c r="G45" s="1239" t="s">
        <v>1061</v>
      </c>
      <c r="H45" s="1237">
        <f>SUM(I45:J45)</f>
        <v>0</v>
      </c>
      <c r="I45" s="1236"/>
      <c r="J45" s="1226"/>
      <c r="K45" s="1235"/>
      <c r="W45" s="1156">
        <v>46</v>
      </c>
    </row>
    <row customHeight="1" ht="11.549999999999999">
      <c r="F46" s="1231" t="s">
        <v>1077</v>
      </c>
      <c r="G46" s="1239" t="s">
        <v>1062</v>
      </c>
      <c r="H46" s="1237">
        <f>SUM(I46:J46)</f>
        <v>0</v>
      </c>
      <c r="I46" s="1236"/>
      <c r="J46" s="1226"/>
      <c r="K46" s="1235"/>
      <c r="W46" s="1156">
        <v>11</v>
      </c>
    </row>
    <row customHeight="1" ht="11.549999999999999">
      <c r="F47" s="1231" t="s">
        <v>1036</v>
      </c>
      <c r="G47" s="1238" t="s">
        <v>1078</v>
      </c>
      <c r="H47" s="1237">
        <f>SUM(I47:J47)</f>
        <v>0</v>
      </c>
      <c r="I47" s="1236"/>
      <c r="J47" s="1226"/>
      <c r="K47" s="1235"/>
      <c r="W47" s="1156">
        <v>11</v>
      </c>
    </row>
    <row customHeight="1" ht="24">
      <c r="F48" s="1231" t="s">
        <v>113</v>
      </c>
      <c r="G48" s="691" t="s">
        <v>1079</v>
      </c>
      <c r="H48" s="1237">
        <f>SUM(I48:J48)</f>
        <v>0</v>
      </c>
      <c r="I48" s="1237">
        <f>SUM(I49,I54,I57)</f>
        <v>0</v>
      </c>
      <c r="J48" s="1226"/>
      <c r="K48" s="1235"/>
      <c r="W48" s="1156">
        <v>23</v>
      </c>
    </row>
    <row customHeight="1" ht="11.549999999999999">
      <c r="F49" s="1231" t="s">
        <v>719</v>
      </c>
      <c r="G49" s="1238" t="s">
        <v>1031</v>
      </c>
      <c r="H49" s="1237">
        <f>SUM(I49:J49)</f>
        <v>0</v>
      </c>
      <c r="I49" s="1237">
        <f>SUM(I50:I53)</f>
        <v>0</v>
      </c>
      <c r="J49" s="1226"/>
      <c r="K49" s="1235"/>
      <c r="W49" s="1156">
        <v>11</v>
      </c>
    </row>
    <row customHeight="1" ht="24">
      <c r="F50" s="1231" t="s">
        <v>722</v>
      </c>
      <c r="G50" s="1239" t="s">
        <v>1069</v>
      </c>
      <c r="H50" s="1237">
        <f>SUM(I50:J50)</f>
        <v>0</v>
      </c>
      <c r="I50" s="1236"/>
      <c r="J50" s="1226"/>
      <c r="K50" s="1235"/>
      <c r="W50" s="1156">
        <v>23</v>
      </c>
    </row>
    <row customHeight="1" ht="11.549999999999999">
      <c r="F51" s="1231" t="s">
        <v>725</v>
      </c>
      <c r="G51" s="1239" t="s">
        <v>1071</v>
      </c>
      <c r="H51" s="1237">
        <f>SUM(I51:J51)</f>
        <v>0</v>
      </c>
      <c r="I51" s="1236"/>
      <c r="J51" s="1226"/>
      <c r="K51" s="1235"/>
      <c r="W51" s="1156">
        <v>11</v>
      </c>
    </row>
    <row customHeight="1" ht="11.549999999999999">
      <c r="F52" s="1231" t="s">
        <v>1080</v>
      </c>
      <c r="G52" s="1239" t="s">
        <v>1073</v>
      </c>
      <c r="H52" s="1237">
        <f>SUM(I52:J52)</f>
        <v>0</v>
      </c>
      <c r="I52" s="1236"/>
      <c r="J52" s="1226"/>
      <c r="K52" s="1235"/>
      <c r="W52" s="1156">
        <v>11</v>
      </c>
    </row>
    <row customHeight="1" ht="35.699999999999996">
      <c r="F53" s="1231" t="s">
        <v>1081</v>
      </c>
      <c r="G53" s="1239" t="s">
        <v>1075</v>
      </c>
      <c r="H53" s="1237">
        <f>SUM(I53:J53)</f>
        <v>0</v>
      </c>
      <c r="I53" s="1236"/>
      <c r="J53" s="1226"/>
      <c r="K53" s="1235"/>
      <c r="W53" s="1156">
        <v>34</v>
      </c>
    </row>
    <row customHeight="1" ht="11.549999999999999">
      <c r="F54" s="1231" t="s">
        <v>319</v>
      </c>
      <c r="G54" s="1238" t="s">
        <v>1060</v>
      </c>
      <c r="H54" s="1237">
        <f>SUM(I54:J54)</f>
        <v>0</v>
      </c>
      <c r="I54" s="1237">
        <f>SUM(I55:I56)</f>
        <v>0</v>
      </c>
      <c r="J54" s="1226"/>
      <c r="K54" s="1235"/>
      <c r="W54" s="1156">
        <v>11</v>
      </c>
    </row>
    <row customHeight="1" ht="48.29999999999999">
      <c r="F55" s="1231" t="s">
        <v>729</v>
      </c>
      <c r="G55" s="1239" t="s">
        <v>1061</v>
      </c>
      <c r="H55" s="1237">
        <f>SUM(I55:J55)</f>
        <v>0</v>
      </c>
      <c r="I55" s="1236"/>
      <c r="J55" s="1226"/>
      <c r="K55" s="1235"/>
      <c r="W55" s="1156">
        <v>46</v>
      </c>
    </row>
    <row customHeight="1" ht="11.549999999999999">
      <c r="F56" s="1231" t="s">
        <v>731</v>
      </c>
      <c r="G56" s="1239" t="s">
        <v>1062</v>
      </c>
      <c r="H56" s="1237">
        <f>SUM(I56:J56)</f>
        <v>0</v>
      </c>
      <c r="I56" s="1236"/>
      <c r="J56" s="1226"/>
      <c r="K56" s="1235"/>
      <c r="W56" s="1156">
        <v>11</v>
      </c>
    </row>
    <row customHeight="1" ht="11.549999999999999">
      <c r="F57" s="1231" t="s">
        <v>322</v>
      </c>
      <c r="G57" s="1238" t="s">
        <v>1078</v>
      </c>
      <c r="H57" s="1237">
        <f>SUM(I57:J57)</f>
        <v>0</v>
      </c>
      <c r="I57" s="1236"/>
      <c r="J57" s="1226"/>
      <c r="K57" s="1235"/>
      <c r="W57" s="1156">
        <v>11</v>
      </c>
    </row>
    <row customHeight="1" ht="11.549999999999999">
      <c r="F58" s="1231"/>
      <c r="G58" s="1240" t="s">
        <v>1064</v>
      </c>
      <c r="H58" s="1237">
        <f>SUM(I58:J58)</f>
        <v>0</v>
      </c>
      <c r="I58" s="1237">
        <f>SUM(I38,I48)</f>
        <v>0</v>
      </c>
      <c r="J58" s="1226"/>
      <c r="K58" s="1235"/>
      <c r="W58" s="1156">
        <v>11</v>
      </c>
    </row>
    <row customHeight="1" ht="10.5" hidden="1">
      <c r="A59" s="1167" t="s">
        <v>84</v>
      </c>
      <c r="B59" s="1167">
        <v>0</v>
      </c>
      <c r="C59" s="1167">
        <v>0</v>
      </c>
      <c r="D59" s="1161">
        <v>0</v>
      </c>
      <c r="E59" s="510">
        <v>3</v>
      </c>
      <c r="F59" s="1156">
        <v>6</v>
      </c>
      <c r="G59" s="1156">
        <v>60</v>
      </c>
      <c r="H59" s="1156">
        <v>0</v>
      </c>
      <c r="I59" s="1156">
        <v>0</v>
      </c>
      <c r="J59" s="1156">
        <v>0</v>
      </c>
      <c r="K59" s="1156">
        <v>1</v>
      </c>
      <c r="L59" s="1156">
        <v>8</v>
      </c>
      <c r="M59" s="1156">
        <v>8</v>
      </c>
      <c r="N59" s="1156">
        <v>8</v>
      </c>
      <c r="O59" s="1156">
        <v>8</v>
      </c>
      <c r="P59" s="1156">
        <v>8</v>
      </c>
      <c r="Q59" s="1156">
        <v>8</v>
      </c>
      <c r="R59" s="1156">
        <v>8</v>
      </c>
      <c r="S59" s="1156">
        <v>8</v>
      </c>
      <c r="T59" s="1156">
        <v>8</v>
      </c>
      <c r="U59" s="1156">
        <v>8</v>
      </c>
      <c r="V59" s="1156">
        <v>8</v>
      </c>
      <c r="W59" s="1156">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98533B9-DCFC-B411-9F21-0.6749B39}" mc:Ignorable="x14ac xr xr2 xr3">
  <sheetPr>
    <tabColor theme="9" tint="-0.25"/>
  </sheetPr>
  <dimension ref="A1:GC25"/>
  <sheetViews>
    <sheetView topLeftCell="A1" showGridLines="0" zoomScale="90" workbookViewId="0">
      <selection activeCell="A1" sqref="A1"/>
    </sheetView>
  </sheetViews>
  <sheetFormatPr defaultColWidth="9.140625" customHeight="1" defaultRowHeight="12"/>
  <cols>
    <col min="1" max="1" style="1064" width="4.7109375" hidden="1" customWidth="1"/>
    <col min="2" max="2" style="937" width="4.7109375" hidden="1" customWidth="1"/>
    <col min="3" max="4" style="1064" width="4.7109375" hidden="1" customWidth="1"/>
    <col min="5" max="5" style="1064" width="3.00390625" customWidth="1"/>
    <col min="6" max="6" style="1064" width="6.00390625" customWidth="1"/>
    <col min="7" max="7" style="1064" width="18.00390625" customWidth="1"/>
    <col min="8" max="8" style="1064" width="27.00390625" customWidth="1"/>
    <col min="9" max="9" style="1064" width="18.00390625" customWidth="1"/>
    <col min="10" max="14" style="1064" width="0.8515625" hidden="1" customWidth="1"/>
    <col min="15" max="28" style="1064" width="21.7109375" hidden="1" customWidth="1"/>
    <col min="29" max="71" style="1064" width="0.8515625" hidden="1" customWidth="1"/>
    <col min="72" max="79" style="1064" width="21.7109375" customWidth="1"/>
    <col min="80" max="81" style="1064" width="29.140625" customWidth="1"/>
    <col min="82" max="89" style="1064" width="21.7109375" customWidth="1"/>
    <col min="90" max="102" style="1064" width="0.7109375" customWidth="1"/>
    <col min="103" max="114" style="1064" width="21.7109375" hidden="1" customWidth="1"/>
    <col min="115" max="178" style="1064" width="0.7109375" hidden="1" customWidth="1"/>
    <col min="179" max="179" style="1064" width="0.140625" customWidth="1"/>
    <col min="180" max="184" style="1064" width="8.00390625" customWidth="1"/>
    <col min="185" max="185" style="1064" width="9.140625" hidden="1"/>
  </cols>
  <sheetData>
    <row s="926" customFormat="1" customHeight="1" ht="12" hidden="1">
      <c r="B1" s="924"/>
      <c r="C1" s="925"/>
      <c r="D1" s="925"/>
      <c r="GC1" s="923" t="s">
        <v>14</v>
      </c>
    </row>
    <row s="926" customFormat="1" customHeight="1" ht="12" hidden="1">
      <c r="B2" s="924"/>
      <c r="C2" s="925"/>
      <c r="D2" s="925"/>
      <c r="E2" s="925"/>
      <c r="F2" s="925"/>
      <c r="G2" s="925"/>
      <c r="H2" s="925"/>
      <c r="I2" s="925"/>
      <c r="J2" s="925"/>
      <c r="K2" s="925"/>
      <c r="L2" s="925"/>
      <c r="M2" s="925"/>
      <c r="N2" s="925"/>
      <c r="O2" s="925"/>
      <c r="P2" s="925"/>
      <c r="Q2" s="925"/>
      <c r="R2" s="925"/>
      <c r="S2" s="925"/>
      <c r="T2" s="925"/>
      <c r="U2" s="925"/>
      <c r="V2" s="925"/>
      <c r="W2" s="925"/>
      <c r="X2" s="925"/>
      <c r="Y2" s="925"/>
      <c r="Z2" s="925"/>
      <c r="AA2" s="925"/>
      <c r="AB2" s="926"/>
      <c r="AC2" s="925"/>
      <c r="AD2" s="925"/>
      <c r="AE2" s="925"/>
      <c r="AF2" s="925"/>
      <c r="AG2" s="925"/>
      <c r="AH2" s="925"/>
      <c r="AI2" s="925"/>
      <c r="AJ2" s="925"/>
      <c r="AK2" s="925"/>
      <c r="AL2" s="925"/>
      <c r="AM2" s="925"/>
      <c r="AN2" s="925"/>
      <c r="AO2" s="925"/>
      <c r="AP2" s="925"/>
      <c r="AQ2" s="925"/>
      <c r="AR2" s="925"/>
      <c r="AS2" s="925"/>
      <c r="AT2" s="925"/>
      <c r="AU2" s="925"/>
      <c r="AV2" s="925"/>
      <c r="AW2" s="925"/>
      <c r="AX2" s="925"/>
      <c r="AY2" s="925"/>
      <c r="AZ2" s="925"/>
      <c r="BA2" s="925"/>
      <c r="BB2" s="925"/>
      <c r="BC2" s="925"/>
      <c r="BD2" s="925"/>
      <c r="BE2" s="925"/>
      <c r="BF2" s="925"/>
      <c r="BG2" s="925"/>
      <c r="BH2" s="925"/>
      <c r="BI2" s="925"/>
      <c r="BJ2" s="925"/>
      <c r="BK2" s="925"/>
      <c r="BL2" s="925"/>
      <c r="BM2" s="925"/>
      <c r="BN2" s="925"/>
      <c r="BO2" s="925"/>
      <c r="BP2" s="925"/>
      <c r="BQ2" s="925"/>
      <c r="BR2" s="925"/>
      <c r="BS2" s="925"/>
      <c r="BT2" s="925"/>
      <c r="BU2" s="925"/>
      <c r="BV2" s="925"/>
      <c r="BW2" s="925"/>
      <c r="BX2" s="925"/>
      <c r="BY2" s="925"/>
      <c r="BZ2" s="925"/>
      <c r="CA2" s="925"/>
      <c r="CB2" s="925"/>
      <c r="CC2" s="925"/>
      <c r="CD2" s="925"/>
      <c r="CE2" s="925"/>
      <c r="CF2" s="925"/>
      <c r="CG2" s="925"/>
      <c r="CH2" s="925"/>
      <c r="CI2" s="925"/>
      <c r="CJ2" s="925"/>
      <c r="CK2" s="925"/>
      <c r="CL2" s="925"/>
      <c r="CM2" s="925"/>
      <c r="CN2" s="925"/>
      <c r="CO2" s="925"/>
      <c r="CP2" s="925"/>
      <c r="CQ2" s="925"/>
      <c r="CR2" s="925"/>
      <c r="CS2" s="925"/>
      <c r="CT2" s="925"/>
      <c r="CU2" s="925"/>
      <c r="CV2" s="925"/>
      <c r="CW2" s="925"/>
      <c r="CX2" s="925"/>
      <c r="CY2" s="925"/>
      <c r="CZ2" s="925"/>
      <c r="DA2" s="925"/>
      <c r="DB2" s="925"/>
      <c r="DC2" s="925"/>
      <c r="DD2" s="925"/>
      <c r="DE2" s="925"/>
      <c r="DF2" s="925"/>
      <c r="DG2" s="925"/>
      <c r="DH2" s="925"/>
      <c r="DI2" s="925"/>
      <c r="DJ2" s="925"/>
      <c r="DK2" s="925"/>
      <c r="DL2" s="925"/>
      <c r="DM2" s="925"/>
      <c r="DN2" s="925"/>
      <c r="DO2" s="925"/>
      <c r="DP2" s="925"/>
      <c r="DQ2" s="925"/>
      <c r="DR2" s="925"/>
      <c r="DS2" s="925"/>
      <c r="DT2" s="925"/>
      <c r="DU2" s="925"/>
      <c r="DV2" s="925"/>
      <c r="DW2" s="925"/>
      <c r="DX2" s="925"/>
      <c r="DY2" s="925"/>
      <c r="DZ2" s="925"/>
      <c r="EA2" s="925"/>
      <c r="EB2" s="925"/>
      <c r="EC2" s="925"/>
      <c r="ED2" s="925"/>
      <c r="EE2" s="925"/>
      <c r="EF2" s="925"/>
      <c r="EG2" s="925"/>
      <c r="EH2" s="925"/>
      <c r="EI2" s="925"/>
      <c r="EJ2" s="925"/>
      <c r="EK2" s="925"/>
      <c r="EL2" s="925"/>
      <c r="EM2" s="925"/>
      <c r="EN2" s="925"/>
      <c r="EO2" s="925"/>
      <c r="EP2" s="925"/>
      <c r="EQ2" s="925"/>
      <c r="ER2" s="925"/>
      <c r="ES2" s="925"/>
      <c r="ET2" s="925"/>
      <c r="EU2" s="925"/>
      <c r="EV2" s="925"/>
      <c r="EW2" s="925"/>
      <c r="EX2" s="925"/>
      <c r="EY2" s="925"/>
      <c r="EZ2" s="925"/>
      <c r="FA2" s="925"/>
      <c r="FB2" s="925"/>
      <c r="FC2" s="925"/>
      <c r="FD2" s="925"/>
      <c r="FE2" s="925"/>
      <c r="FF2" s="925"/>
      <c r="FG2" s="925"/>
      <c r="FH2" s="925"/>
      <c r="FI2" s="925"/>
      <c r="FJ2" s="925"/>
      <c r="FK2" s="925"/>
      <c r="FL2" s="925"/>
      <c r="FM2" s="925"/>
      <c r="FN2" s="925"/>
      <c r="FO2" s="925"/>
      <c r="FP2" s="925"/>
      <c r="FQ2" s="925"/>
      <c r="FR2" s="925"/>
      <c r="FS2" s="925"/>
      <c r="FT2" s="925"/>
      <c r="FU2" s="925"/>
      <c r="FV2" s="925"/>
      <c r="FW2" s="925"/>
      <c r="GC2" s="923">
        <v>0</v>
      </c>
    </row>
    <row s="926" customFormat="1" customHeight="1" ht="12" hidden="1">
      <c r="B3" s="924"/>
      <c r="C3" s="925"/>
      <c r="D3" s="925"/>
      <c r="E3" s="925"/>
      <c r="F3" s="925"/>
      <c r="G3" s="925"/>
      <c r="H3" s="925"/>
      <c r="I3" s="925"/>
      <c r="J3" s="925"/>
      <c r="K3" s="925"/>
      <c r="L3" s="925"/>
      <c r="M3" s="925"/>
      <c r="N3" s="925"/>
      <c r="O3" s="925"/>
      <c r="P3" s="925"/>
      <c r="Q3" s="925"/>
      <c r="R3" s="925"/>
      <c r="S3" s="925"/>
      <c r="T3" s="925"/>
      <c r="U3" s="925"/>
      <c r="V3" s="925"/>
      <c r="W3" s="925"/>
      <c r="X3" s="925"/>
      <c r="Y3" s="925"/>
      <c r="Z3" s="925"/>
      <c r="AA3" s="925"/>
      <c r="AB3" s="926"/>
      <c r="AC3" s="925"/>
      <c r="AD3" s="925"/>
      <c r="AE3" s="925"/>
      <c r="AF3" s="925"/>
      <c r="AG3" s="925"/>
      <c r="AH3" s="925"/>
      <c r="AI3" s="925"/>
      <c r="AJ3" s="925"/>
      <c r="AK3" s="925"/>
      <c r="AL3" s="925"/>
      <c r="AM3" s="925"/>
      <c r="AN3" s="925"/>
      <c r="AO3" s="925"/>
      <c r="AP3" s="925"/>
      <c r="AQ3" s="925"/>
      <c r="AR3" s="925"/>
      <c r="AS3" s="925"/>
      <c r="AT3" s="925"/>
      <c r="AU3" s="925"/>
      <c r="AV3" s="925"/>
      <c r="AW3" s="925"/>
      <c r="AX3" s="925"/>
      <c r="AY3" s="925"/>
      <c r="AZ3" s="925"/>
      <c r="BA3" s="925"/>
      <c r="BB3" s="925"/>
      <c r="BC3" s="925"/>
      <c r="BD3" s="925"/>
      <c r="BE3" s="925"/>
      <c r="BF3" s="925"/>
      <c r="BG3" s="925"/>
      <c r="BH3" s="925"/>
      <c r="BI3" s="925"/>
      <c r="BJ3" s="925"/>
      <c r="BK3" s="925"/>
      <c r="BL3" s="925"/>
      <c r="BM3" s="925"/>
      <c r="BN3" s="925"/>
      <c r="BO3" s="925"/>
      <c r="BP3" s="925"/>
      <c r="BQ3" s="925"/>
      <c r="BR3" s="925"/>
      <c r="BS3" s="925"/>
      <c r="BT3" s="925"/>
      <c r="BU3" s="925"/>
      <c r="BV3" s="925"/>
      <c r="BW3" s="925"/>
      <c r="BX3" s="925"/>
      <c r="BY3" s="925"/>
      <c r="BZ3" s="925"/>
      <c r="CA3" s="925"/>
      <c r="CB3" s="925"/>
      <c r="CC3" s="925"/>
      <c r="CD3" s="925"/>
      <c r="CE3" s="925"/>
      <c r="CF3" s="925"/>
      <c r="CG3" s="925"/>
      <c r="CH3" s="925"/>
      <c r="CI3" s="925"/>
      <c r="CJ3" s="925"/>
      <c r="CK3" s="925"/>
      <c r="CL3" s="925"/>
      <c r="CM3" s="925"/>
      <c r="CN3" s="925"/>
      <c r="CO3" s="925"/>
      <c r="CP3" s="925"/>
      <c r="CQ3" s="925"/>
      <c r="CR3" s="925"/>
      <c r="CS3" s="925"/>
      <c r="CT3" s="925"/>
      <c r="CU3" s="925"/>
      <c r="CV3" s="925"/>
      <c r="CW3" s="925"/>
      <c r="CX3" s="925"/>
      <c r="CY3" s="925"/>
      <c r="CZ3" s="925"/>
      <c r="DA3" s="925"/>
      <c r="DB3" s="925"/>
      <c r="DC3" s="925"/>
      <c r="DD3" s="925"/>
      <c r="DE3" s="925"/>
      <c r="DF3" s="925"/>
      <c r="DG3" s="925"/>
      <c r="DH3" s="925"/>
      <c r="DI3" s="925"/>
      <c r="DJ3" s="925"/>
      <c r="DK3" s="925"/>
      <c r="DL3" s="925"/>
      <c r="DM3" s="925"/>
      <c r="DN3" s="925"/>
      <c r="DO3" s="925"/>
      <c r="DP3" s="925"/>
      <c r="DQ3" s="925"/>
      <c r="DR3" s="925"/>
      <c r="DS3" s="925"/>
      <c r="DT3" s="925"/>
      <c r="DU3" s="925"/>
      <c r="DV3" s="925"/>
      <c r="DW3" s="925"/>
      <c r="DX3" s="925"/>
      <c r="DY3" s="925"/>
      <c r="DZ3" s="925"/>
      <c r="EA3" s="925"/>
      <c r="EB3" s="925"/>
      <c r="EC3" s="925"/>
      <c r="ED3" s="925"/>
      <c r="EE3" s="925"/>
      <c r="EF3" s="925"/>
      <c r="EG3" s="925"/>
      <c r="EH3" s="925"/>
      <c r="EI3" s="925"/>
      <c r="EJ3" s="925"/>
      <c r="EK3" s="925"/>
      <c r="EL3" s="925"/>
      <c r="EM3" s="925"/>
      <c r="EN3" s="925"/>
      <c r="EO3" s="925"/>
      <c r="EP3" s="925"/>
      <c r="EQ3" s="925"/>
      <c r="ER3" s="925"/>
      <c r="ES3" s="925"/>
      <c r="ET3" s="925"/>
      <c r="EU3" s="925"/>
      <c r="EV3" s="925"/>
      <c r="EW3" s="925"/>
      <c r="EX3" s="925"/>
      <c r="EY3" s="925"/>
      <c r="EZ3" s="925"/>
      <c r="FA3" s="925"/>
      <c r="FB3" s="925"/>
      <c r="FC3" s="925"/>
      <c r="FD3" s="925"/>
      <c r="FE3" s="925"/>
      <c r="FF3" s="925"/>
      <c r="FG3" s="925"/>
      <c r="FH3" s="925"/>
      <c r="FI3" s="925"/>
      <c r="FJ3" s="925"/>
      <c r="FK3" s="925"/>
      <c r="FL3" s="925"/>
      <c r="FM3" s="925"/>
      <c r="FN3" s="925"/>
      <c r="FO3" s="925"/>
      <c r="FP3" s="925"/>
      <c r="FQ3" s="925"/>
      <c r="FR3" s="925"/>
      <c r="FS3" s="925"/>
      <c r="FT3" s="925"/>
      <c r="FU3" s="925"/>
      <c r="FV3" s="925"/>
      <c r="FW3" s="925"/>
      <c r="GC3" s="923">
        <v>0</v>
      </c>
    </row>
    <row customHeight="1" ht="10.5">
      <c r="B4" s="928"/>
      <c r="C4" s="929"/>
      <c r="D4" s="929"/>
      <c r="E4" s="929"/>
      <c r="F4" s="929"/>
      <c r="G4" s="929"/>
      <c r="H4" s="930"/>
      <c r="I4" s="930"/>
      <c r="J4" s="930"/>
      <c r="K4" s="930"/>
      <c r="L4" s="930"/>
      <c r="M4" s="931"/>
      <c r="N4" s="931"/>
      <c r="O4" s="931"/>
      <c r="P4" s="931"/>
      <c r="Q4" s="931"/>
      <c r="R4" s="931"/>
      <c r="S4" s="931"/>
      <c r="T4" s="931"/>
      <c r="U4" s="931"/>
      <c r="V4" s="931"/>
      <c r="W4" s="931"/>
      <c r="X4" s="931"/>
      <c r="Y4" s="931"/>
      <c r="Z4" s="931"/>
      <c r="AA4" s="931"/>
      <c r="AB4" s="931"/>
      <c r="AC4" s="931"/>
      <c r="AD4" s="931"/>
      <c r="AE4" s="931"/>
      <c r="AF4" s="931"/>
      <c r="AG4" s="931"/>
      <c r="AH4" s="931"/>
      <c r="AI4" s="931"/>
      <c r="AJ4" s="931"/>
      <c r="AK4" s="931"/>
      <c r="AL4" s="931"/>
      <c r="AM4" s="931"/>
      <c r="AN4" s="931"/>
      <c r="AO4" s="931"/>
      <c r="AP4" s="931"/>
      <c r="AQ4" s="931"/>
      <c r="AR4" s="931"/>
      <c r="AS4" s="931"/>
      <c r="AT4" s="931"/>
      <c r="AU4" s="931"/>
      <c r="AV4" s="931"/>
      <c r="AW4" s="931"/>
      <c r="AX4" s="931"/>
      <c r="AY4" s="931"/>
      <c r="AZ4" s="931"/>
      <c r="BA4" s="931"/>
      <c r="BB4" s="931"/>
      <c r="BC4" s="931"/>
      <c r="BD4" s="931"/>
      <c r="BE4" s="931"/>
      <c r="BF4" s="931"/>
      <c r="BG4" s="931"/>
      <c r="BH4" s="931"/>
      <c r="BI4" s="931"/>
      <c r="BJ4" s="931"/>
      <c r="BK4" s="931"/>
      <c r="BL4" s="931"/>
      <c r="BM4" s="931"/>
      <c r="BN4" s="931"/>
      <c r="BO4" s="931"/>
      <c r="BP4" s="931"/>
      <c r="BQ4" s="931"/>
      <c r="BR4" s="931"/>
      <c r="BS4" s="931"/>
      <c r="BT4" s="931"/>
      <c r="BU4" s="931"/>
      <c r="BV4" s="931"/>
      <c r="BW4" s="931"/>
      <c r="BX4" s="931"/>
      <c r="BY4" s="931"/>
      <c r="BZ4" s="931"/>
      <c r="CA4" s="931"/>
      <c r="CB4" s="931"/>
      <c r="CC4" s="931"/>
      <c r="CD4" s="931"/>
      <c r="CE4" s="931"/>
      <c r="CF4" s="931"/>
      <c r="CG4" s="931"/>
      <c r="CH4" s="931"/>
      <c r="CI4" s="931"/>
      <c r="CJ4" s="931"/>
      <c r="CK4" s="931"/>
      <c r="CL4" s="931"/>
      <c r="CM4" s="931"/>
      <c r="CN4" s="931"/>
      <c r="CO4" s="931"/>
      <c r="CP4" s="931"/>
      <c r="CQ4" s="931"/>
      <c r="CR4" s="931"/>
      <c r="CS4" s="931"/>
      <c r="CT4" s="931"/>
      <c r="CU4" s="931"/>
      <c r="CV4" s="931"/>
      <c r="CW4" s="931"/>
      <c r="CX4" s="931"/>
      <c r="CY4" s="931"/>
      <c r="CZ4" s="931"/>
      <c r="DA4" s="931"/>
      <c r="DB4" s="931"/>
      <c r="DC4" s="931"/>
      <c r="DD4" s="931"/>
      <c r="DE4" s="931"/>
      <c r="DF4" s="931"/>
      <c r="DG4" s="931"/>
      <c r="DH4" s="931"/>
      <c r="DI4" s="931"/>
      <c r="DJ4" s="931"/>
      <c r="DK4" s="931"/>
      <c r="DL4" s="931"/>
      <c r="DM4" s="931"/>
      <c r="DN4" s="931"/>
      <c r="DO4" s="931"/>
      <c r="DP4" s="931"/>
      <c r="DQ4" s="931"/>
      <c r="DR4" s="931"/>
      <c r="DS4" s="931"/>
      <c r="DT4" s="931"/>
      <c r="DU4" s="931"/>
      <c r="DV4" s="931"/>
      <c r="DW4" s="931"/>
      <c r="DX4" s="931"/>
      <c r="DY4" s="931"/>
      <c r="DZ4" s="931"/>
      <c r="EA4" s="931"/>
      <c r="EB4" s="931"/>
      <c r="EC4" s="931"/>
      <c r="ED4" s="931"/>
      <c r="EE4" s="931"/>
      <c r="EF4" s="931"/>
      <c r="EG4" s="931"/>
      <c r="EH4" s="931"/>
      <c r="EI4" s="931"/>
      <c r="EJ4" s="931"/>
      <c r="EK4" s="931"/>
      <c r="EL4" s="931"/>
      <c r="EM4" s="931"/>
      <c r="EN4" s="931"/>
      <c r="EO4" s="931"/>
      <c r="EP4" s="931"/>
      <c r="EQ4" s="931"/>
      <c r="ER4" s="931"/>
      <c r="ES4" s="931"/>
      <c r="ET4" s="931"/>
      <c r="EU4" s="931"/>
      <c r="EV4" s="931"/>
      <c r="EW4" s="931"/>
      <c r="EX4" s="931"/>
      <c r="EY4" s="931"/>
      <c r="EZ4" s="931"/>
      <c r="FA4" s="931"/>
      <c r="FB4" s="931"/>
      <c r="FC4" s="931"/>
      <c r="FD4" s="931"/>
      <c r="FE4" s="931"/>
      <c r="FF4" s="931"/>
      <c r="FG4" s="931"/>
      <c r="FH4" s="931"/>
      <c r="FI4" s="931"/>
      <c r="FJ4" s="931"/>
      <c r="FK4" s="931"/>
      <c r="FL4" s="931"/>
      <c r="FM4" s="931"/>
      <c r="FN4" s="931"/>
      <c r="FO4" s="931"/>
      <c r="FP4" s="931"/>
      <c r="FQ4" s="931"/>
      <c r="FR4" s="931"/>
      <c r="FS4" s="931"/>
      <c r="FT4" s="931"/>
      <c r="FU4" s="931"/>
      <c r="FV4" s="931"/>
      <c r="FW4" s="931"/>
      <c r="GC4" s="927">
        <v>10</v>
      </c>
    </row>
    <row s="1874" customFormat="1" customHeight="1" ht="27.299999999999997">
      <c r="B5" s="1873"/>
      <c r="E5" s="1875"/>
      <c r="F5" s="2433"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холодного водоснабжения и отчетах об их исполнении
Показатели качества, надежности и энергетической эффективности в сфере холодного водоснабжения</v>
      </c>
      <c r="G5" s="2170"/>
      <c r="H5" s="2170"/>
      <c r="I5" s="2170"/>
      <c r="J5" s="2170"/>
      <c r="K5" s="2170"/>
      <c r="L5" s="2170"/>
      <c r="M5" s="2170"/>
      <c r="N5" s="2170"/>
      <c r="O5" s="2170"/>
      <c r="P5" s="2170"/>
      <c r="Q5" s="2170"/>
      <c r="R5" s="2170"/>
      <c r="S5" s="2170"/>
      <c r="T5" s="2170"/>
      <c r="U5" s="2170"/>
      <c r="V5" s="2170"/>
      <c r="W5" s="2170"/>
      <c r="X5" s="2170"/>
      <c r="Y5" s="2170"/>
      <c r="Z5" s="2170"/>
      <c r="AA5" s="2170"/>
      <c r="AB5" s="2170"/>
      <c r="AC5" s="2170"/>
      <c r="AD5" s="2170"/>
      <c r="AE5" s="2170"/>
      <c r="AF5" s="2170"/>
      <c r="AG5" s="2170"/>
      <c r="AH5" s="2170"/>
      <c r="AI5" s="2170"/>
      <c r="AJ5" s="2170"/>
      <c r="AK5" s="2170"/>
      <c r="AL5" s="2170"/>
      <c r="AM5" s="2170"/>
      <c r="AN5" s="2170"/>
      <c r="AO5" s="2170"/>
      <c r="AP5" s="2170"/>
      <c r="AQ5" s="2170"/>
      <c r="AR5" s="2170"/>
      <c r="AS5" s="2170"/>
      <c r="AT5" s="2170"/>
      <c r="AU5" s="2170"/>
      <c r="AV5" s="2170"/>
      <c r="AW5" s="2170"/>
      <c r="AX5" s="2170"/>
      <c r="AY5" s="2170"/>
      <c r="AZ5" s="2170"/>
      <c r="BA5" s="2170"/>
      <c r="BB5" s="2170"/>
      <c r="BC5" s="2170"/>
      <c r="BD5" s="2170"/>
      <c r="BE5" s="2170"/>
      <c r="BF5" s="2170"/>
      <c r="BG5" s="2170"/>
      <c r="BH5" s="2170"/>
      <c r="BI5" s="2170"/>
      <c r="BJ5" s="2170"/>
      <c r="BK5" s="2170"/>
      <c r="BL5" s="2170"/>
      <c r="BM5" s="2170"/>
      <c r="BN5" s="2170"/>
      <c r="BO5" s="2170"/>
      <c r="BP5" s="2170"/>
      <c r="BQ5" s="2170"/>
      <c r="BR5" s="2170"/>
      <c r="BS5" s="2170"/>
      <c r="GC5" s="1874">
        <v>26</v>
      </c>
    </row>
    <row s="2139" customFormat="1" customHeight="1" ht="18.75">
      <c r="B6" s="944"/>
      <c r="E6" s="946"/>
      <c r="F6" s="2215" t="str">
        <f>IF(org=0,"Не определено",org)</f>
        <v>ИМУП «ПОСЖИЛКОМСЕРВИС»</v>
      </c>
      <c r="G6" s="2216"/>
      <c r="H6" s="2216"/>
      <c r="I6" s="2216"/>
      <c r="J6" s="2216"/>
      <c r="K6" s="2216"/>
      <c r="L6" s="2216"/>
      <c r="M6" s="2216"/>
      <c r="N6" s="2216"/>
      <c r="O6" s="2216"/>
      <c r="P6" s="2216"/>
      <c r="Q6" s="2216"/>
      <c r="R6" s="2216"/>
      <c r="S6" s="2216"/>
      <c r="T6" s="2216"/>
      <c r="U6" s="2216"/>
      <c r="V6" s="2216"/>
      <c r="W6" s="2216"/>
      <c r="X6" s="2216"/>
      <c r="Y6" s="2216"/>
      <c r="Z6" s="2216"/>
      <c r="AA6" s="2216"/>
      <c r="AB6" s="2216"/>
      <c r="AC6" s="2216"/>
      <c r="AD6" s="2216"/>
      <c r="AE6" s="2216"/>
      <c r="AF6" s="2216"/>
      <c r="AG6" s="2216"/>
      <c r="AH6" s="2216"/>
      <c r="AI6" s="2216"/>
      <c r="AJ6" s="2216"/>
      <c r="AK6" s="2216"/>
      <c r="AL6" s="2216"/>
      <c r="AM6" s="2216"/>
      <c r="AN6" s="2216"/>
      <c r="AO6" s="2216"/>
      <c r="AP6" s="2216"/>
      <c r="AQ6" s="2216"/>
      <c r="AR6" s="2216"/>
      <c r="AS6" s="2216"/>
      <c r="AT6" s="2216"/>
      <c r="AU6" s="2216"/>
      <c r="AV6" s="2216"/>
      <c r="AW6" s="2216"/>
      <c r="AX6" s="2216"/>
      <c r="AY6" s="2216"/>
      <c r="AZ6" s="2216"/>
      <c r="BA6" s="2216"/>
      <c r="BB6" s="2216"/>
      <c r="BC6" s="2216"/>
      <c r="BD6" s="2216"/>
      <c r="BE6" s="2216"/>
      <c r="BF6" s="2216"/>
      <c r="BG6" s="2216"/>
      <c r="BH6" s="2216"/>
      <c r="BI6" s="2216"/>
      <c r="BJ6" s="2216"/>
      <c r="BK6" s="2216"/>
      <c r="BL6" s="2216"/>
      <c r="BM6" s="2216"/>
      <c r="BN6" s="2216"/>
      <c r="BO6" s="2216"/>
      <c r="BP6" s="2216"/>
      <c r="BQ6" s="2216"/>
      <c r="BR6" s="2216"/>
      <c r="BS6" s="2216"/>
      <c r="GC6" s="945">
        <v>18</v>
      </c>
    </row>
    <row s="934" customFormat="1" customHeight="1" ht="10.5">
      <c r="B7" s="933"/>
      <c r="E7" s="934"/>
      <c r="F7" s="934"/>
      <c r="G7" s="936"/>
      <c r="H7" s="930"/>
      <c r="I7" s="930"/>
      <c r="J7" s="930"/>
      <c r="K7" s="930"/>
      <c r="L7" s="930"/>
      <c r="M7" s="934"/>
      <c r="N7" s="934"/>
      <c r="O7" s="934"/>
      <c r="P7" s="934"/>
      <c r="Q7" s="934"/>
      <c r="R7" s="934"/>
      <c r="S7" s="934"/>
      <c r="T7" s="934"/>
      <c r="U7" s="934"/>
      <c r="V7" s="934"/>
      <c r="W7" s="934"/>
      <c r="X7" s="934"/>
      <c r="Y7" s="934"/>
      <c r="Z7" s="934"/>
      <c r="AA7" s="934"/>
      <c r="AB7" s="934"/>
      <c r="AC7" s="934"/>
      <c r="AD7" s="934"/>
      <c r="AE7" s="934"/>
      <c r="AF7" s="934"/>
      <c r="AG7" s="934"/>
      <c r="AH7" s="934"/>
      <c r="AI7" s="934"/>
      <c r="AJ7" s="934"/>
      <c r="AK7" s="934"/>
      <c r="AL7" s="934"/>
      <c r="AM7" s="934"/>
      <c r="AN7" s="934"/>
      <c r="AO7" s="934"/>
      <c r="AP7" s="934"/>
      <c r="AQ7" s="934"/>
      <c r="AR7" s="934"/>
      <c r="AS7" s="934"/>
      <c r="AT7" s="934"/>
      <c r="AU7" s="934"/>
      <c r="AV7" s="934"/>
      <c r="AW7" s="934"/>
      <c r="AX7" s="934"/>
      <c r="AY7" s="934"/>
      <c r="AZ7" s="934"/>
      <c r="BA7" s="934"/>
      <c r="BB7" s="934"/>
      <c r="BC7" s="934"/>
      <c r="BD7" s="934"/>
      <c r="BE7" s="934"/>
      <c r="BF7" s="934"/>
      <c r="BG7" s="934"/>
      <c r="BH7" s="934"/>
      <c r="BI7" s="934"/>
      <c r="BJ7" s="934"/>
      <c r="BK7" s="934"/>
      <c r="BL7" s="934"/>
      <c r="BM7" s="934"/>
      <c r="BN7" s="934"/>
      <c r="BO7" s="934"/>
      <c r="BP7" s="934"/>
      <c r="BQ7" s="934"/>
      <c r="BR7" s="934"/>
      <c r="BS7" s="934"/>
      <c r="BT7" s="934"/>
      <c r="BU7" s="934"/>
      <c r="BV7" s="934"/>
      <c r="BW7" s="934"/>
      <c r="BX7" s="934"/>
      <c r="BY7" s="934"/>
      <c r="BZ7" s="934"/>
      <c r="CA7" s="934"/>
      <c r="CB7" s="934"/>
      <c r="CC7" s="934"/>
      <c r="CD7" s="934"/>
      <c r="CE7" s="934"/>
      <c r="CF7" s="934"/>
      <c r="CG7" s="934"/>
      <c r="CH7" s="934"/>
      <c r="CI7" s="934"/>
      <c r="CJ7" s="934"/>
      <c r="CK7" s="934"/>
      <c r="CL7" s="934"/>
      <c r="CM7" s="934"/>
      <c r="CN7" s="934"/>
      <c r="CO7" s="934"/>
      <c r="CP7" s="934"/>
      <c r="CQ7" s="934"/>
      <c r="CR7" s="934"/>
      <c r="CS7" s="934"/>
      <c r="CT7" s="934"/>
      <c r="CU7" s="934"/>
      <c r="CV7" s="934"/>
      <c r="CW7" s="934"/>
      <c r="CX7" s="934"/>
      <c r="CY7" s="934"/>
      <c r="CZ7" s="934"/>
      <c r="DA7" s="934"/>
      <c r="DB7" s="934"/>
      <c r="DC7" s="934"/>
      <c r="DD7" s="934"/>
      <c r="DE7" s="934"/>
      <c r="DF7" s="934"/>
      <c r="DG7" s="934"/>
      <c r="DH7" s="934"/>
      <c r="DI7" s="934"/>
      <c r="DJ7" s="934"/>
      <c r="DK7" s="934"/>
      <c r="DL7" s="934"/>
      <c r="DM7" s="934"/>
      <c r="DN7" s="934"/>
      <c r="DO7" s="934"/>
      <c r="DP7" s="934"/>
      <c r="DQ7" s="934"/>
      <c r="DR7" s="934"/>
      <c r="DS7" s="934"/>
      <c r="DT7" s="934"/>
      <c r="DU7" s="934"/>
      <c r="DV7" s="934"/>
      <c r="DW7" s="934"/>
      <c r="DX7" s="934"/>
      <c r="DY7" s="934"/>
      <c r="DZ7" s="934"/>
      <c r="EA7" s="934"/>
      <c r="EB7" s="934"/>
      <c r="EC7" s="934"/>
      <c r="ED7" s="934"/>
      <c r="EE7" s="934"/>
      <c r="EF7" s="934"/>
      <c r="EG7" s="934"/>
      <c r="EH7" s="934"/>
      <c r="EI7" s="934"/>
      <c r="EJ7" s="934"/>
      <c r="EK7" s="934"/>
      <c r="EL7" s="934"/>
      <c r="EM7" s="934"/>
      <c r="EN7" s="934"/>
      <c r="EO7" s="934"/>
      <c r="EP7" s="934"/>
      <c r="EQ7" s="934"/>
      <c r="ER7" s="934"/>
      <c r="ES7" s="934"/>
      <c r="ET7" s="934"/>
      <c r="EU7" s="934"/>
      <c r="EV7" s="934"/>
      <c r="EW7" s="934"/>
      <c r="EX7" s="934"/>
      <c r="EY7" s="934"/>
      <c r="EZ7" s="934"/>
      <c r="FA7" s="934"/>
      <c r="FB7" s="934"/>
      <c r="FC7" s="934"/>
      <c r="FD7" s="934"/>
      <c r="FE7" s="934"/>
      <c r="FF7" s="934"/>
      <c r="FG7" s="934"/>
      <c r="FH7" s="934"/>
      <c r="FI7" s="934"/>
      <c r="FJ7" s="934"/>
      <c r="FK7" s="934"/>
      <c r="FL7" s="934"/>
      <c r="FM7" s="934"/>
      <c r="FN7" s="934"/>
      <c r="FO7" s="934"/>
      <c r="FP7" s="934"/>
      <c r="FQ7" s="934"/>
      <c r="FR7" s="934"/>
      <c r="FS7" s="934"/>
      <c r="FT7" s="934"/>
      <c r="FU7" s="934"/>
      <c r="FV7" s="934"/>
      <c r="FW7" s="934"/>
      <c r="GC7" s="932">
        <v>10</v>
      </c>
    </row>
    <row s="934" customFormat="1" customHeight="1" ht="11.25" hidden="1">
      <c r="B8" s="935"/>
      <c r="F8" s="1057"/>
      <c r="G8" s="764"/>
      <c r="H8" s="361"/>
      <c r="I8" s="361"/>
      <c r="J8" s="361"/>
      <c r="K8" s="361"/>
      <c r="L8" s="361"/>
      <c r="M8" s="1057"/>
      <c r="N8" s="1057"/>
      <c r="O8" s="2451" t="s">
        <v>1082</v>
      </c>
      <c r="P8" s="2452"/>
      <c r="Q8" s="2452"/>
      <c r="R8" s="2452"/>
      <c r="S8" s="2452"/>
      <c r="T8" s="2452"/>
      <c r="U8" s="2452"/>
      <c r="V8" s="2452"/>
      <c r="W8" s="2452"/>
      <c r="X8" s="2452"/>
      <c r="Y8" s="2452"/>
      <c r="Z8" s="2452"/>
      <c r="AA8" s="2452"/>
      <c r="AB8" s="2452"/>
      <c r="AC8" s="2452"/>
      <c r="AD8" s="2452"/>
      <c r="AE8" s="2452"/>
      <c r="AF8" s="2452"/>
      <c r="AG8" s="2452"/>
      <c r="AH8" s="2452"/>
      <c r="AI8" s="2452"/>
      <c r="AJ8" s="2452"/>
      <c r="AK8" s="2452"/>
      <c r="AL8" s="2452"/>
      <c r="AM8" s="2452"/>
      <c r="AN8" s="2452"/>
      <c r="AO8" s="2452"/>
      <c r="AP8" s="2452"/>
      <c r="AQ8" s="2452"/>
      <c r="AR8" s="2452"/>
      <c r="AS8" s="2452"/>
      <c r="AT8" s="2452"/>
      <c r="AU8" s="2452"/>
      <c r="AV8" s="2452"/>
      <c r="AW8" s="2452"/>
      <c r="AX8" s="2452"/>
      <c r="AY8" s="2452"/>
      <c r="AZ8" s="2452"/>
      <c r="BA8" s="2452"/>
      <c r="BB8" s="2452"/>
      <c r="BC8" s="2452"/>
      <c r="BD8" s="2452"/>
      <c r="BE8" s="2452"/>
      <c r="BF8" s="2452"/>
      <c r="BG8" s="2452"/>
      <c r="BH8" s="2452"/>
      <c r="BI8" s="2452"/>
      <c r="BJ8" s="2452"/>
      <c r="BK8" s="2452"/>
      <c r="BL8" s="2452"/>
      <c r="BM8" s="2452"/>
      <c r="BN8" s="2452"/>
      <c r="BO8" s="2452"/>
      <c r="BP8" s="2452"/>
      <c r="BQ8" s="2452"/>
      <c r="BR8" s="2452"/>
      <c r="BS8" s="2453"/>
      <c r="BT8" s="2440"/>
      <c r="BU8" s="2441"/>
      <c r="BV8" s="2441"/>
      <c r="BW8" s="2441"/>
      <c r="BX8" s="2441"/>
      <c r="BY8" s="2441"/>
      <c r="BZ8" s="2441"/>
      <c r="CA8" s="2441"/>
      <c r="CB8" s="2441"/>
      <c r="CC8" s="2441"/>
      <c r="CD8" s="2441"/>
      <c r="CE8" s="2441"/>
      <c r="CF8" s="2441"/>
      <c r="CG8" s="2441"/>
      <c r="CH8" s="2441"/>
      <c r="CI8" s="2441"/>
      <c r="CJ8" s="2441"/>
      <c r="CK8" s="2441"/>
      <c r="CL8" s="2441"/>
      <c r="CM8" s="2441"/>
      <c r="CN8" s="2441"/>
      <c r="CO8" s="2441"/>
      <c r="CP8" s="2441"/>
      <c r="CQ8" s="2441"/>
      <c r="CR8" s="2441"/>
      <c r="CS8" s="2441"/>
      <c r="CT8" s="2441"/>
      <c r="CU8" s="2441"/>
      <c r="CV8" s="2441"/>
      <c r="CW8" s="2441"/>
      <c r="CX8" s="2442"/>
      <c r="CY8" s="2443"/>
      <c r="CZ8" s="2444"/>
      <c r="DA8" s="2444"/>
      <c r="DB8" s="2444"/>
      <c r="DC8" s="2444"/>
      <c r="DD8" s="2444"/>
      <c r="DE8" s="2444"/>
      <c r="DF8" s="2444"/>
      <c r="DG8" s="2444"/>
      <c r="DH8" s="2444"/>
      <c r="DI8" s="2444"/>
      <c r="DJ8" s="2444"/>
      <c r="DK8" s="2444"/>
      <c r="DL8" s="2444"/>
      <c r="DM8" s="2444"/>
      <c r="DN8" s="2444"/>
      <c r="DO8" s="2444"/>
      <c r="DP8" s="2444"/>
      <c r="DQ8" s="2444"/>
      <c r="DR8" s="2444"/>
      <c r="DS8" s="2444"/>
      <c r="DT8" s="2444"/>
      <c r="DU8" s="2444"/>
      <c r="DV8" s="2444"/>
      <c r="DW8" s="2444"/>
      <c r="DX8" s="2445"/>
      <c r="DY8" s="2446" t="s">
        <v>1083</v>
      </c>
      <c r="DZ8" s="2447"/>
      <c r="EA8" s="2447"/>
      <c r="EB8" s="2447"/>
      <c r="EC8" s="2447"/>
      <c r="ED8" s="2447"/>
      <c r="EE8" s="2447"/>
      <c r="EF8" s="2447"/>
      <c r="EG8" s="2447"/>
      <c r="EH8" s="2447"/>
      <c r="EI8" s="2447"/>
      <c r="EJ8" s="2447"/>
      <c r="EK8" s="2447"/>
      <c r="EL8" s="2447"/>
      <c r="EM8" s="2447"/>
      <c r="EN8" s="2447"/>
      <c r="EO8" s="2447"/>
      <c r="EP8" s="2447"/>
      <c r="EQ8" s="2447"/>
      <c r="ER8" s="2447"/>
      <c r="ES8" s="2447"/>
      <c r="ET8" s="2447"/>
      <c r="EU8" s="2447"/>
      <c r="EV8" s="2447"/>
      <c r="EW8" s="2447"/>
      <c r="EX8" s="2447"/>
      <c r="EY8" s="2447"/>
      <c r="EZ8" s="2447"/>
      <c r="FA8" s="2447"/>
      <c r="FB8" s="2447"/>
      <c r="FC8" s="2447"/>
      <c r="FD8" s="2447"/>
      <c r="FE8" s="2447"/>
      <c r="FF8" s="2447"/>
      <c r="FG8" s="2447"/>
      <c r="FH8" s="2447"/>
      <c r="FI8" s="2447"/>
      <c r="FJ8" s="2447"/>
      <c r="FK8" s="2447"/>
      <c r="FL8" s="2447"/>
      <c r="FM8" s="2447"/>
      <c r="FN8" s="2447"/>
      <c r="FO8" s="2447"/>
      <c r="FP8" s="2447"/>
      <c r="FQ8" s="2447"/>
      <c r="FR8" s="2447"/>
      <c r="FS8" s="2447"/>
      <c r="FT8" s="2447"/>
      <c r="FU8" s="2447"/>
      <c r="FV8" s="2447"/>
      <c r="FW8" s="2448"/>
      <c r="FX8" s="1057"/>
      <c r="GC8" s="934">
        <v>0</v>
      </c>
    </row>
    <row s="934" customFormat="1" customHeight="1" ht="11.25" hidden="1">
      <c r="B9" s="935"/>
      <c r="F9" s="1057"/>
      <c r="G9" s="764"/>
      <c r="H9" s="361"/>
      <c r="I9" s="361"/>
      <c r="J9" s="361"/>
      <c r="K9" s="361"/>
      <c r="L9" s="361"/>
      <c r="M9" s="1057"/>
      <c r="N9" s="1057"/>
      <c r="O9" s="1057"/>
      <c r="P9" s="1057"/>
      <c r="Q9" s="1057"/>
      <c r="R9" s="1057"/>
      <c r="S9" s="1057"/>
      <c r="T9" s="1057"/>
      <c r="U9" s="1057"/>
      <c r="V9" s="1057"/>
      <c r="W9" s="1057"/>
      <c r="X9" s="1057"/>
      <c r="Y9" s="1057"/>
      <c r="Z9" s="1057"/>
      <c r="AA9" s="1057"/>
      <c r="AB9" s="1057"/>
      <c r="AC9" s="1057"/>
      <c r="AD9" s="1057"/>
      <c r="AE9" s="1057"/>
      <c r="AF9" s="1057"/>
      <c r="AG9" s="1057"/>
      <c r="AH9" s="1057"/>
      <c r="AI9" s="1057"/>
      <c r="AJ9" s="1057"/>
      <c r="AK9" s="1057"/>
      <c r="AL9" s="1057"/>
      <c r="AM9" s="1057"/>
      <c r="AN9" s="1057"/>
      <c r="AO9" s="1057"/>
      <c r="AP9" s="1057"/>
      <c r="AQ9" s="1057"/>
      <c r="AR9" s="1057"/>
      <c r="AS9" s="1057"/>
      <c r="AT9" s="1057"/>
      <c r="AU9" s="1057"/>
      <c r="AV9" s="1057"/>
      <c r="AW9" s="1057"/>
      <c r="AX9" s="1057"/>
      <c r="AY9" s="1057"/>
      <c r="AZ9" s="1057"/>
      <c r="BA9" s="1057"/>
      <c r="BB9" s="1057"/>
      <c r="BC9" s="1057"/>
      <c r="BD9" s="1057"/>
      <c r="BE9" s="1057"/>
      <c r="BF9" s="1057"/>
      <c r="BG9" s="1057"/>
      <c r="BH9" s="1057"/>
      <c r="BI9" s="1057"/>
      <c r="BJ9" s="1057"/>
      <c r="BK9" s="1057"/>
      <c r="BL9" s="1057"/>
      <c r="BM9" s="1057"/>
      <c r="BN9" s="1057"/>
      <c r="BO9" s="1057"/>
      <c r="BP9" s="1057"/>
      <c r="BQ9" s="1057"/>
      <c r="BR9" s="1057"/>
      <c r="BS9" s="1057"/>
      <c r="BT9" s="1057"/>
      <c r="BU9" s="1057"/>
      <c r="BV9" s="1057"/>
      <c r="BW9" s="1057"/>
      <c r="BX9" s="1057"/>
      <c r="BY9" s="1057"/>
      <c r="BZ9" s="1057"/>
      <c r="CA9" s="1057"/>
      <c r="CB9" s="1057"/>
      <c r="CC9" s="1057"/>
      <c r="CD9" s="1057"/>
      <c r="CE9" s="1057"/>
      <c r="CF9" s="1057"/>
      <c r="CG9" s="1057"/>
      <c r="CH9" s="1057"/>
      <c r="CI9" s="1057"/>
      <c r="CJ9" s="1057"/>
      <c r="CK9" s="1057"/>
      <c r="CL9" s="1057"/>
      <c r="CM9" s="1057"/>
      <c r="CN9" s="1057"/>
      <c r="CO9" s="1057"/>
      <c r="CP9" s="1057"/>
      <c r="CQ9" s="1057"/>
      <c r="CR9" s="1057"/>
      <c r="CS9" s="1057"/>
      <c r="CT9" s="1057"/>
      <c r="CU9" s="1057"/>
      <c r="CV9" s="1057"/>
      <c r="CW9" s="1057"/>
      <c r="CX9" s="1057"/>
      <c r="CY9" s="1057"/>
      <c r="CZ9" s="1057"/>
      <c r="DA9" s="1057"/>
      <c r="DB9" s="1057"/>
      <c r="DC9" s="1057"/>
      <c r="DD9" s="1057"/>
      <c r="DE9" s="1057"/>
      <c r="DF9" s="1057"/>
      <c r="DG9" s="1057"/>
      <c r="DH9" s="1057"/>
      <c r="DI9" s="1057"/>
      <c r="DJ9" s="1057"/>
      <c r="DK9" s="1057"/>
      <c r="DL9" s="1057"/>
      <c r="DM9" s="1057"/>
      <c r="DN9" s="1057"/>
      <c r="DO9" s="1057"/>
      <c r="DP9" s="1057"/>
      <c r="DQ9" s="1057"/>
      <c r="DR9" s="1057"/>
      <c r="DS9" s="1057"/>
      <c r="DT9" s="1057"/>
      <c r="DU9" s="1057"/>
      <c r="DV9" s="1057"/>
      <c r="DW9" s="1057"/>
      <c r="DX9" s="1057"/>
      <c r="DY9" s="1057"/>
      <c r="DZ9" s="1057"/>
      <c r="EA9" s="1057"/>
      <c r="EB9" s="1057"/>
      <c r="EC9" s="1057"/>
      <c r="ED9" s="1057"/>
      <c r="EE9" s="1057"/>
      <c r="EF9" s="1057"/>
      <c r="EG9" s="1057"/>
      <c r="EH9" s="1057"/>
      <c r="EI9" s="1057"/>
      <c r="EJ9" s="1057"/>
      <c r="EK9" s="1057"/>
      <c r="EL9" s="1057"/>
      <c r="EM9" s="1057"/>
      <c r="EN9" s="1057"/>
      <c r="EO9" s="1057"/>
      <c r="EP9" s="1057"/>
      <c r="EQ9" s="1057"/>
      <c r="ER9" s="1057"/>
      <c r="ES9" s="1057"/>
      <c r="ET9" s="1057"/>
      <c r="EU9" s="1057"/>
      <c r="EV9" s="1057"/>
      <c r="EW9" s="1057"/>
      <c r="EX9" s="1057"/>
      <c r="EY9" s="1057"/>
      <c r="EZ9" s="1057"/>
      <c r="FA9" s="1057"/>
      <c r="FB9" s="1057"/>
      <c r="FC9" s="1057"/>
      <c r="FD9" s="1057"/>
      <c r="FE9" s="1057"/>
      <c r="FF9" s="1057"/>
      <c r="FG9" s="1057"/>
      <c r="FH9" s="1057"/>
      <c r="FI9" s="1057"/>
      <c r="FJ9" s="1057"/>
      <c r="FK9" s="1057"/>
      <c r="FL9" s="1057"/>
      <c r="FM9" s="1057"/>
      <c r="FN9" s="1057"/>
      <c r="FO9" s="1057"/>
      <c r="FP9" s="1057"/>
      <c r="FQ9" s="1057"/>
      <c r="FR9" s="1057"/>
      <c r="FS9" s="1057"/>
      <c r="FT9" s="1057"/>
      <c r="FU9" s="1057"/>
      <c r="FV9" s="1057"/>
      <c r="FW9" s="2449"/>
      <c r="FX9" s="1057"/>
      <c r="GC9" s="934">
        <v>0</v>
      </c>
    </row>
    <row s="934" customFormat="1" customHeight="1" ht="11.549999999999999">
      <c r="B10" s="935"/>
      <c r="F10" s="2430" t="s">
        <v>312</v>
      </c>
      <c r="G10" s="2431"/>
      <c r="H10" s="2431"/>
      <c r="I10" s="2431"/>
      <c r="J10" s="2431"/>
      <c r="K10" s="2431"/>
      <c r="L10" s="2431"/>
      <c r="M10" s="2431"/>
      <c r="N10" s="2431"/>
      <c r="O10" s="2431"/>
      <c r="P10" s="2431"/>
      <c r="Q10" s="2431"/>
      <c r="R10" s="2431"/>
      <c r="S10" s="2431"/>
      <c r="T10" s="2431"/>
      <c r="U10" s="2431"/>
      <c r="V10" s="2431"/>
      <c r="W10" s="2431"/>
      <c r="X10" s="2431"/>
      <c r="Y10" s="2431"/>
      <c r="Z10" s="2431"/>
      <c r="AA10" s="2431"/>
      <c r="AB10" s="2431"/>
      <c r="AC10" s="2431"/>
      <c r="AD10" s="2431"/>
      <c r="AE10" s="2431"/>
      <c r="AF10" s="2431"/>
      <c r="AG10" s="2431"/>
      <c r="AH10" s="2431"/>
      <c r="AI10" s="2431"/>
      <c r="AJ10" s="2431"/>
      <c r="AK10" s="2431"/>
      <c r="AL10" s="2431"/>
      <c r="AM10" s="2431"/>
      <c r="AN10" s="2431"/>
      <c r="AO10" s="2431"/>
      <c r="AP10" s="2431"/>
      <c r="AQ10" s="2431"/>
      <c r="AR10" s="2431"/>
      <c r="AS10" s="2431"/>
      <c r="AT10" s="2431"/>
      <c r="AU10" s="2431"/>
      <c r="AV10" s="2431"/>
      <c r="AW10" s="2431"/>
      <c r="AX10" s="2431"/>
      <c r="AY10" s="2431"/>
      <c r="AZ10" s="2431"/>
      <c r="BA10" s="2431"/>
      <c r="BB10" s="2431"/>
      <c r="BC10" s="2431"/>
      <c r="BD10" s="2431"/>
      <c r="BE10" s="2431"/>
      <c r="BF10" s="2431"/>
      <c r="BG10" s="2431"/>
      <c r="BH10" s="2431"/>
      <c r="BI10" s="2431"/>
      <c r="BJ10" s="2431"/>
      <c r="BK10" s="2431"/>
      <c r="BL10" s="2431"/>
      <c r="BM10" s="2431"/>
      <c r="BN10" s="2431"/>
      <c r="BO10" s="2431"/>
      <c r="BP10" s="2431"/>
      <c r="BQ10" s="2431"/>
      <c r="BR10" s="2431"/>
      <c r="BS10" s="2431"/>
      <c r="BT10" s="2431"/>
      <c r="BU10" s="2431"/>
      <c r="BV10" s="2431"/>
      <c r="BW10" s="2431"/>
      <c r="BX10" s="2431"/>
      <c r="BY10" s="2431"/>
      <c r="BZ10" s="2431"/>
      <c r="CA10" s="2431"/>
      <c r="CB10" s="2431"/>
      <c r="CC10" s="2431"/>
      <c r="CD10" s="2431"/>
      <c r="CE10" s="2431"/>
      <c r="CF10" s="2431"/>
      <c r="CG10" s="2431"/>
      <c r="CH10" s="2431"/>
      <c r="CI10" s="2431"/>
      <c r="CJ10" s="2431"/>
      <c r="CK10" s="2431"/>
      <c r="CL10" s="2431"/>
      <c r="CM10" s="2431"/>
      <c r="CN10" s="2431"/>
      <c r="CO10" s="2431"/>
      <c r="CP10" s="2431"/>
      <c r="CQ10" s="2431"/>
      <c r="CR10" s="2431"/>
      <c r="CS10" s="2431"/>
      <c r="CT10" s="2431"/>
      <c r="CU10" s="2431"/>
      <c r="CV10" s="2431"/>
      <c r="CW10" s="2431"/>
      <c r="CX10" s="2431"/>
      <c r="CY10" s="2431"/>
      <c r="CZ10" s="2431"/>
      <c r="DA10" s="2431"/>
      <c r="DB10" s="2431"/>
      <c r="DC10" s="2431"/>
      <c r="DD10" s="2431"/>
      <c r="DE10" s="2431"/>
      <c r="DF10" s="2431"/>
      <c r="DG10" s="2431"/>
      <c r="DH10" s="2431"/>
      <c r="DI10" s="2431"/>
      <c r="DJ10" s="2431"/>
      <c r="DK10" s="2431"/>
      <c r="DL10" s="2431"/>
      <c r="DM10" s="2431"/>
      <c r="DN10" s="2431"/>
      <c r="DO10" s="2431"/>
      <c r="DP10" s="2431"/>
      <c r="DQ10" s="2431"/>
      <c r="DR10" s="2431"/>
      <c r="DS10" s="2431"/>
      <c r="DT10" s="2431"/>
      <c r="DU10" s="2431"/>
      <c r="DV10" s="2431"/>
      <c r="DW10" s="2431"/>
      <c r="DX10" s="2431"/>
      <c r="DY10" s="2431"/>
      <c r="DZ10" s="2431"/>
      <c r="EA10" s="2431"/>
      <c r="EB10" s="2431"/>
      <c r="EC10" s="2431"/>
      <c r="ED10" s="2431"/>
      <c r="EE10" s="2431"/>
      <c r="EF10" s="2431"/>
      <c r="EG10" s="2431"/>
      <c r="EH10" s="2431"/>
      <c r="EI10" s="2431"/>
      <c r="EJ10" s="2431"/>
      <c r="EK10" s="2431"/>
      <c r="EL10" s="2431"/>
      <c r="EM10" s="2431"/>
      <c r="EN10" s="2431"/>
      <c r="EO10" s="2431"/>
      <c r="EP10" s="2431"/>
      <c r="EQ10" s="2431"/>
      <c r="ER10" s="2431"/>
      <c r="ES10" s="2431"/>
      <c r="ET10" s="2431"/>
      <c r="EU10" s="2431"/>
      <c r="EV10" s="2431"/>
      <c r="EW10" s="2431"/>
      <c r="EX10" s="2431"/>
      <c r="EY10" s="2431"/>
      <c r="EZ10" s="2431"/>
      <c r="FA10" s="2431"/>
      <c r="FB10" s="2431"/>
      <c r="FC10" s="2431"/>
      <c r="FD10" s="2431"/>
      <c r="FE10" s="2431"/>
      <c r="FF10" s="2431"/>
      <c r="FG10" s="2431"/>
      <c r="FH10" s="2431"/>
      <c r="FI10" s="2431"/>
      <c r="FJ10" s="2431"/>
      <c r="FK10" s="2431"/>
      <c r="FL10" s="2431"/>
      <c r="FM10" s="2431"/>
      <c r="FN10" s="2431"/>
      <c r="FO10" s="2431"/>
      <c r="FP10" s="2431"/>
      <c r="FQ10" s="2431"/>
      <c r="FR10" s="2431"/>
      <c r="FS10" s="2431"/>
      <c r="FT10" s="2431"/>
      <c r="FU10" s="2431"/>
      <c r="FV10" s="2432"/>
      <c r="FW10" s="2449"/>
      <c r="FX10" s="1057"/>
      <c r="GC10" s="934">
        <v>11</v>
      </c>
    </row>
    <row customHeight="1" ht="12.75">
      <c r="E11" s="938"/>
      <c r="F11" s="2206" t="s">
        <v>90</v>
      </c>
      <c r="G11" s="2206" t="s">
        <v>1084</v>
      </c>
      <c r="H11" s="2438" t="s">
        <v>1085</v>
      </c>
      <c r="I11" s="2438" t="s">
        <v>1086</v>
      </c>
      <c r="J11" s="2439"/>
      <c r="K11" s="2439"/>
      <c r="L11" s="2439"/>
      <c r="M11" s="2439"/>
      <c r="N11" s="2439"/>
      <c r="O11" s="2210" t="s">
        <v>1087</v>
      </c>
      <c r="P11" s="2210"/>
      <c r="Q11" s="2210"/>
      <c r="R11" s="2210"/>
      <c r="S11" s="2210"/>
      <c r="T11" s="2210"/>
      <c r="U11" s="2210"/>
      <c r="V11" s="2210"/>
      <c r="W11" s="2210"/>
      <c r="X11" s="2210"/>
      <c r="Y11" s="2210"/>
      <c r="Z11" s="2210"/>
      <c r="AA11" s="2210"/>
      <c r="AB11" s="2210"/>
      <c r="AC11" s="2435"/>
      <c r="AD11" s="2435"/>
      <c r="AE11" s="2435"/>
      <c r="AF11" s="2435"/>
      <c r="AG11" s="2435"/>
      <c r="AH11" s="2435"/>
      <c r="AI11" s="2435"/>
      <c r="AJ11" s="2435"/>
      <c r="AK11" s="2435"/>
      <c r="AL11" s="2435"/>
      <c r="AM11" s="2435"/>
      <c r="AN11" s="2435"/>
      <c r="AO11" s="2435"/>
      <c r="AP11" s="2435"/>
      <c r="AQ11" s="2435"/>
      <c r="AR11" s="2435"/>
      <c r="AS11" s="2435"/>
      <c r="AT11" s="2435"/>
      <c r="AU11" s="2435"/>
      <c r="AV11" s="2435"/>
      <c r="AW11" s="2435"/>
      <c r="AX11" s="2435"/>
      <c r="AY11" s="2435"/>
      <c r="AZ11" s="2435"/>
      <c r="BA11" s="2435"/>
      <c r="BB11" s="2435"/>
      <c r="BC11" s="2435"/>
      <c r="BD11" s="2435"/>
      <c r="BE11" s="2435"/>
      <c r="BF11" s="2435"/>
      <c r="BG11" s="2435"/>
      <c r="BH11" s="2435"/>
      <c r="BI11" s="2435"/>
      <c r="BJ11" s="2435"/>
      <c r="BK11" s="2435"/>
      <c r="BL11" s="2435"/>
      <c r="BM11" s="2435"/>
      <c r="BN11" s="2435"/>
      <c r="BO11" s="2435"/>
      <c r="BP11" s="2435"/>
      <c r="BQ11" s="2435"/>
      <c r="BR11" s="2435"/>
      <c r="BS11" s="2454"/>
      <c r="BT11" s="2387" t="s">
        <v>1087</v>
      </c>
      <c r="BU11" s="2388"/>
      <c r="BV11" s="2388"/>
      <c r="BW11" s="2388"/>
      <c r="BX11" s="2388"/>
      <c r="BY11" s="2388"/>
      <c r="BZ11" s="2388"/>
      <c r="CA11" s="2388"/>
      <c r="CB11" s="2388"/>
      <c r="CC11" s="2388"/>
      <c r="CD11" s="2388"/>
      <c r="CE11" s="2388"/>
      <c r="CF11" s="2388"/>
      <c r="CG11" s="2388"/>
      <c r="CH11" s="2388"/>
      <c r="CI11" s="2388"/>
      <c r="CJ11" s="2388"/>
      <c r="CK11" s="2434"/>
      <c r="CL11" s="2437"/>
      <c r="CM11" s="2435"/>
      <c r="CN11" s="2435"/>
      <c r="CO11" s="2435"/>
      <c r="CP11" s="2435"/>
      <c r="CQ11" s="2435"/>
      <c r="CR11" s="2435"/>
      <c r="CS11" s="2435"/>
      <c r="CT11" s="2435"/>
      <c r="CU11" s="2435"/>
      <c r="CV11" s="2435"/>
      <c r="CW11" s="2435"/>
      <c r="CX11" s="2454"/>
      <c r="CY11" s="2387" t="s">
        <v>1087</v>
      </c>
      <c r="CZ11" s="2388"/>
      <c r="DA11" s="2388"/>
      <c r="DB11" s="2388"/>
      <c r="DC11" s="2388"/>
      <c r="DD11" s="2388"/>
      <c r="DE11" s="2388"/>
      <c r="DF11" s="2388"/>
      <c r="DG11" s="2388"/>
      <c r="DH11" s="2388"/>
      <c r="DI11" s="2388"/>
      <c r="DJ11" s="2434"/>
      <c r="DK11" s="2437"/>
      <c r="DL11" s="2435"/>
      <c r="DM11" s="2435"/>
      <c r="DN11" s="2435"/>
      <c r="DO11" s="2435"/>
      <c r="DP11" s="2435"/>
      <c r="DQ11" s="2435"/>
      <c r="DR11" s="2435"/>
      <c r="DS11" s="2435"/>
      <c r="DT11" s="2435"/>
      <c r="DU11" s="2435"/>
      <c r="DV11" s="2435"/>
      <c r="DW11" s="2435"/>
      <c r="DX11" s="2435"/>
      <c r="DY11" s="2435"/>
      <c r="DZ11" s="2435"/>
      <c r="EA11" s="2435"/>
      <c r="EB11" s="2435"/>
      <c r="EC11" s="2435"/>
      <c r="ED11" s="2435"/>
      <c r="EE11" s="2435"/>
      <c r="EF11" s="2435"/>
      <c r="EG11" s="2435"/>
      <c r="EH11" s="2435"/>
      <c r="EI11" s="2435"/>
      <c r="EJ11" s="2435"/>
      <c r="EK11" s="2435"/>
      <c r="EL11" s="2435"/>
      <c r="EM11" s="2435"/>
      <c r="EN11" s="2435"/>
      <c r="EO11" s="2435"/>
      <c r="EP11" s="2435"/>
      <c r="EQ11" s="2435"/>
      <c r="ER11" s="2435"/>
      <c r="ES11" s="2435"/>
      <c r="ET11" s="2435"/>
      <c r="EU11" s="2435"/>
      <c r="EV11" s="2435"/>
      <c r="EW11" s="2435"/>
      <c r="EX11" s="2435"/>
      <c r="EY11" s="2435"/>
      <c r="EZ11" s="2435"/>
      <c r="FA11" s="2435"/>
      <c r="FB11" s="2435"/>
      <c r="FC11" s="2435"/>
      <c r="FD11" s="2435"/>
      <c r="FE11" s="2435"/>
      <c r="FF11" s="2435"/>
      <c r="FG11" s="2435"/>
      <c r="FH11" s="2435"/>
      <c r="FI11" s="2435"/>
      <c r="FJ11" s="2435"/>
      <c r="FK11" s="2435"/>
      <c r="FL11" s="2435"/>
      <c r="FM11" s="2435"/>
      <c r="FN11" s="2435"/>
      <c r="FO11" s="2435"/>
      <c r="FP11" s="2435"/>
      <c r="FQ11" s="2435"/>
      <c r="FR11" s="2435"/>
      <c r="FS11" s="2435"/>
      <c r="FT11" s="2435"/>
      <c r="FU11" s="2435"/>
      <c r="FV11" s="2435"/>
      <c r="FW11" s="2449"/>
      <c r="FX11" s="763"/>
      <c r="GC11" s="927">
        <v>12</v>
      </c>
    </row>
    <row customHeight="1" ht="12.75">
      <c r="D12" s="939"/>
      <c r="E12" s="938"/>
      <c r="F12" s="2206"/>
      <c r="G12" s="2206"/>
      <c r="H12" s="2438"/>
      <c r="I12" s="2438"/>
      <c r="J12" s="2439"/>
      <c r="K12" s="2439"/>
      <c r="L12" s="2439"/>
      <c r="M12" s="2439"/>
      <c r="N12" s="2439"/>
      <c r="O12" s="2210" t="s">
        <v>1088</v>
      </c>
      <c r="P12" s="2210"/>
      <c r="Q12" s="2210"/>
      <c r="R12" s="2210"/>
      <c r="S12" s="2210" t="s">
        <v>1089</v>
      </c>
      <c r="T12" s="2210"/>
      <c r="U12" s="2210"/>
      <c r="V12" s="2210"/>
      <c r="W12" s="2210"/>
      <c r="X12" s="2210"/>
      <c r="Y12" s="2210"/>
      <c r="Z12" s="2210"/>
      <c r="AA12" s="2210"/>
      <c r="AB12" s="2210"/>
      <c r="AC12" s="2435"/>
      <c r="AD12" s="2435"/>
      <c r="AE12" s="2435"/>
      <c r="AF12" s="2435"/>
      <c r="AG12" s="2435"/>
      <c r="AH12" s="2435"/>
      <c r="AI12" s="2435"/>
      <c r="AJ12" s="2435"/>
      <c r="AK12" s="2435"/>
      <c r="AL12" s="2435"/>
      <c r="AM12" s="2435"/>
      <c r="AN12" s="2435"/>
      <c r="AO12" s="2435"/>
      <c r="AP12" s="2435"/>
      <c r="AQ12" s="2435"/>
      <c r="AR12" s="2435"/>
      <c r="AS12" s="2435"/>
      <c r="AT12" s="2435"/>
      <c r="AU12" s="2435"/>
      <c r="AV12" s="2435"/>
      <c r="AW12" s="2435"/>
      <c r="AX12" s="2435"/>
      <c r="AY12" s="2435"/>
      <c r="AZ12" s="2435"/>
      <c r="BA12" s="2435"/>
      <c r="BB12" s="2435"/>
      <c r="BC12" s="2435"/>
      <c r="BD12" s="2435"/>
      <c r="BE12" s="2435"/>
      <c r="BF12" s="2435"/>
      <c r="BG12" s="2435"/>
      <c r="BH12" s="2435"/>
      <c r="BI12" s="2435"/>
      <c r="BJ12" s="2435"/>
      <c r="BK12" s="2435"/>
      <c r="BL12" s="2435"/>
      <c r="BM12" s="2435"/>
      <c r="BN12" s="2435"/>
      <c r="BO12" s="2435"/>
      <c r="BP12" s="2435"/>
      <c r="BQ12" s="2435"/>
      <c r="BR12" s="2435"/>
      <c r="BS12" s="2454"/>
      <c r="BT12" s="2387" t="s">
        <v>1090</v>
      </c>
      <c r="BU12" s="2388"/>
      <c r="BV12" s="2388"/>
      <c r="BW12" s="2434"/>
      <c r="BX12" s="2387" t="s">
        <v>1091</v>
      </c>
      <c r="BY12" s="2388"/>
      <c r="BZ12" s="2388"/>
      <c r="CA12" s="2434"/>
      <c r="CB12" s="2387" t="s">
        <v>1092</v>
      </c>
      <c r="CC12" s="2434"/>
      <c r="CD12" s="2387" t="s">
        <v>1093</v>
      </c>
      <c r="CE12" s="2388"/>
      <c r="CF12" s="2388"/>
      <c r="CG12" s="2388"/>
      <c r="CH12" s="2388"/>
      <c r="CI12" s="2388"/>
      <c r="CJ12" s="2388"/>
      <c r="CK12" s="2434"/>
      <c r="CL12" s="2437"/>
      <c r="CM12" s="2435"/>
      <c r="CN12" s="2435"/>
      <c r="CO12" s="2435"/>
      <c r="CP12" s="2435"/>
      <c r="CQ12" s="2435"/>
      <c r="CR12" s="2435"/>
      <c r="CS12" s="2435"/>
      <c r="CT12" s="2435"/>
      <c r="CU12" s="2435"/>
      <c r="CV12" s="2435"/>
      <c r="CW12" s="2435"/>
      <c r="CX12" s="2454"/>
      <c r="CY12" s="2387" t="s">
        <v>1094</v>
      </c>
      <c r="CZ12" s="2388"/>
      <c r="DA12" s="2388"/>
      <c r="DB12" s="2388"/>
      <c r="DC12" s="2388"/>
      <c r="DD12" s="2434"/>
      <c r="DE12" s="2387" t="s">
        <v>1095</v>
      </c>
      <c r="DF12" s="2434"/>
      <c r="DG12" s="2387" t="s">
        <v>1093</v>
      </c>
      <c r="DH12" s="2388"/>
      <c r="DI12" s="2388"/>
      <c r="DJ12" s="2434"/>
      <c r="DK12" s="2437"/>
      <c r="DL12" s="2435"/>
      <c r="DM12" s="2435"/>
      <c r="DN12" s="2435"/>
      <c r="DO12" s="2435"/>
      <c r="DP12" s="2435"/>
      <c r="DQ12" s="2435"/>
      <c r="DR12" s="2435"/>
      <c r="DS12" s="2435"/>
      <c r="DT12" s="2435"/>
      <c r="DU12" s="2435"/>
      <c r="DV12" s="2435"/>
      <c r="DW12" s="2435"/>
      <c r="DX12" s="2435"/>
      <c r="DY12" s="2435"/>
      <c r="DZ12" s="2435"/>
      <c r="EA12" s="2435"/>
      <c r="EB12" s="2435"/>
      <c r="EC12" s="2435"/>
      <c r="ED12" s="2435"/>
      <c r="EE12" s="2435"/>
      <c r="EF12" s="2435"/>
      <c r="EG12" s="2435"/>
      <c r="EH12" s="2435"/>
      <c r="EI12" s="2435"/>
      <c r="EJ12" s="2435"/>
      <c r="EK12" s="2435"/>
      <c r="EL12" s="2435"/>
      <c r="EM12" s="2435"/>
      <c r="EN12" s="2435"/>
      <c r="EO12" s="2435"/>
      <c r="EP12" s="2435"/>
      <c r="EQ12" s="2435"/>
      <c r="ER12" s="2435"/>
      <c r="ES12" s="2435"/>
      <c r="ET12" s="2435"/>
      <c r="EU12" s="2435"/>
      <c r="EV12" s="2435"/>
      <c r="EW12" s="2435"/>
      <c r="EX12" s="2435"/>
      <c r="EY12" s="2435"/>
      <c r="EZ12" s="2435"/>
      <c r="FA12" s="2435"/>
      <c r="FB12" s="2435"/>
      <c r="FC12" s="2435"/>
      <c r="FD12" s="2435"/>
      <c r="FE12" s="2435"/>
      <c r="FF12" s="2435"/>
      <c r="FG12" s="2435"/>
      <c r="FH12" s="2435"/>
      <c r="FI12" s="2435"/>
      <c r="FJ12" s="2435"/>
      <c r="FK12" s="2435"/>
      <c r="FL12" s="2435"/>
      <c r="FM12" s="2435"/>
      <c r="FN12" s="2435"/>
      <c r="FO12" s="2435"/>
      <c r="FP12" s="2435"/>
      <c r="FQ12" s="2435"/>
      <c r="FR12" s="2435"/>
      <c r="FS12" s="2435"/>
      <c r="FT12" s="2435"/>
      <c r="FU12" s="2435"/>
      <c r="FV12" s="2435"/>
      <c r="FW12" s="2449"/>
      <c r="FX12" s="763"/>
      <c r="GC12" s="927">
        <v>12</v>
      </c>
    </row>
    <row customHeight="1" ht="37.8">
      <c r="D13" s="939"/>
      <c r="E13" s="938"/>
      <c r="F13" s="2206"/>
      <c r="G13" s="2206"/>
      <c r="H13" s="2438"/>
      <c r="I13" s="2438"/>
      <c r="J13" s="2439"/>
      <c r="K13" s="2439"/>
      <c r="L13" s="2439"/>
      <c r="M13" s="2439"/>
      <c r="N13" s="2439"/>
      <c r="O13" s="2210" t="s">
        <v>1096</v>
      </c>
      <c r="P13" s="2210"/>
      <c r="Q13" s="2210"/>
      <c r="R13" s="2210"/>
      <c r="S13" s="2337" t="s">
        <v>1097</v>
      </c>
      <c r="T13" s="2389"/>
      <c r="U13" s="2128" t="s">
        <v>1098</v>
      </c>
      <c r="V13" s="2128"/>
      <c r="W13" s="2128"/>
      <c r="X13" s="2128"/>
      <c r="Y13" s="2128" t="s">
        <v>1099</v>
      </c>
      <c r="Z13" s="2128"/>
      <c r="AA13" s="2128"/>
      <c r="AB13" s="2128"/>
      <c r="AC13" s="2435"/>
      <c r="AD13" s="2435"/>
      <c r="AE13" s="2435"/>
      <c r="AF13" s="2435"/>
      <c r="AG13" s="2435"/>
      <c r="AH13" s="2435"/>
      <c r="AI13" s="2435"/>
      <c r="AJ13" s="2435"/>
      <c r="AK13" s="2435"/>
      <c r="AL13" s="2435"/>
      <c r="AM13" s="2435"/>
      <c r="AN13" s="2435"/>
      <c r="AO13" s="2435"/>
      <c r="AP13" s="2435"/>
      <c r="AQ13" s="2435"/>
      <c r="AR13" s="2435"/>
      <c r="AS13" s="2435"/>
      <c r="AT13" s="2435"/>
      <c r="AU13" s="2435"/>
      <c r="AV13" s="2435"/>
      <c r="AW13" s="2435"/>
      <c r="AX13" s="2435"/>
      <c r="AY13" s="2435"/>
      <c r="AZ13" s="2435"/>
      <c r="BA13" s="2435"/>
      <c r="BB13" s="2435"/>
      <c r="BC13" s="2435"/>
      <c r="BD13" s="2435"/>
      <c r="BE13" s="2435"/>
      <c r="BF13" s="2435"/>
      <c r="BG13" s="2435"/>
      <c r="BH13" s="2435"/>
      <c r="BI13" s="2435"/>
      <c r="BJ13" s="2435"/>
      <c r="BK13" s="2435"/>
      <c r="BL13" s="2435"/>
      <c r="BM13" s="2435"/>
      <c r="BN13" s="2435"/>
      <c r="BO13" s="2435"/>
      <c r="BP13" s="2435"/>
      <c r="BQ13" s="2435"/>
      <c r="BR13" s="2435"/>
      <c r="BS13" s="2454"/>
      <c r="BT13" s="2337" t="s">
        <v>1100</v>
      </c>
      <c r="BU13" s="2389"/>
      <c r="BV13" s="2337" t="s">
        <v>1101</v>
      </c>
      <c r="BW13" s="2389"/>
      <c r="BX13" s="2337" t="s">
        <v>1102</v>
      </c>
      <c r="BY13" s="2389"/>
      <c r="BZ13" s="2337" t="s">
        <v>1103</v>
      </c>
      <c r="CA13" s="2389"/>
      <c r="CB13" s="2337" t="s">
        <v>1104</v>
      </c>
      <c r="CC13" s="2389"/>
      <c r="CD13" s="2337" t="s">
        <v>1105</v>
      </c>
      <c r="CE13" s="2389"/>
      <c r="CF13" s="2337" t="s">
        <v>1106</v>
      </c>
      <c r="CG13" s="2389"/>
      <c r="CH13" s="2387" t="s">
        <v>1107</v>
      </c>
      <c r="CI13" s="2388"/>
      <c r="CJ13" s="2388"/>
      <c r="CK13" s="2434"/>
      <c r="CL13" s="2437"/>
      <c r="CM13" s="2435"/>
      <c r="CN13" s="2435"/>
      <c r="CO13" s="2435"/>
      <c r="CP13" s="2435"/>
      <c r="CQ13" s="2435"/>
      <c r="CR13" s="2435"/>
      <c r="CS13" s="2435"/>
      <c r="CT13" s="2435"/>
      <c r="CU13" s="2435"/>
      <c r="CV13" s="2435"/>
      <c r="CW13" s="2435"/>
      <c r="CX13" s="2454"/>
      <c r="CY13" s="2337" t="s">
        <v>1108</v>
      </c>
      <c r="CZ13" s="2389"/>
      <c r="DA13" s="2337" t="s">
        <v>1109</v>
      </c>
      <c r="DB13" s="2389"/>
      <c r="DC13" s="2337" t="s">
        <v>1110</v>
      </c>
      <c r="DD13" s="2389"/>
      <c r="DE13" s="2337" t="s">
        <v>1111</v>
      </c>
      <c r="DF13" s="2389"/>
      <c r="DG13" s="2387" t="s">
        <v>1112</v>
      </c>
      <c r="DH13" s="2388"/>
      <c r="DI13" s="2388"/>
      <c r="DJ13" s="2434"/>
      <c r="DK13" s="2437"/>
      <c r="DL13" s="2435"/>
      <c r="DM13" s="2435"/>
      <c r="DN13" s="2435"/>
      <c r="DO13" s="2435"/>
      <c r="DP13" s="2435"/>
      <c r="DQ13" s="2435"/>
      <c r="DR13" s="2435"/>
      <c r="DS13" s="2435"/>
      <c r="DT13" s="2435"/>
      <c r="DU13" s="2435"/>
      <c r="DV13" s="2435"/>
      <c r="DW13" s="2435"/>
      <c r="DX13" s="2435"/>
      <c r="DY13" s="2435"/>
      <c r="DZ13" s="2435"/>
      <c r="EA13" s="2435"/>
      <c r="EB13" s="2435"/>
      <c r="EC13" s="2435"/>
      <c r="ED13" s="2435"/>
      <c r="EE13" s="2435"/>
      <c r="EF13" s="2435"/>
      <c r="EG13" s="2435"/>
      <c r="EH13" s="2435"/>
      <c r="EI13" s="2435"/>
      <c r="EJ13" s="2435"/>
      <c r="EK13" s="2435"/>
      <c r="EL13" s="2435"/>
      <c r="EM13" s="2435"/>
      <c r="EN13" s="2435"/>
      <c r="EO13" s="2435"/>
      <c r="EP13" s="2435"/>
      <c r="EQ13" s="2435"/>
      <c r="ER13" s="2435"/>
      <c r="ES13" s="2435"/>
      <c r="ET13" s="2435"/>
      <c r="EU13" s="2435"/>
      <c r="EV13" s="2435"/>
      <c r="EW13" s="2435"/>
      <c r="EX13" s="2435"/>
      <c r="EY13" s="2435"/>
      <c r="EZ13" s="2435"/>
      <c r="FA13" s="2435"/>
      <c r="FB13" s="2435"/>
      <c r="FC13" s="2435"/>
      <c r="FD13" s="2435"/>
      <c r="FE13" s="2435"/>
      <c r="FF13" s="2435"/>
      <c r="FG13" s="2435"/>
      <c r="FH13" s="2435"/>
      <c r="FI13" s="2435"/>
      <c r="FJ13" s="2435"/>
      <c r="FK13" s="2435"/>
      <c r="FL13" s="2435"/>
      <c r="FM13" s="2435"/>
      <c r="FN13" s="2435"/>
      <c r="FO13" s="2435"/>
      <c r="FP13" s="2435"/>
      <c r="FQ13" s="2435"/>
      <c r="FR13" s="2435"/>
      <c r="FS13" s="2435"/>
      <c r="FT13" s="2435"/>
      <c r="FU13" s="2435"/>
      <c r="FV13" s="2435"/>
      <c r="FW13" s="2449"/>
      <c r="FX13" s="763"/>
      <c r="GC13" s="927">
        <v>36</v>
      </c>
    </row>
    <row customHeight="1" ht="37.8">
      <c r="D14" s="939"/>
      <c r="E14" s="938"/>
      <c r="F14" s="2206"/>
      <c r="G14" s="2206"/>
      <c r="H14" s="2438"/>
      <c r="I14" s="2438"/>
      <c r="J14" s="2439"/>
      <c r="K14" s="2439"/>
      <c r="L14" s="2439"/>
      <c r="M14" s="2439"/>
      <c r="N14" s="2439"/>
      <c r="O14" s="2337" t="s">
        <v>1113</v>
      </c>
      <c r="P14" s="2389"/>
      <c r="Q14" s="2337" t="s">
        <v>1114</v>
      </c>
      <c r="R14" s="2389"/>
      <c r="S14" s="2338"/>
      <c r="T14" s="2214"/>
      <c r="U14" s="2337" t="s">
        <v>846</v>
      </c>
      <c r="V14" s="2389"/>
      <c r="W14" s="2337" t="s">
        <v>849</v>
      </c>
      <c r="X14" s="2389"/>
      <c r="Y14" s="2337" t="s">
        <v>846</v>
      </c>
      <c r="Z14" s="2389"/>
      <c r="AA14" s="2337" t="s">
        <v>856</v>
      </c>
      <c r="AB14" s="2389"/>
      <c r="AC14" s="2435"/>
      <c r="AD14" s="2435"/>
      <c r="AE14" s="2435"/>
      <c r="AF14" s="2435"/>
      <c r="AG14" s="2435"/>
      <c r="AH14" s="2435"/>
      <c r="AI14" s="2435"/>
      <c r="AJ14" s="2435"/>
      <c r="AK14" s="2435"/>
      <c r="AL14" s="2435"/>
      <c r="AM14" s="2435"/>
      <c r="AN14" s="2435"/>
      <c r="AO14" s="2435"/>
      <c r="AP14" s="2435"/>
      <c r="AQ14" s="2435"/>
      <c r="AR14" s="2435"/>
      <c r="AS14" s="2435"/>
      <c r="AT14" s="2435"/>
      <c r="AU14" s="2435"/>
      <c r="AV14" s="2435"/>
      <c r="AW14" s="2435"/>
      <c r="AX14" s="2435"/>
      <c r="AY14" s="2435"/>
      <c r="AZ14" s="2435"/>
      <c r="BA14" s="2435"/>
      <c r="BB14" s="2435"/>
      <c r="BC14" s="2435"/>
      <c r="BD14" s="2435"/>
      <c r="BE14" s="2435"/>
      <c r="BF14" s="2435"/>
      <c r="BG14" s="2435"/>
      <c r="BH14" s="2435"/>
      <c r="BI14" s="2435"/>
      <c r="BJ14" s="2435"/>
      <c r="BK14" s="2435"/>
      <c r="BL14" s="2435"/>
      <c r="BM14" s="2435"/>
      <c r="BN14" s="2435"/>
      <c r="BO14" s="2435"/>
      <c r="BP14" s="2435"/>
      <c r="BQ14" s="2435"/>
      <c r="BR14" s="2435"/>
      <c r="BS14" s="2454"/>
      <c r="BT14" s="2338"/>
      <c r="BU14" s="2214"/>
      <c r="BV14" s="2338"/>
      <c r="BW14" s="2214"/>
      <c r="BX14" s="2338"/>
      <c r="BY14" s="2214"/>
      <c r="BZ14" s="2338"/>
      <c r="CA14" s="2214"/>
      <c r="CB14" s="2338"/>
      <c r="CC14" s="2214"/>
      <c r="CD14" s="2338"/>
      <c r="CE14" s="2214"/>
      <c r="CF14" s="2338"/>
      <c r="CG14" s="2214"/>
      <c r="CH14" s="2337" t="s">
        <v>1115</v>
      </c>
      <c r="CI14" s="2389"/>
      <c r="CJ14" s="2337" t="s">
        <v>1116</v>
      </c>
      <c r="CK14" s="2389"/>
      <c r="CL14" s="2437"/>
      <c r="CM14" s="2435"/>
      <c r="CN14" s="2435"/>
      <c r="CO14" s="2435"/>
      <c r="CP14" s="2435"/>
      <c r="CQ14" s="2435"/>
      <c r="CR14" s="2435"/>
      <c r="CS14" s="2435"/>
      <c r="CT14" s="2435"/>
      <c r="CU14" s="2435"/>
      <c r="CV14" s="2435"/>
      <c r="CW14" s="2435"/>
      <c r="CX14" s="2454"/>
      <c r="CY14" s="2338"/>
      <c r="CZ14" s="2214"/>
      <c r="DA14" s="2338"/>
      <c r="DB14" s="2214"/>
      <c r="DC14" s="2338"/>
      <c r="DD14" s="2214"/>
      <c r="DE14" s="2338"/>
      <c r="DF14" s="2214"/>
      <c r="DG14" s="2337" t="s">
        <v>1117</v>
      </c>
      <c r="DH14" s="2389"/>
      <c r="DI14" s="2337" t="s">
        <v>1118</v>
      </c>
      <c r="DJ14" s="2389"/>
      <c r="DK14" s="2437"/>
      <c r="DL14" s="2435"/>
      <c r="DM14" s="2435"/>
      <c r="DN14" s="2435"/>
      <c r="DO14" s="2435"/>
      <c r="DP14" s="2435"/>
      <c r="DQ14" s="2435"/>
      <c r="DR14" s="2435"/>
      <c r="DS14" s="2435"/>
      <c r="DT14" s="2435"/>
      <c r="DU14" s="2435"/>
      <c r="DV14" s="2435"/>
      <c r="DW14" s="2435"/>
      <c r="DX14" s="2435"/>
      <c r="DY14" s="2435"/>
      <c r="DZ14" s="2435"/>
      <c r="EA14" s="2435"/>
      <c r="EB14" s="2435"/>
      <c r="EC14" s="2435"/>
      <c r="ED14" s="2435"/>
      <c r="EE14" s="2435"/>
      <c r="EF14" s="2435"/>
      <c r="EG14" s="2435"/>
      <c r="EH14" s="2435"/>
      <c r="EI14" s="2435"/>
      <c r="EJ14" s="2435"/>
      <c r="EK14" s="2435"/>
      <c r="EL14" s="2435"/>
      <c r="EM14" s="2435"/>
      <c r="EN14" s="2435"/>
      <c r="EO14" s="2435"/>
      <c r="EP14" s="2435"/>
      <c r="EQ14" s="2435"/>
      <c r="ER14" s="2435"/>
      <c r="ES14" s="2435"/>
      <c r="ET14" s="2435"/>
      <c r="EU14" s="2435"/>
      <c r="EV14" s="2435"/>
      <c r="EW14" s="2435"/>
      <c r="EX14" s="2435"/>
      <c r="EY14" s="2435"/>
      <c r="EZ14" s="2435"/>
      <c r="FA14" s="2435"/>
      <c r="FB14" s="2435"/>
      <c r="FC14" s="2435"/>
      <c r="FD14" s="2435"/>
      <c r="FE14" s="2435"/>
      <c r="FF14" s="2435"/>
      <c r="FG14" s="2435"/>
      <c r="FH14" s="2435"/>
      <c r="FI14" s="2435"/>
      <c r="FJ14" s="2435"/>
      <c r="FK14" s="2435"/>
      <c r="FL14" s="2435"/>
      <c r="FM14" s="2435"/>
      <c r="FN14" s="2435"/>
      <c r="FO14" s="2435"/>
      <c r="FP14" s="2435"/>
      <c r="FQ14" s="2435"/>
      <c r="FR14" s="2435"/>
      <c r="FS14" s="2435"/>
      <c r="FT14" s="2435"/>
      <c r="FU14" s="2435"/>
      <c r="FV14" s="2435"/>
      <c r="FW14" s="2449"/>
      <c r="FX14" s="763"/>
      <c r="GC14" s="927">
        <v>36</v>
      </c>
    </row>
    <row customHeight="1" ht="37.8">
      <c r="D15" s="939"/>
      <c r="E15" s="938"/>
      <c r="F15" s="2206"/>
      <c r="G15" s="2206"/>
      <c r="H15" s="2438"/>
      <c r="I15" s="2438"/>
      <c r="J15" s="2439"/>
      <c r="K15" s="2439"/>
      <c r="L15" s="2439"/>
      <c r="M15" s="2439"/>
      <c r="N15" s="2439"/>
      <c r="O15" s="2339"/>
      <c r="P15" s="2436"/>
      <c r="Q15" s="2339"/>
      <c r="R15" s="2436"/>
      <c r="S15" s="2339"/>
      <c r="T15" s="2436"/>
      <c r="U15" s="2339"/>
      <c r="V15" s="2436"/>
      <c r="W15" s="2339"/>
      <c r="X15" s="2436"/>
      <c r="Y15" s="2339"/>
      <c r="Z15" s="2436"/>
      <c r="AA15" s="2339"/>
      <c r="AB15" s="2436"/>
      <c r="AC15" s="2435"/>
      <c r="AD15" s="2435"/>
      <c r="AE15" s="2435"/>
      <c r="AF15" s="2435"/>
      <c r="AG15" s="2435"/>
      <c r="AH15" s="2435"/>
      <c r="AI15" s="2435"/>
      <c r="AJ15" s="2435"/>
      <c r="AK15" s="2435"/>
      <c r="AL15" s="2435"/>
      <c r="AM15" s="2435"/>
      <c r="AN15" s="2435"/>
      <c r="AO15" s="2435"/>
      <c r="AP15" s="2435"/>
      <c r="AQ15" s="2435"/>
      <c r="AR15" s="2435"/>
      <c r="AS15" s="2435"/>
      <c r="AT15" s="2435"/>
      <c r="AU15" s="2435"/>
      <c r="AV15" s="2435"/>
      <c r="AW15" s="2435"/>
      <c r="AX15" s="2435"/>
      <c r="AY15" s="2435"/>
      <c r="AZ15" s="2435"/>
      <c r="BA15" s="2435"/>
      <c r="BB15" s="2435"/>
      <c r="BC15" s="2435"/>
      <c r="BD15" s="2435"/>
      <c r="BE15" s="2435"/>
      <c r="BF15" s="2435"/>
      <c r="BG15" s="2435"/>
      <c r="BH15" s="2435"/>
      <c r="BI15" s="2435"/>
      <c r="BJ15" s="2435"/>
      <c r="BK15" s="2435"/>
      <c r="BL15" s="2435"/>
      <c r="BM15" s="2435"/>
      <c r="BN15" s="2435"/>
      <c r="BO15" s="2435"/>
      <c r="BP15" s="2435"/>
      <c r="BQ15" s="2435"/>
      <c r="BR15" s="2435"/>
      <c r="BS15" s="2454"/>
      <c r="BT15" s="2339"/>
      <c r="BU15" s="2436"/>
      <c r="BV15" s="2339"/>
      <c r="BW15" s="2436"/>
      <c r="BX15" s="2339"/>
      <c r="BY15" s="2436"/>
      <c r="BZ15" s="2339"/>
      <c r="CA15" s="2436"/>
      <c r="CB15" s="2339"/>
      <c r="CC15" s="2436"/>
      <c r="CD15" s="2339"/>
      <c r="CE15" s="2436"/>
      <c r="CF15" s="2339"/>
      <c r="CG15" s="2436"/>
      <c r="CH15" s="2339"/>
      <c r="CI15" s="2436"/>
      <c r="CJ15" s="2339"/>
      <c r="CK15" s="2436"/>
      <c r="CL15" s="2437"/>
      <c r="CM15" s="2435"/>
      <c r="CN15" s="2435"/>
      <c r="CO15" s="2435"/>
      <c r="CP15" s="2435"/>
      <c r="CQ15" s="2435"/>
      <c r="CR15" s="2435"/>
      <c r="CS15" s="2435"/>
      <c r="CT15" s="2435"/>
      <c r="CU15" s="2435"/>
      <c r="CV15" s="2435"/>
      <c r="CW15" s="2435"/>
      <c r="CX15" s="2454"/>
      <c r="CY15" s="2339"/>
      <c r="CZ15" s="2436"/>
      <c r="DA15" s="2339"/>
      <c r="DB15" s="2436"/>
      <c r="DC15" s="2339"/>
      <c r="DD15" s="2436"/>
      <c r="DE15" s="2339"/>
      <c r="DF15" s="2436"/>
      <c r="DG15" s="2339"/>
      <c r="DH15" s="2436"/>
      <c r="DI15" s="2339"/>
      <c r="DJ15" s="2436"/>
      <c r="DK15" s="2437"/>
      <c r="DL15" s="2435"/>
      <c r="DM15" s="2435"/>
      <c r="DN15" s="2435"/>
      <c r="DO15" s="2435"/>
      <c r="DP15" s="2435"/>
      <c r="DQ15" s="2435"/>
      <c r="DR15" s="2435"/>
      <c r="DS15" s="2435"/>
      <c r="DT15" s="2435"/>
      <c r="DU15" s="2435"/>
      <c r="DV15" s="2435"/>
      <c r="DW15" s="2435"/>
      <c r="DX15" s="2435"/>
      <c r="DY15" s="2435"/>
      <c r="DZ15" s="2435"/>
      <c r="EA15" s="2435"/>
      <c r="EB15" s="2435"/>
      <c r="EC15" s="2435"/>
      <c r="ED15" s="2435"/>
      <c r="EE15" s="2435"/>
      <c r="EF15" s="2435"/>
      <c r="EG15" s="2435"/>
      <c r="EH15" s="2435"/>
      <c r="EI15" s="2435"/>
      <c r="EJ15" s="2435"/>
      <c r="EK15" s="2435"/>
      <c r="EL15" s="2435"/>
      <c r="EM15" s="2435"/>
      <c r="EN15" s="2435"/>
      <c r="EO15" s="2435"/>
      <c r="EP15" s="2435"/>
      <c r="EQ15" s="2435"/>
      <c r="ER15" s="2435"/>
      <c r="ES15" s="2435"/>
      <c r="ET15" s="2435"/>
      <c r="EU15" s="2435"/>
      <c r="EV15" s="2435"/>
      <c r="EW15" s="2435"/>
      <c r="EX15" s="2435"/>
      <c r="EY15" s="2435"/>
      <c r="EZ15" s="2435"/>
      <c r="FA15" s="2435"/>
      <c r="FB15" s="2435"/>
      <c r="FC15" s="2435"/>
      <c r="FD15" s="2435"/>
      <c r="FE15" s="2435"/>
      <c r="FF15" s="2435"/>
      <c r="FG15" s="2435"/>
      <c r="FH15" s="2435"/>
      <c r="FI15" s="2435"/>
      <c r="FJ15" s="2435"/>
      <c r="FK15" s="2435"/>
      <c r="FL15" s="2435"/>
      <c r="FM15" s="2435"/>
      <c r="FN15" s="2435"/>
      <c r="FO15" s="2435"/>
      <c r="FP15" s="2435"/>
      <c r="FQ15" s="2435"/>
      <c r="FR15" s="2435"/>
      <c r="FS15" s="2435"/>
      <c r="FT15" s="2435"/>
      <c r="FU15" s="2435"/>
      <c r="FV15" s="2435"/>
      <c r="FW15" s="2449"/>
      <c r="FX15" s="763"/>
      <c r="GC15" s="927">
        <v>36</v>
      </c>
    </row>
    <row customHeight="1" ht="12.75">
      <c r="D16" s="939"/>
      <c r="E16" s="938"/>
      <c r="F16" s="2206"/>
      <c r="G16" s="2206"/>
      <c r="H16" s="2438"/>
      <c r="I16" s="2438"/>
      <c r="J16" s="2439"/>
      <c r="K16" s="2439"/>
      <c r="L16" s="2439"/>
      <c r="M16" s="2439"/>
      <c r="N16" s="2439"/>
      <c r="O16" s="2387" t="s">
        <v>836</v>
      </c>
      <c r="P16" s="2434"/>
      <c r="Q16" s="2387" t="s">
        <v>838</v>
      </c>
      <c r="R16" s="2434"/>
      <c r="S16" s="2387" t="s">
        <v>842</v>
      </c>
      <c r="T16" s="2434"/>
      <c r="U16" s="2387" t="s">
        <v>847</v>
      </c>
      <c r="V16" s="2434"/>
      <c r="W16" s="2387" t="s">
        <v>850</v>
      </c>
      <c r="X16" s="2434"/>
      <c r="Y16" s="2387" t="s">
        <v>854</v>
      </c>
      <c r="Z16" s="2434"/>
      <c r="AA16" s="2387" t="s">
        <v>857</v>
      </c>
      <c r="AB16" s="2434"/>
      <c r="AC16" s="2435"/>
      <c r="AD16" s="2435"/>
      <c r="AE16" s="2435"/>
      <c r="AF16" s="2435"/>
      <c r="AG16" s="2435"/>
      <c r="AH16" s="2435"/>
      <c r="AI16" s="2435"/>
      <c r="AJ16" s="2435"/>
      <c r="AK16" s="2435"/>
      <c r="AL16" s="2435"/>
      <c r="AM16" s="2435"/>
      <c r="AN16" s="2435"/>
      <c r="AO16" s="2435"/>
      <c r="AP16" s="2435"/>
      <c r="AQ16" s="2435"/>
      <c r="AR16" s="2435"/>
      <c r="AS16" s="2435"/>
      <c r="AT16" s="2435"/>
      <c r="AU16" s="2435"/>
      <c r="AV16" s="2435"/>
      <c r="AW16" s="2435"/>
      <c r="AX16" s="2435"/>
      <c r="AY16" s="2435"/>
      <c r="AZ16" s="2435"/>
      <c r="BA16" s="2435"/>
      <c r="BB16" s="2435"/>
      <c r="BC16" s="2435"/>
      <c r="BD16" s="2435"/>
      <c r="BE16" s="2435"/>
      <c r="BF16" s="2435"/>
      <c r="BG16" s="2435"/>
      <c r="BH16" s="2435"/>
      <c r="BI16" s="2435"/>
      <c r="BJ16" s="2435"/>
      <c r="BK16" s="2435"/>
      <c r="BL16" s="2435"/>
      <c r="BM16" s="2435"/>
      <c r="BN16" s="2435"/>
      <c r="BO16" s="2435"/>
      <c r="BP16" s="2435"/>
      <c r="BQ16" s="2435"/>
      <c r="BR16" s="2435"/>
      <c r="BS16" s="2454"/>
      <c r="BT16" s="2387" t="s">
        <v>569</v>
      </c>
      <c r="BU16" s="2434"/>
      <c r="BV16" s="2387" t="s">
        <v>569</v>
      </c>
      <c r="BW16" s="2434"/>
      <c r="BX16" s="2387" t="s">
        <v>569</v>
      </c>
      <c r="BY16" s="2434"/>
      <c r="BZ16" s="2387" t="s">
        <v>569</v>
      </c>
      <c r="CA16" s="2434"/>
      <c r="CB16" s="2387" t="s">
        <v>1119</v>
      </c>
      <c r="CC16" s="2434"/>
      <c r="CD16" s="2387" t="s">
        <v>569</v>
      </c>
      <c r="CE16" s="2434"/>
      <c r="CF16" s="2387" t="s">
        <v>1120</v>
      </c>
      <c r="CG16" s="2434"/>
      <c r="CH16" s="2387" t="s">
        <v>1121</v>
      </c>
      <c r="CI16" s="2434"/>
      <c r="CJ16" s="2387" t="s">
        <v>1121</v>
      </c>
      <c r="CK16" s="2434"/>
      <c r="CL16" s="2437"/>
      <c r="CM16" s="2435"/>
      <c r="CN16" s="2435"/>
      <c r="CO16" s="2435"/>
      <c r="CP16" s="2435"/>
      <c r="CQ16" s="2435"/>
      <c r="CR16" s="2435"/>
      <c r="CS16" s="2435"/>
      <c r="CT16" s="2435"/>
      <c r="CU16" s="2435"/>
      <c r="CV16" s="2435"/>
      <c r="CW16" s="2435"/>
      <c r="CX16" s="2454"/>
      <c r="CY16" s="2337" t="s">
        <v>569</v>
      </c>
      <c r="CZ16" s="2389"/>
      <c r="DA16" s="2337" t="s">
        <v>569</v>
      </c>
      <c r="DB16" s="2389"/>
      <c r="DC16" s="2337" t="s">
        <v>569</v>
      </c>
      <c r="DD16" s="2389"/>
      <c r="DE16" s="2387" t="s">
        <v>1119</v>
      </c>
      <c r="DF16" s="2434"/>
      <c r="DG16" s="2387" t="s">
        <v>1122</v>
      </c>
      <c r="DH16" s="2434"/>
      <c r="DI16" s="2387" t="s">
        <v>1122</v>
      </c>
      <c r="DJ16" s="2434"/>
      <c r="DK16" s="2437"/>
      <c r="DL16" s="2435"/>
      <c r="DM16" s="2435"/>
      <c r="DN16" s="2435"/>
      <c r="DO16" s="2435"/>
      <c r="DP16" s="2435"/>
      <c r="DQ16" s="2435"/>
      <c r="DR16" s="2435"/>
      <c r="DS16" s="2435"/>
      <c r="DT16" s="2435"/>
      <c r="DU16" s="2435"/>
      <c r="DV16" s="2435"/>
      <c r="DW16" s="2435"/>
      <c r="DX16" s="2435"/>
      <c r="DY16" s="2435"/>
      <c r="DZ16" s="2435"/>
      <c r="EA16" s="2435"/>
      <c r="EB16" s="2435"/>
      <c r="EC16" s="2435"/>
      <c r="ED16" s="2435"/>
      <c r="EE16" s="2435"/>
      <c r="EF16" s="2435"/>
      <c r="EG16" s="2435"/>
      <c r="EH16" s="2435"/>
      <c r="EI16" s="2435"/>
      <c r="EJ16" s="2435"/>
      <c r="EK16" s="2435"/>
      <c r="EL16" s="2435"/>
      <c r="EM16" s="2435"/>
      <c r="EN16" s="2435"/>
      <c r="EO16" s="2435"/>
      <c r="EP16" s="2435"/>
      <c r="EQ16" s="2435"/>
      <c r="ER16" s="2435"/>
      <c r="ES16" s="2435"/>
      <c r="ET16" s="2435"/>
      <c r="EU16" s="2435"/>
      <c r="EV16" s="2435"/>
      <c r="EW16" s="2435"/>
      <c r="EX16" s="2435"/>
      <c r="EY16" s="2435"/>
      <c r="EZ16" s="2435"/>
      <c r="FA16" s="2435"/>
      <c r="FB16" s="2435"/>
      <c r="FC16" s="2435"/>
      <c r="FD16" s="2435"/>
      <c r="FE16" s="2435"/>
      <c r="FF16" s="2435"/>
      <c r="FG16" s="2435"/>
      <c r="FH16" s="2435"/>
      <c r="FI16" s="2435"/>
      <c r="FJ16" s="2435"/>
      <c r="FK16" s="2435"/>
      <c r="FL16" s="2435"/>
      <c r="FM16" s="2435"/>
      <c r="FN16" s="2435"/>
      <c r="FO16" s="2435"/>
      <c r="FP16" s="2435"/>
      <c r="FQ16" s="2435"/>
      <c r="FR16" s="2435"/>
      <c r="FS16" s="2435"/>
      <c r="FT16" s="2435"/>
      <c r="FU16" s="2435"/>
      <c r="FV16" s="2435"/>
      <c r="FW16" s="2449"/>
      <c r="FX16" s="763"/>
      <c r="GC16" s="927">
        <v>12</v>
      </c>
    </row>
    <row customHeight="1" ht="15.75">
      <c r="E17" s="938"/>
      <c r="F17" s="2206"/>
      <c r="G17" s="2206"/>
      <c r="H17" s="2438"/>
      <c r="I17" s="2438"/>
      <c r="J17" s="2439"/>
      <c r="K17" s="2439"/>
      <c r="L17" s="2439"/>
      <c r="M17" s="2439"/>
      <c r="N17" s="2439"/>
      <c r="O17" s="1192" t="s">
        <v>1123</v>
      </c>
      <c r="P17" s="1192" t="s">
        <v>1124</v>
      </c>
      <c r="Q17" s="1192" t="s">
        <v>1123</v>
      </c>
      <c r="R17" s="1192" t="s">
        <v>1124</v>
      </c>
      <c r="S17" s="1192" t="s">
        <v>1123</v>
      </c>
      <c r="T17" s="1192" t="s">
        <v>1124</v>
      </c>
      <c r="U17" s="1192" t="s">
        <v>1123</v>
      </c>
      <c r="V17" s="1192" t="s">
        <v>1124</v>
      </c>
      <c r="W17" s="1192" t="s">
        <v>1123</v>
      </c>
      <c r="X17" s="1192" t="s">
        <v>1124</v>
      </c>
      <c r="Y17" s="1192" t="s">
        <v>1123</v>
      </c>
      <c r="Z17" s="1192" t="s">
        <v>1124</v>
      </c>
      <c r="AA17" s="1192" t="s">
        <v>1123</v>
      </c>
      <c r="AB17" s="1192" t="s">
        <v>1124</v>
      </c>
      <c r="AC17" s="2435"/>
      <c r="AD17" s="2435"/>
      <c r="AE17" s="2435"/>
      <c r="AF17" s="2435"/>
      <c r="AG17" s="2435"/>
      <c r="AH17" s="2435"/>
      <c r="AI17" s="2435"/>
      <c r="AJ17" s="2435"/>
      <c r="AK17" s="2435"/>
      <c r="AL17" s="2435"/>
      <c r="AM17" s="2435"/>
      <c r="AN17" s="2435"/>
      <c r="AO17" s="2435"/>
      <c r="AP17" s="2435"/>
      <c r="AQ17" s="2435"/>
      <c r="AR17" s="2435"/>
      <c r="AS17" s="2435"/>
      <c r="AT17" s="2435"/>
      <c r="AU17" s="2435"/>
      <c r="AV17" s="2435"/>
      <c r="AW17" s="2435"/>
      <c r="AX17" s="2435"/>
      <c r="AY17" s="2435"/>
      <c r="AZ17" s="2435"/>
      <c r="BA17" s="2435"/>
      <c r="BB17" s="2435"/>
      <c r="BC17" s="2435"/>
      <c r="BD17" s="2435"/>
      <c r="BE17" s="2435"/>
      <c r="BF17" s="2435"/>
      <c r="BG17" s="2435"/>
      <c r="BH17" s="2435"/>
      <c r="BI17" s="2435"/>
      <c r="BJ17" s="2435"/>
      <c r="BK17" s="2435"/>
      <c r="BL17" s="2435"/>
      <c r="BM17" s="2435"/>
      <c r="BN17" s="2435"/>
      <c r="BO17" s="2435"/>
      <c r="BP17" s="2435"/>
      <c r="BQ17" s="2435"/>
      <c r="BR17" s="2435"/>
      <c r="BS17" s="2454"/>
      <c r="BT17" s="1192" t="s">
        <v>1123</v>
      </c>
      <c r="BU17" s="1192" t="s">
        <v>1124</v>
      </c>
      <c r="BV17" s="1192" t="s">
        <v>1123</v>
      </c>
      <c r="BW17" s="1192" t="s">
        <v>1124</v>
      </c>
      <c r="BX17" s="1192" t="s">
        <v>1123</v>
      </c>
      <c r="BY17" s="1192" t="s">
        <v>1124</v>
      </c>
      <c r="BZ17" s="1192" t="s">
        <v>1123</v>
      </c>
      <c r="CA17" s="1192" t="s">
        <v>1124</v>
      </c>
      <c r="CB17" s="1192" t="s">
        <v>1123</v>
      </c>
      <c r="CC17" s="1192" t="s">
        <v>1124</v>
      </c>
      <c r="CD17" s="1192" t="s">
        <v>1123</v>
      </c>
      <c r="CE17" s="1192" t="s">
        <v>1124</v>
      </c>
      <c r="CF17" s="1192" t="s">
        <v>1123</v>
      </c>
      <c r="CG17" s="1192" t="s">
        <v>1124</v>
      </c>
      <c r="CH17" s="1192" t="s">
        <v>1123</v>
      </c>
      <c r="CI17" s="1192" t="s">
        <v>1124</v>
      </c>
      <c r="CJ17" s="1192" t="s">
        <v>1123</v>
      </c>
      <c r="CK17" s="1192" t="s">
        <v>1124</v>
      </c>
      <c r="CL17" s="2437"/>
      <c r="CM17" s="2435"/>
      <c r="CN17" s="2435"/>
      <c r="CO17" s="2435"/>
      <c r="CP17" s="2435"/>
      <c r="CQ17" s="2435"/>
      <c r="CR17" s="2435"/>
      <c r="CS17" s="2435"/>
      <c r="CT17" s="2435"/>
      <c r="CU17" s="2435"/>
      <c r="CV17" s="2435"/>
      <c r="CW17" s="2435"/>
      <c r="CX17" s="2454"/>
      <c r="CY17" s="1192" t="s">
        <v>1123</v>
      </c>
      <c r="CZ17" s="1192" t="s">
        <v>1124</v>
      </c>
      <c r="DA17" s="1192" t="s">
        <v>1123</v>
      </c>
      <c r="DB17" s="1192" t="s">
        <v>1124</v>
      </c>
      <c r="DC17" s="1192" t="s">
        <v>1123</v>
      </c>
      <c r="DD17" s="1192" t="s">
        <v>1124</v>
      </c>
      <c r="DE17" s="1192" t="s">
        <v>1123</v>
      </c>
      <c r="DF17" s="1192" t="s">
        <v>1124</v>
      </c>
      <c r="DG17" s="1192" t="s">
        <v>1123</v>
      </c>
      <c r="DH17" s="1192" t="s">
        <v>1124</v>
      </c>
      <c r="DI17" s="1192" t="s">
        <v>1123</v>
      </c>
      <c r="DJ17" s="1192" t="s">
        <v>1124</v>
      </c>
      <c r="DK17" s="2437"/>
      <c r="DL17" s="2435"/>
      <c r="DM17" s="2435"/>
      <c r="DN17" s="2435"/>
      <c r="DO17" s="2435"/>
      <c r="DP17" s="2435"/>
      <c r="DQ17" s="2435"/>
      <c r="DR17" s="2435"/>
      <c r="DS17" s="2435"/>
      <c r="DT17" s="2435"/>
      <c r="DU17" s="2435"/>
      <c r="DV17" s="2435"/>
      <c r="DW17" s="2435"/>
      <c r="DX17" s="2435"/>
      <c r="DY17" s="2435"/>
      <c r="DZ17" s="2435"/>
      <c r="EA17" s="2435"/>
      <c r="EB17" s="2435"/>
      <c r="EC17" s="2435"/>
      <c r="ED17" s="2435"/>
      <c r="EE17" s="2435"/>
      <c r="EF17" s="2435"/>
      <c r="EG17" s="2435"/>
      <c r="EH17" s="2435"/>
      <c r="EI17" s="2435"/>
      <c r="EJ17" s="2435"/>
      <c r="EK17" s="2435"/>
      <c r="EL17" s="2435"/>
      <c r="EM17" s="2435"/>
      <c r="EN17" s="2435"/>
      <c r="EO17" s="2435"/>
      <c r="EP17" s="2435"/>
      <c r="EQ17" s="2435"/>
      <c r="ER17" s="2435"/>
      <c r="ES17" s="2435"/>
      <c r="ET17" s="2435"/>
      <c r="EU17" s="2435"/>
      <c r="EV17" s="2435"/>
      <c r="EW17" s="2435"/>
      <c r="EX17" s="2435"/>
      <c r="EY17" s="2435"/>
      <c r="EZ17" s="2435"/>
      <c r="FA17" s="2435"/>
      <c r="FB17" s="2435"/>
      <c r="FC17" s="2435"/>
      <c r="FD17" s="2435"/>
      <c r="FE17" s="2435"/>
      <c r="FF17" s="2435"/>
      <c r="FG17" s="2435"/>
      <c r="FH17" s="2435"/>
      <c r="FI17" s="2435"/>
      <c r="FJ17" s="2435"/>
      <c r="FK17" s="2435"/>
      <c r="FL17" s="2435"/>
      <c r="FM17" s="2435"/>
      <c r="FN17" s="2435"/>
      <c r="FO17" s="2435"/>
      <c r="FP17" s="2435"/>
      <c r="FQ17" s="2435"/>
      <c r="FR17" s="2435"/>
      <c r="FS17" s="2435"/>
      <c r="FT17" s="2435"/>
      <c r="FU17" s="2435"/>
      <c r="FV17" s="2435"/>
      <c r="FW17" s="2450"/>
      <c r="FX17" s="763"/>
      <c r="GC17" s="927">
        <v>15</v>
      </c>
    </row>
    <row s="926" customFormat="1" customHeight="1" ht="12" hidden="1">
      <c r="B18" s="924"/>
      <c r="E18" s="940"/>
      <c r="F18" s="1193"/>
      <c r="G18" s="1193"/>
      <c r="H18" s="1193"/>
      <c r="I18" s="1193"/>
      <c r="J18" s="1194"/>
      <c r="K18" s="1194"/>
      <c r="L18" s="1194"/>
      <c r="M18" s="1194"/>
      <c r="N18" s="1194"/>
      <c r="O18" s="1193"/>
      <c r="P18" s="1193"/>
      <c r="Q18" s="1193"/>
      <c r="R18" s="1193"/>
      <c r="S18" s="1193"/>
      <c r="T18" s="1193"/>
      <c r="U18" s="1195"/>
      <c r="V18" s="1195"/>
      <c r="W18" s="1195"/>
      <c r="X18" s="1195"/>
      <c r="Y18" s="1195"/>
      <c r="Z18" s="1195"/>
      <c r="AA18" s="1195"/>
      <c r="AB18" s="1193"/>
      <c r="AC18" s="1194"/>
      <c r="AD18" s="1194"/>
      <c r="AE18" s="1194"/>
      <c r="AF18" s="1194"/>
      <c r="AG18" s="1194"/>
      <c r="AH18" s="1194"/>
      <c r="AI18" s="1194"/>
      <c r="AJ18" s="1194"/>
      <c r="AK18" s="1194"/>
      <c r="AL18" s="1194"/>
      <c r="AM18" s="1194"/>
      <c r="AN18" s="1194"/>
      <c r="AO18" s="1194"/>
      <c r="AP18" s="1194"/>
      <c r="AQ18" s="1194"/>
      <c r="AR18" s="1194"/>
      <c r="AS18" s="1194"/>
      <c r="AT18" s="1194"/>
      <c r="AU18" s="1194"/>
      <c r="AV18" s="1194"/>
      <c r="AW18" s="1194"/>
      <c r="AX18" s="1194"/>
      <c r="AY18" s="1194"/>
      <c r="AZ18" s="1194"/>
      <c r="BA18" s="1194"/>
      <c r="BB18" s="1194"/>
      <c r="BC18" s="1194"/>
      <c r="BD18" s="1194"/>
      <c r="BE18" s="1194"/>
      <c r="BF18" s="1194"/>
      <c r="BG18" s="1194"/>
      <c r="BH18" s="1194"/>
      <c r="BI18" s="1194"/>
      <c r="BJ18" s="1194"/>
      <c r="BK18" s="1194"/>
      <c r="BL18" s="1194"/>
      <c r="BM18" s="1194"/>
      <c r="BN18" s="1194"/>
      <c r="BO18" s="1194"/>
      <c r="BP18" s="1194"/>
      <c r="BQ18" s="1194"/>
      <c r="BR18" s="1194"/>
      <c r="BS18" s="1194"/>
      <c r="BT18" s="1196"/>
      <c r="BU18" s="1196"/>
      <c r="BV18" s="1196"/>
      <c r="BW18" s="1196"/>
      <c r="BX18" s="1196"/>
      <c r="BY18" s="1196"/>
      <c r="BZ18" s="1196"/>
      <c r="CA18" s="1196"/>
      <c r="CB18" s="1196"/>
      <c r="CC18" s="1196"/>
      <c r="CD18" s="1196"/>
      <c r="CE18" s="1196"/>
      <c r="CF18" s="1196"/>
      <c r="CG18" s="1196"/>
      <c r="CH18" s="1196"/>
      <c r="CI18" s="1196"/>
      <c r="CJ18" s="1196"/>
      <c r="CK18" s="1196"/>
      <c r="CL18" s="1194"/>
      <c r="CM18" s="1194"/>
      <c r="CN18" s="1194"/>
      <c r="CO18" s="1194"/>
      <c r="CP18" s="1194"/>
      <c r="CQ18" s="1194"/>
      <c r="CR18" s="1194"/>
      <c r="CS18" s="1194"/>
      <c r="CT18" s="1194"/>
      <c r="CU18" s="1194"/>
      <c r="CV18" s="1194"/>
      <c r="CW18" s="1194"/>
      <c r="CX18" s="1194"/>
      <c r="CY18" s="1196"/>
      <c r="CZ18" s="1196"/>
      <c r="DA18" s="1196"/>
      <c r="DB18" s="1196"/>
      <c r="DC18" s="1196"/>
      <c r="DD18" s="1196"/>
      <c r="DE18" s="1196"/>
      <c r="DF18" s="1196"/>
      <c r="DG18" s="1196"/>
      <c r="DH18" s="1196"/>
      <c r="DI18" s="1196"/>
      <c r="DJ18" s="1196"/>
      <c r="DK18" s="1194"/>
      <c r="DL18" s="1194"/>
      <c r="DM18" s="1194"/>
      <c r="DN18" s="1194"/>
      <c r="DO18" s="1194"/>
      <c r="DP18" s="1194"/>
      <c r="DQ18" s="1194"/>
      <c r="DR18" s="1194"/>
      <c r="DS18" s="1194"/>
      <c r="DT18" s="1194"/>
      <c r="DU18" s="1194"/>
      <c r="DV18" s="1194"/>
      <c r="DW18" s="1194"/>
      <c r="DX18" s="1194"/>
      <c r="DY18" s="1194"/>
      <c r="DZ18" s="1194"/>
      <c r="EA18" s="1194"/>
      <c r="EB18" s="1194"/>
      <c r="EC18" s="1194"/>
      <c r="ED18" s="1194"/>
      <c r="EE18" s="1194"/>
      <c r="EF18" s="1194"/>
      <c r="EG18" s="1194"/>
      <c r="EH18" s="1194"/>
      <c r="EI18" s="1194"/>
      <c r="EJ18" s="1194"/>
      <c r="EK18" s="1194"/>
      <c r="EL18" s="1194"/>
      <c r="EM18" s="1194"/>
      <c r="EN18" s="1194"/>
      <c r="EO18" s="1194"/>
      <c r="EP18" s="1194"/>
      <c r="EQ18" s="1194"/>
      <c r="ER18" s="1194"/>
      <c r="ES18" s="1194"/>
      <c r="ET18" s="1194"/>
      <c r="EU18" s="1194"/>
      <c r="EV18" s="1194"/>
      <c r="EW18" s="1194"/>
      <c r="EX18" s="1194"/>
      <c r="EY18" s="1194"/>
      <c r="EZ18" s="1194"/>
      <c r="FA18" s="1194"/>
      <c r="FB18" s="1194"/>
      <c r="FC18" s="1194"/>
      <c r="FD18" s="1194"/>
      <c r="FE18" s="1194"/>
      <c r="FF18" s="1194"/>
      <c r="FG18" s="1194"/>
      <c r="FH18" s="1194"/>
      <c r="FI18" s="1194"/>
      <c r="FJ18" s="1194"/>
      <c r="FK18" s="1194"/>
      <c r="FL18" s="1194"/>
      <c r="FM18" s="1194"/>
      <c r="FN18" s="1194"/>
      <c r="FO18" s="1194"/>
      <c r="FP18" s="1194"/>
      <c r="FQ18" s="1194"/>
      <c r="FR18" s="1194"/>
      <c r="FS18" s="1194"/>
      <c r="FT18" s="1194"/>
      <c r="FU18" s="1194"/>
      <c r="FV18" s="1194"/>
      <c r="FW18" s="1193"/>
      <c r="FX18" s="1197"/>
      <c r="GC18" s="925">
        <v>0</v>
      </c>
    </row>
    <row s="926" customFormat="1" customHeight="1" ht="11.25" hidden="1">
      <c r="B19" s="924"/>
      <c r="E19" s="940"/>
      <c r="F19" s="1193"/>
      <c r="G19" s="1193"/>
      <c r="H19" s="1193"/>
      <c r="I19" s="1193"/>
      <c r="J19" s="1193"/>
      <c r="K19" s="1193"/>
      <c r="L19" s="1193"/>
      <c r="M19" s="1193"/>
      <c r="N19" s="1193"/>
      <c r="O19" s="1193"/>
      <c r="P19" s="1193"/>
      <c r="Q19" s="1193"/>
      <c r="R19" s="1193"/>
      <c r="S19" s="1193"/>
      <c r="T19" s="1193"/>
      <c r="U19" s="1195"/>
      <c r="V19" s="1195"/>
      <c r="W19" s="1195"/>
      <c r="X19" s="1195"/>
      <c r="Y19" s="1195"/>
      <c r="Z19" s="1195"/>
      <c r="AA19" s="1195"/>
      <c r="AB19" s="1193"/>
      <c r="AC19" s="1193"/>
      <c r="AD19" s="1193"/>
      <c r="AE19" s="1193"/>
      <c r="AF19" s="1193"/>
      <c r="AG19" s="1193"/>
      <c r="AH19" s="1193"/>
      <c r="AI19" s="1193"/>
      <c r="AJ19" s="1193"/>
      <c r="AK19" s="1193"/>
      <c r="AL19" s="1193"/>
      <c r="AM19" s="1193"/>
      <c r="AN19" s="1193"/>
      <c r="AO19" s="1193"/>
      <c r="AP19" s="1193"/>
      <c r="AQ19" s="1193"/>
      <c r="AR19" s="1193"/>
      <c r="AS19" s="1193"/>
      <c r="AT19" s="1193"/>
      <c r="AU19" s="1193"/>
      <c r="AV19" s="1193"/>
      <c r="AW19" s="1193"/>
      <c r="AX19" s="1193"/>
      <c r="AY19" s="1193"/>
      <c r="AZ19" s="1193"/>
      <c r="BA19" s="1193"/>
      <c r="BB19" s="1193"/>
      <c r="BC19" s="1193"/>
      <c r="BD19" s="1193"/>
      <c r="BE19" s="1193"/>
      <c r="BF19" s="1193"/>
      <c r="BG19" s="1193"/>
      <c r="BH19" s="1193"/>
      <c r="BI19" s="1193"/>
      <c r="BJ19" s="1193"/>
      <c r="BK19" s="1193"/>
      <c r="BL19" s="1193"/>
      <c r="BM19" s="1193"/>
      <c r="BN19" s="1193"/>
      <c r="BO19" s="1193"/>
      <c r="BP19" s="1193"/>
      <c r="BQ19" s="1193"/>
      <c r="BR19" s="1193"/>
      <c r="BS19" s="1193"/>
      <c r="BT19" s="1193"/>
      <c r="BU19" s="1193"/>
      <c r="BV19" s="1193"/>
      <c r="BW19" s="1193"/>
      <c r="BX19" s="1193"/>
      <c r="BY19" s="1193"/>
      <c r="BZ19" s="1193"/>
      <c r="CA19" s="1193"/>
      <c r="CB19" s="1193"/>
      <c r="CC19" s="1193"/>
      <c r="CD19" s="1193"/>
      <c r="CE19" s="1193"/>
      <c r="CF19" s="1193"/>
      <c r="CG19" s="1193"/>
      <c r="CH19" s="1193"/>
      <c r="CI19" s="1193"/>
      <c r="CJ19" s="1193"/>
      <c r="CK19" s="1193"/>
      <c r="CL19" s="1193"/>
      <c r="CM19" s="1193"/>
      <c r="CN19" s="1193"/>
      <c r="CO19" s="1193"/>
      <c r="CP19" s="1193"/>
      <c r="CQ19" s="1193"/>
      <c r="CR19" s="1193"/>
      <c r="CS19" s="1193"/>
      <c r="CT19" s="1193"/>
      <c r="CU19" s="1193"/>
      <c r="CV19" s="1193"/>
      <c r="CW19" s="1193"/>
      <c r="CX19" s="1193"/>
      <c r="CY19" s="1193"/>
      <c r="CZ19" s="1193"/>
      <c r="DA19" s="1193"/>
      <c r="DB19" s="1193"/>
      <c r="DC19" s="1193"/>
      <c r="DD19" s="1193"/>
      <c r="DE19" s="1193"/>
      <c r="DF19" s="1193"/>
      <c r="DG19" s="1193"/>
      <c r="DH19" s="1193"/>
      <c r="DI19" s="1193"/>
      <c r="DJ19" s="1193"/>
      <c r="DK19" s="1193"/>
      <c r="DL19" s="1193"/>
      <c r="DM19" s="1193"/>
      <c r="DN19" s="1193"/>
      <c r="DO19" s="1193"/>
      <c r="DP19" s="1193"/>
      <c r="DQ19" s="1193"/>
      <c r="DR19" s="1193"/>
      <c r="DS19" s="1193"/>
      <c r="DT19" s="1193"/>
      <c r="DU19" s="1193"/>
      <c r="DV19" s="1193"/>
      <c r="DW19" s="1193"/>
      <c r="DX19" s="1193"/>
      <c r="DY19" s="1193"/>
      <c r="DZ19" s="1193"/>
      <c r="EA19" s="1193"/>
      <c r="EB19" s="1193"/>
      <c r="EC19" s="1193"/>
      <c r="ED19" s="1193"/>
      <c r="EE19" s="1193"/>
      <c r="EF19" s="1193"/>
      <c r="EG19" s="1193"/>
      <c r="EH19" s="1193"/>
      <c r="EI19" s="1193"/>
      <c r="EJ19" s="1193"/>
      <c r="EK19" s="1193"/>
      <c r="EL19" s="1193"/>
      <c r="EM19" s="1193"/>
      <c r="EN19" s="1193"/>
      <c r="EO19" s="1193"/>
      <c r="EP19" s="1193"/>
      <c r="EQ19" s="1193"/>
      <c r="ER19" s="1193"/>
      <c r="ES19" s="1193"/>
      <c r="ET19" s="1193"/>
      <c r="EU19" s="1193"/>
      <c r="EV19" s="1193"/>
      <c r="EW19" s="1193"/>
      <c r="EX19" s="1193"/>
      <c r="EY19" s="1193"/>
      <c r="EZ19" s="1193"/>
      <c r="FA19" s="1193"/>
      <c r="FB19" s="1193"/>
      <c r="FC19" s="1193"/>
      <c r="FD19" s="1193"/>
      <c r="FE19" s="1193"/>
      <c r="FF19" s="1193"/>
      <c r="FG19" s="1193"/>
      <c r="FH19" s="1193"/>
      <c r="FI19" s="1193"/>
      <c r="FJ19" s="1193"/>
      <c r="FK19" s="1193"/>
      <c r="FL19" s="1193"/>
      <c r="FM19" s="1193"/>
      <c r="FN19" s="1193"/>
      <c r="FO19" s="1193"/>
      <c r="FP19" s="1193"/>
      <c r="FQ19" s="1193"/>
      <c r="FR19" s="1193"/>
      <c r="FS19" s="1193"/>
      <c r="FT19" s="1193"/>
      <c r="FU19" s="1193"/>
      <c r="FV19" s="1193"/>
      <c r="FW19" s="1193"/>
      <c r="FX19" s="1197"/>
      <c r="GC19" s="925">
        <v>0</v>
      </c>
    </row>
    <row s="926" customFormat="1" customHeight="1" ht="11.25" hidden="1">
      <c r="B20" s="941"/>
      <c r="D20" s="925"/>
      <c r="E20" s="940"/>
      <c r="F20" s="1198" t="s">
        <v>388</v>
      </c>
      <c r="G20" s="1199"/>
      <c r="H20" s="1200"/>
      <c r="I20" s="1200"/>
      <c r="J20" s="1200"/>
      <c r="K20" s="1200"/>
      <c r="L20" s="1200"/>
      <c r="M20" s="1200"/>
      <c r="N20" s="1200"/>
      <c r="O20" s="1199"/>
      <c r="P20" s="1199"/>
      <c r="Q20" s="1199"/>
      <c r="R20" s="1199"/>
      <c r="S20" s="1199"/>
      <c r="T20" s="1199"/>
      <c r="U20" s="1201"/>
      <c r="V20" s="1201"/>
      <c r="W20" s="1201"/>
      <c r="X20" s="1201"/>
      <c r="Y20" s="1201"/>
      <c r="Z20" s="1201"/>
      <c r="AA20" s="1201"/>
      <c r="AB20" s="1199"/>
      <c r="AC20" s="1200"/>
      <c r="AD20" s="1200"/>
      <c r="AE20" s="1200"/>
      <c r="AF20" s="1200"/>
      <c r="AG20" s="1200"/>
      <c r="AH20" s="1200"/>
      <c r="AI20" s="1200"/>
      <c r="AJ20" s="1200"/>
      <c r="AK20" s="1200"/>
      <c r="AL20" s="1200"/>
      <c r="AM20" s="1200"/>
      <c r="AN20" s="1200"/>
      <c r="AO20" s="1200"/>
      <c r="AP20" s="1200"/>
      <c r="AQ20" s="1200"/>
      <c r="AR20" s="1200"/>
      <c r="AS20" s="1200"/>
      <c r="AT20" s="1200"/>
      <c r="AU20" s="1200"/>
      <c r="AV20" s="1200"/>
      <c r="AW20" s="1200"/>
      <c r="AX20" s="1200"/>
      <c r="AY20" s="1200"/>
      <c r="AZ20" s="1200"/>
      <c r="BA20" s="1200"/>
      <c r="BB20" s="1200"/>
      <c r="BC20" s="1200"/>
      <c r="BD20" s="1200"/>
      <c r="BE20" s="1200"/>
      <c r="BF20" s="1200"/>
      <c r="BG20" s="1200"/>
      <c r="BH20" s="1200"/>
      <c r="BI20" s="1200"/>
      <c r="BJ20" s="1200"/>
      <c r="BK20" s="1200"/>
      <c r="BL20" s="1200"/>
      <c r="BM20" s="1200"/>
      <c r="BN20" s="1200"/>
      <c r="BO20" s="1200"/>
      <c r="BP20" s="1200"/>
      <c r="BQ20" s="1200"/>
      <c r="BR20" s="1200"/>
      <c r="BS20" s="1200"/>
      <c r="BT20" s="1200"/>
      <c r="BU20" s="1200"/>
      <c r="BV20" s="1200"/>
      <c r="BW20" s="1200"/>
      <c r="BX20" s="1200"/>
      <c r="BY20" s="1200"/>
      <c r="BZ20" s="1200"/>
      <c r="CA20" s="1200"/>
      <c r="CB20" s="1200"/>
      <c r="CC20" s="1200"/>
      <c r="CD20" s="1200"/>
      <c r="CE20" s="1200"/>
      <c r="CF20" s="1200"/>
      <c r="CG20" s="1200"/>
      <c r="CH20" s="1200"/>
      <c r="CI20" s="1200"/>
      <c r="CJ20" s="1200"/>
      <c r="CK20" s="1200"/>
      <c r="CL20" s="1202"/>
      <c r="CM20" s="1202"/>
      <c r="CN20" s="1202"/>
      <c r="CO20" s="1202"/>
      <c r="CP20" s="1202"/>
      <c r="CQ20" s="1202"/>
      <c r="CR20" s="1202"/>
      <c r="CS20" s="1202"/>
      <c r="CT20" s="1202"/>
      <c r="CU20" s="1202"/>
      <c r="CV20" s="1202"/>
      <c r="CW20" s="1202"/>
      <c r="CX20" s="1202"/>
      <c r="CY20" s="1202"/>
      <c r="CZ20" s="1202"/>
      <c r="DA20" s="1202"/>
      <c r="DB20" s="1202"/>
      <c r="DC20" s="1202"/>
      <c r="DD20" s="1202"/>
      <c r="DE20" s="1202"/>
      <c r="DF20" s="1202"/>
      <c r="DG20" s="1202"/>
      <c r="DH20" s="1202"/>
      <c r="DI20" s="1202"/>
      <c r="DJ20" s="1202"/>
      <c r="DK20" s="1202"/>
      <c r="DL20" s="1202"/>
      <c r="DM20" s="1202"/>
      <c r="DN20" s="1202"/>
      <c r="DO20" s="1202"/>
      <c r="DP20" s="1202"/>
      <c r="DQ20" s="1202"/>
      <c r="DR20" s="1202"/>
      <c r="DS20" s="1202"/>
      <c r="DT20" s="1202"/>
      <c r="DU20" s="1202"/>
      <c r="DV20" s="1202"/>
      <c r="DW20" s="1202"/>
      <c r="DX20" s="1202"/>
      <c r="DY20" s="1202"/>
      <c r="DZ20" s="1202"/>
      <c r="EA20" s="1202"/>
      <c r="EB20" s="1202"/>
      <c r="EC20" s="1202"/>
      <c r="ED20" s="1202"/>
      <c r="EE20" s="1202"/>
      <c r="EF20" s="1202"/>
      <c r="EG20" s="1202"/>
      <c r="EH20" s="1202"/>
      <c r="EI20" s="1202"/>
      <c r="EJ20" s="1202"/>
      <c r="EK20" s="1202"/>
      <c r="EL20" s="1202"/>
      <c r="EM20" s="1202"/>
      <c r="EN20" s="1202"/>
      <c r="EO20" s="1202"/>
      <c r="EP20" s="1202"/>
      <c r="EQ20" s="1202"/>
      <c r="ER20" s="1202"/>
      <c r="ES20" s="1202"/>
      <c r="ET20" s="1202"/>
      <c r="EU20" s="1202"/>
      <c r="EV20" s="1202"/>
      <c r="EW20" s="1202"/>
      <c r="EX20" s="1202"/>
      <c r="EY20" s="1202"/>
      <c r="EZ20" s="1202"/>
      <c r="FA20" s="1202"/>
      <c r="FB20" s="1202"/>
      <c r="FC20" s="1202"/>
      <c r="FD20" s="1202"/>
      <c r="FE20" s="1202"/>
      <c r="FF20" s="1202"/>
      <c r="FG20" s="1202"/>
      <c r="FH20" s="1202"/>
      <c r="FI20" s="1202"/>
      <c r="FJ20" s="1202"/>
      <c r="FK20" s="1202"/>
      <c r="FL20" s="1202"/>
      <c r="FM20" s="1202"/>
      <c r="FN20" s="1202"/>
      <c r="FO20" s="1202"/>
      <c r="FP20" s="1202"/>
      <c r="FQ20" s="1202"/>
      <c r="FR20" s="1202"/>
      <c r="FS20" s="1202"/>
      <c r="FT20" s="1202"/>
      <c r="FU20" s="1202"/>
      <c r="FV20" s="1202"/>
      <c r="FW20" s="1202"/>
      <c r="FX20" s="1203"/>
      <c r="GC20" s="923">
        <v>0</v>
      </c>
    </row>
    <row s="926" customFormat="1" customHeight="1" ht="12.75">
      <c r="A21" s="942"/>
      <c r="B21" s="942"/>
      <c r="C21" s="942"/>
      <c r="D21" s="942"/>
      <c r="E21" s="942"/>
      <c r="F21" s="940"/>
      <c r="G21" s="940"/>
      <c r="H21" s="940"/>
      <c r="I21" s="940"/>
      <c r="J21" s="940"/>
      <c r="K21" s="940"/>
      <c r="L21" s="940"/>
      <c r="M21" s="940"/>
      <c r="N21" s="940"/>
      <c r="O21" s="940"/>
      <c r="P21" s="940"/>
      <c r="Q21" s="940"/>
      <c r="R21" s="940"/>
      <c r="S21" s="943"/>
      <c r="T21" s="943"/>
      <c r="U21" s="940"/>
      <c r="V21" s="940"/>
      <c r="W21" s="940"/>
      <c r="X21" s="940"/>
      <c r="Y21" s="940"/>
      <c r="Z21" s="940"/>
      <c r="AA21" s="940"/>
      <c r="AB21" s="940"/>
      <c r="AC21" s="940"/>
      <c r="AD21" s="940"/>
      <c r="AE21" s="940"/>
      <c r="AF21" s="940"/>
      <c r="AG21" s="940"/>
      <c r="AH21" s="940"/>
      <c r="AI21" s="940"/>
      <c r="AJ21" s="940"/>
      <c r="AK21" s="940"/>
      <c r="AL21" s="940"/>
      <c r="AM21" s="940"/>
      <c r="AN21" s="940"/>
      <c r="AO21" s="940"/>
      <c r="AP21" s="940"/>
      <c r="AQ21" s="940"/>
      <c r="AR21" s="940"/>
      <c r="AS21" s="940"/>
      <c r="AT21" s="940"/>
      <c r="AU21" s="940"/>
      <c r="AV21" s="940"/>
      <c r="AW21" s="940"/>
      <c r="AX21" s="940"/>
      <c r="AY21" s="940"/>
      <c r="AZ21" s="940"/>
      <c r="BA21" s="940"/>
      <c r="BB21" s="940"/>
      <c r="BC21" s="940"/>
      <c r="BD21" s="940"/>
      <c r="BE21" s="940"/>
      <c r="BF21" s="940"/>
      <c r="BG21" s="940"/>
      <c r="BH21" s="940"/>
      <c r="BI21" s="940"/>
      <c r="BJ21" s="940"/>
      <c r="BK21" s="940"/>
      <c r="BL21" s="940"/>
      <c r="BM21" s="940"/>
      <c r="BN21" s="940"/>
      <c r="BO21" s="940"/>
      <c r="BP21" s="940"/>
      <c r="BQ21" s="940"/>
      <c r="BR21" s="940"/>
      <c r="BS21" s="940"/>
      <c r="BT21" s="940"/>
      <c r="BU21" s="940"/>
      <c r="BV21" s="940"/>
      <c r="BW21" s="940"/>
      <c r="BX21" s="940"/>
      <c r="BY21" s="940"/>
      <c r="BZ21" s="940"/>
      <c r="CA21" s="940"/>
      <c r="CB21" s="940"/>
      <c r="CC21" s="940"/>
      <c r="CD21" s="940"/>
      <c r="CE21" s="940"/>
      <c r="CF21" s="940"/>
      <c r="CG21" s="940"/>
      <c r="CH21" s="940"/>
      <c r="CI21" s="940"/>
      <c r="CJ21" s="940"/>
      <c r="CK21" s="940"/>
      <c r="CL21" s="940"/>
      <c r="CM21" s="940"/>
      <c r="CN21" s="940"/>
      <c r="CO21" s="940"/>
      <c r="CP21" s="940"/>
      <c r="CQ21" s="940"/>
      <c r="CR21" s="940"/>
      <c r="CS21" s="940"/>
      <c r="CT21" s="940"/>
      <c r="CU21" s="940"/>
      <c r="CV21" s="940"/>
      <c r="CW21" s="940"/>
      <c r="CX21" s="940"/>
      <c r="CY21" s="940"/>
      <c r="CZ21" s="940"/>
      <c r="DA21" s="940"/>
      <c r="DB21" s="940"/>
      <c r="DC21" s="940"/>
      <c r="DD21" s="940"/>
      <c r="DE21" s="940"/>
      <c r="DF21" s="940"/>
      <c r="DG21" s="940"/>
      <c r="DH21" s="940"/>
      <c r="DI21" s="940"/>
      <c r="DJ21" s="940"/>
      <c r="DK21" s="940"/>
      <c r="DL21" s="940"/>
      <c r="DM21" s="940"/>
      <c r="DN21" s="940"/>
      <c r="DO21" s="940"/>
      <c r="DP21" s="940"/>
      <c r="DQ21" s="940"/>
      <c r="DR21" s="940"/>
      <c r="DS21" s="940"/>
      <c r="DT21" s="940"/>
      <c r="DU21" s="940"/>
      <c r="DV21" s="940"/>
      <c r="DW21" s="940"/>
      <c r="DX21" s="940"/>
      <c r="DY21" s="940"/>
      <c r="DZ21" s="940"/>
      <c r="EA21" s="940"/>
      <c r="EB21" s="940"/>
      <c r="EC21" s="940"/>
      <c r="ED21" s="940"/>
      <c r="EE21" s="940"/>
      <c r="EF21" s="940"/>
      <c r="EG21" s="940"/>
      <c r="EH21" s="940"/>
      <c r="EI21" s="940"/>
      <c r="EJ21" s="940"/>
      <c r="EK21" s="940"/>
      <c r="EL21" s="940"/>
      <c r="EM21" s="940"/>
      <c r="EN21" s="940"/>
      <c r="EO21" s="940"/>
      <c r="EP21" s="940"/>
      <c r="EQ21" s="940"/>
      <c r="ER21" s="940"/>
      <c r="ES21" s="940"/>
      <c r="ET21" s="940"/>
      <c r="EU21" s="940"/>
      <c r="EV21" s="940"/>
      <c r="EW21" s="940"/>
      <c r="EX21" s="940"/>
      <c r="EY21" s="940"/>
      <c r="EZ21" s="940"/>
      <c r="FA21" s="940"/>
      <c r="FB21" s="940"/>
      <c r="FC21" s="940"/>
      <c r="FD21" s="940"/>
      <c r="FE21" s="940"/>
      <c r="FF21" s="940"/>
      <c r="FG21" s="940"/>
      <c r="FH21" s="940"/>
      <c r="FI21" s="940"/>
      <c r="FJ21" s="940"/>
      <c r="FK21" s="940"/>
      <c r="FL21" s="940"/>
      <c r="FM21" s="940"/>
      <c r="FN21" s="940"/>
      <c r="FO21" s="940"/>
      <c r="FP21" s="940"/>
      <c r="FQ21" s="940"/>
      <c r="FR21" s="940"/>
      <c r="FS21" s="940"/>
      <c r="FT21" s="940"/>
      <c r="FU21" s="940"/>
      <c r="FV21" s="940"/>
      <c r="FW21" s="940"/>
      <c r="FX21" s="942"/>
      <c r="FY21" s="942"/>
      <c r="FZ21" s="942"/>
      <c r="GA21" s="942"/>
      <c r="GB21" s="942"/>
      <c r="GC21" s="923">
        <v>12</v>
      </c>
    </row>
    <row s="926" customFormat="1" customHeight="1" ht="12.75">
      <c r="A22" s="942"/>
      <c r="B22" s="942"/>
      <c r="C22" s="942"/>
      <c r="D22" s="942"/>
      <c r="E22" s="942"/>
      <c r="FX22" s="942"/>
      <c r="FY22" s="942"/>
      <c r="FZ22" s="942"/>
      <c r="GA22" s="942"/>
      <c r="GB22" s="942"/>
      <c r="GC22" s="923">
        <v>12</v>
      </c>
    </row>
    <row s="1064" customFormat="1" customHeight="1" ht="12.75">
      <c r="A23" s="1063"/>
      <c r="B23" s="1063"/>
      <c r="C23" s="1063"/>
      <c r="D23" s="1063"/>
      <c r="E23" s="1063"/>
      <c r="O23" s="1065"/>
      <c r="P23" s="1065"/>
      <c r="Q23" s="1065"/>
      <c r="R23" s="1065"/>
      <c r="S23" s="1065"/>
      <c r="T23" s="1065"/>
      <c r="U23" s="1065"/>
      <c r="V23" s="1065"/>
      <c r="W23" s="1065"/>
      <c r="X23" s="1065"/>
      <c r="Y23" s="1065"/>
      <c r="Z23" s="1065"/>
      <c r="AA23" s="1065"/>
      <c r="AB23" s="1065"/>
      <c r="AC23" s="1065"/>
      <c r="AD23" s="1065"/>
      <c r="AE23" s="1065"/>
      <c r="AF23" s="1065"/>
      <c r="AG23" s="1065"/>
      <c r="AH23" s="1065"/>
      <c r="AI23" s="1065"/>
      <c r="AJ23" s="1065"/>
      <c r="AK23" s="1065"/>
      <c r="AL23" s="1065"/>
      <c r="AM23" s="1065"/>
      <c r="AN23" s="1065"/>
      <c r="AO23" s="1065"/>
      <c r="AP23" s="1065"/>
      <c r="AQ23" s="1065"/>
      <c r="AR23" s="1065"/>
      <c r="AS23" s="1065"/>
      <c r="AT23" s="1065"/>
      <c r="AU23" s="1065"/>
      <c r="AV23" s="1065"/>
      <c r="AW23" s="1065"/>
      <c r="AX23" s="1065"/>
      <c r="AY23" s="1065"/>
      <c r="AZ23" s="1065"/>
      <c r="BA23" s="1065"/>
      <c r="BB23" s="1065"/>
      <c r="BC23" s="1065"/>
      <c r="BD23" s="1065"/>
      <c r="BE23" s="1065"/>
      <c r="BF23" s="1065"/>
      <c r="BG23" s="1065"/>
      <c r="BH23" s="1065"/>
      <c r="BI23" s="1065"/>
      <c r="BJ23" s="1065"/>
      <c r="BK23" s="1065"/>
      <c r="BL23" s="1065"/>
      <c r="BM23" s="1065"/>
      <c r="BN23" s="1065"/>
      <c r="BO23" s="1065"/>
      <c r="BP23" s="1065"/>
      <c r="BQ23" s="1065"/>
      <c r="BR23" s="1065"/>
      <c r="BS23" s="1065"/>
      <c r="BT23" s="1066"/>
      <c r="BU23" s="1066"/>
      <c r="BV23" s="1066"/>
      <c r="BW23" s="1066"/>
      <c r="BX23" s="1066"/>
      <c r="BY23" s="1066"/>
      <c r="BZ23" s="1066"/>
      <c r="CA23" s="1066"/>
      <c r="CB23" s="1066"/>
      <c r="CC23" s="1066"/>
      <c r="CD23" s="1066"/>
      <c r="CE23" s="1066"/>
      <c r="CF23" s="1066"/>
      <c r="CG23" s="1066"/>
      <c r="CH23" s="1066"/>
      <c r="CI23" s="1066"/>
      <c r="CJ23" s="1066"/>
      <c r="CK23" s="1066"/>
      <c r="CL23" s="1066"/>
      <c r="CM23" s="1066"/>
      <c r="CN23" s="1066"/>
      <c r="CO23" s="1066"/>
      <c r="CP23" s="1066"/>
      <c r="CQ23" s="1066"/>
      <c r="CR23" s="1066"/>
      <c r="CS23" s="1066"/>
      <c r="CT23" s="1066"/>
      <c r="CU23" s="1066"/>
      <c r="CV23" s="1066"/>
      <c r="CW23" s="1066"/>
      <c r="CX23" s="1066"/>
      <c r="CY23" s="1066"/>
      <c r="CZ23" s="1066"/>
      <c r="DA23" s="1066"/>
      <c r="DB23" s="1066"/>
      <c r="DC23" s="1066"/>
      <c r="DD23" s="1066"/>
      <c r="DE23" s="1066"/>
      <c r="DF23" s="1066"/>
      <c r="DG23" s="1066"/>
      <c r="DH23" s="1066"/>
      <c r="DI23" s="1066"/>
      <c r="DJ23" s="1066"/>
      <c r="DK23" s="1066"/>
      <c r="DL23" s="1066"/>
      <c r="DM23" s="1066"/>
      <c r="DN23" s="1066"/>
      <c r="DO23" s="1066"/>
      <c r="DP23" s="1066"/>
      <c r="DQ23" s="1066"/>
      <c r="DR23" s="1066"/>
      <c r="DS23" s="1066"/>
      <c r="DT23" s="1066"/>
      <c r="DU23" s="1066"/>
      <c r="DV23" s="1066"/>
      <c r="DW23" s="1066"/>
      <c r="DX23" s="1066"/>
      <c r="FX23" s="1063"/>
      <c r="FY23" s="1063"/>
      <c r="FZ23" s="1063"/>
      <c r="GA23" s="1063"/>
      <c r="GB23" s="1063"/>
      <c r="GC23" s="1064">
        <v>12</v>
      </c>
    </row>
    <row customHeight="1" ht="12.75">
      <c r="S24" s="939"/>
      <c r="T24" s="939"/>
      <c r="U24" s="939"/>
      <c r="V24" s="939"/>
      <c r="W24" s="939"/>
      <c r="X24" s="939"/>
      <c r="Y24" s="939"/>
      <c r="Z24" s="939"/>
      <c r="AA24" s="939"/>
      <c r="AB24" s="939"/>
      <c r="FX24" s="939"/>
      <c r="FY24" s="939"/>
      <c r="FZ24" s="939"/>
      <c r="GA24" s="939"/>
      <c r="GB24" s="939"/>
      <c r="GC24" s="927">
        <v>12</v>
      </c>
    </row>
    <row customHeight="1" ht="12" hidden="1">
      <c r="A25" s="927" t="s">
        <v>84</v>
      </c>
      <c r="B25" s="937">
        <v>0</v>
      </c>
      <c r="C25" s="927">
        <v>0</v>
      </c>
      <c r="D25" s="927">
        <v>0</v>
      </c>
      <c r="E25" s="927">
        <v>3</v>
      </c>
      <c r="F25" s="927">
        <v>6</v>
      </c>
      <c r="G25" s="927">
        <v>18</v>
      </c>
      <c r="H25" s="927">
        <v>27</v>
      </c>
      <c r="I25" s="927">
        <v>18</v>
      </c>
      <c r="J25" s="927">
        <v>0</v>
      </c>
      <c r="K25" s="927">
        <v>0</v>
      </c>
      <c r="L25" s="927">
        <v>0</v>
      </c>
      <c r="M25" s="927">
        <v>0</v>
      </c>
      <c r="N25" s="927">
        <v>0</v>
      </c>
      <c r="O25" s="927">
        <v>0</v>
      </c>
      <c r="P25" s="927">
        <v>0</v>
      </c>
      <c r="Q25" s="927">
        <v>0</v>
      </c>
      <c r="R25" s="927">
        <v>0</v>
      </c>
      <c r="S25" s="927">
        <v>0</v>
      </c>
      <c r="T25" s="927">
        <v>0</v>
      </c>
      <c r="U25" s="927">
        <v>0</v>
      </c>
      <c r="V25" s="927">
        <v>0</v>
      </c>
      <c r="W25" s="927">
        <v>0</v>
      </c>
      <c r="X25" s="927">
        <v>0</v>
      </c>
      <c r="Y25" s="927">
        <v>0</v>
      </c>
      <c r="Z25" s="927">
        <v>0</v>
      </c>
      <c r="AA25" s="927">
        <v>0</v>
      </c>
      <c r="AB25" s="927">
        <v>0</v>
      </c>
      <c r="AC25" s="927">
        <v>0</v>
      </c>
      <c r="AD25" s="927">
        <v>0</v>
      </c>
      <c r="AE25" s="927">
        <v>0</v>
      </c>
      <c r="AF25" s="927">
        <v>0</v>
      </c>
      <c r="AG25" s="927">
        <v>0</v>
      </c>
      <c r="AH25" s="927">
        <v>0</v>
      </c>
      <c r="AI25" s="927">
        <v>0</v>
      </c>
      <c r="AJ25" s="927">
        <v>0</v>
      </c>
      <c r="AK25" s="927">
        <v>0</v>
      </c>
      <c r="AL25" s="927">
        <v>0</v>
      </c>
      <c r="AM25" s="927">
        <v>0</v>
      </c>
      <c r="AN25" s="927">
        <v>0</v>
      </c>
      <c r="AO25" s="927">
        <v>0</v>
      </c>
      <c r="AP25" s="927">
        <v>0</v>
      </c>
      <c r="AQ25" s="927">
        <v>0</v>
      </c>
      <c r="AR25" s="927">
        <v>0</v>
      </c>
      <c r="AS25" s="927">
        <v>0</v>
      </c>
      <c r="AT25" s="927">
        <v>0</v>
      </c>
      <c r="AU25" s="927">
        <v>0</v>
      </c>
      <c r="AV25" s="927">
        <v>0</v>
      </c>
      <c r="AW25" s="927">
        <v>0</v>
      </c>
      <c r="AX25" s="927">
        <v>0</v>
      </c>
      <c r="AY25" s="927">
        <v>0</v>
      </c>
      <c r="AZ25" s="927">
        <v>0</v>
      </c>
      <c r="BA25" s="927">
        <v>0</v>
      </c>
      <c r="BB25" s="927">
        <v>0</v>
      </c>
      <c r="BC25" s="927">
        <v>0</v>
      </c>
      <c r="BD25" s="927">
        <v>0</v>
      </c>
      <c r="BE25" s="927">
        <v>0</v>
      </c>
      <c r="BF25" s="927">
        <v>0</v>
      </c>
      <c r="BG25" s="927">
        <v>0</v>
      </c>
      <c r="BH25" s="927">
        <v>0</v>
      </c>
      <c r="BI25" s="927">
        <v>0</v>
      </c>
      <c r="BJ25" s="927">
        <v>0</v>
      </c>
      <c r="BK25" s="927">
        <v>0</v>
      </c>
      <c r="BL25" s="927">
        <v>0</v>
      </c>
      <c r="BM25" s="927">
        <v>0</v>
      </c>
      <c r="BN25" s="927">
        <v>0</v>
      </c>
      <c r="BO25" s="927">
        <v>0</v>
      </c>
      <c r="BP25" s="927">
        <v>0</v>
      </c>
      <c r="BQ25" s="927">
        <v>0</v>
      </c>
      <c r="BR25" s="927">
        <v>0</v>
      </c>
      <c r="BS25" s="927">
        <v>0</v>
      </c>
      <c r="BT25" s="927">
        <v>0</v>
      </c>
      <c r="BU25" s="927">
        <v>0</v>
      </c>
      <c r="BV25" s="927">
        <v>0</v>
      </c>
      <c r="BW25" s="927">
        <v>0</v>
      </c>
      <c r="BX25" s="927">
        <v>0</v>
      </c>
      <c r="BY25" s="927">
        <v>0</v>
      </c>
      <c r="BZ25" s="927">
        <v>0</v>
      </c>
      <c r="CA25" s="927">
        <v>0</v>
      </c>
      <c r="CB25" s="927">
        <v>0</v>
      </c>
      <c r="CC25" s="927">
        <v>0</v>
      </c>
      <c r="CD25" s="927">
        <v>0</v>
      </c>
      <c r="CE25" s="927">
        <v>0</v>
      </c>
      <c r="CF25" s="927">
        <v>0</v>
      </c>
      <c r="CG25" s="927">
        <v>0</v>
      </c>
      <c r="CH25" s="927">
        <v>0</v>
      </c>
      <c r="CI25" s="927">
        <v>0</v>
      </c>
      <c r="CJ25" s="927">
        <v>0</v>
      </c>
      <c r="CK25" s="927">
        <v>0</v>
      </c>
      <c r="CL25" s="927">
        <v>0</v>
      </c>
      <c r="CM25" s="927">
        <v>0</v>
      </c>
      <c r="CN25" s="927">
        <v>0</v>
      </c>
      <c r="CO25" s="927">
        <v>0</v>
      </c>
      <c r="CP25" s="927">
        <v>0</v>
      </c>
      <c r="CQ25" s="927">
        <v>0</v>
      </c>
      <c r="CR25" s="927">
        <v>0</v>
      </c>
      <c r="CS25" s="927">
        <v>0</v>
      </c>
      <c r="CT25" s="927">
        <v>0</v>
      </c>
      <c r="CU25" s="927">
        <v>0</v>
      </c>
      <c r="CV25" s="927">
        <v>0</v>
      </c>
      <c r="CW25" s="927">
        <v>0</v>
      </c>
      <c r="CX25" s="927">
        <v>0</v>
      </c>
      <c r="CY25" s="927">
        <v>0</v>
      </c>
      <c r="CZ25" s="927">
        <v>0</v>
      </c>
      <c r="DA25" s="927">
        <v>0</v>
      </c>
      <c r="DB25" s="927">
        <v>0</v>
      </c>
      <c r="DC25" s="927">
        <v>0</v>
      </c>
      <c r="DD25" s="927">
        <v>0</v>
      </c>
      <c r="DE25" s="927">
        <v>0</v>
      </c>
      <c r="DF25" s="927">
        <v>0</v>
      </c>
      <c r="DG25" s="927">
        <v>0</v>
      </c>
      <c r="DH25" s="927">
        <v>0</v>
      </c>
      <c r="DI25" s="927">
        <v>0</v>
      </c>
      <c r="DJ25" s="927">
        <v>0</v>
      </c>
      <c r="DK25" s="927">
        <v>0</v>
      </c>
      <c r="DL25" s="927">
        <v>0</v>
      </c>
      <c r="DM25" s="927">
        <v>0</v>
      </c>
      <c r="DN25" s="927">
        <v>0</v>
      </c>
      <c r="DO25" s="927">
        <v>0</v>
      </c>
      <c r="DP25" s="927">
        <v>0</v>
      </c>
      <c r="DQ25" s="927">
        <v>0</v>
      </c>
      <c r="DR25" s="927">
        <v>0</v>
      </c>
      <c r="DS25" s="927">
        <v>0</v>
      </c>
      <c r="DT25" s="927">
        <v>0</v>
      </c>
      <c r="DU25" s="927">
        <v>0</v>
      </c>
      <c r="DV25" s="927">
        <v>0</v>
      </c>
      <c r="DW25" s="927">
        <v>0</v>
      </c>
      <c r="DX25" s="927">
        <v>0</v>
      </c>
      <c r="DY25" s="927">
        <v>0</v>
      </c>
      <c r="DZ25" s="927">
        <v>0</v>
      </c>
      <c r="EA25" s="927">
        <v>0</v>
      </c>
      <c r="EB25" s="927">
        <v>0</v>
      </c>
      <c r="EC25" s="927">
        <v>0</v>
      </c>
      <c r="ED25" s="927">
        <v>0</v>
      </c>
      <c r="EE25" s="927">
        <v>0</v>
      </c>
      <c r="EF25" s="927">
        <v>0</v>
      </c>
      <c r="EG25" s="927">
        <v>0</v>
      </c>
      <c r="EH25" s="927">
        <v>0</v>
      </c>
      <c r="EI25" s="927">
        <v>0</v>
      </c>
      <c r="EJ25" s="927">
        <v>0</v>
      </c>
      <c r="EK25" s="927">
        <v>0</v>
      </c>
      <c r="EL25" s="927">
        <v>0</v>
      </c>
      <c r="EM25" s="927">
        <v>0</v>
      </c>
      <c r="EN25" s="927">
        <v>0</v>
      </c>
      <c r="EO25" s="927">
        <v>0</v>
      </c>
      <c r="EP25" s="927">
        <v>0</v>
      </c>
      <c r="EQ25" s="927">
        <v>0</v>
      </c>
      <c r="ER25" s="927">
        <v>0</v>
      </c>
      <c r="ES25" s="927">
        <v>0</v>
      </c>
      <c r="ET25" s="927">
        <v>0</v>
      </c>
      <c r="EU25" s="927">
        <v>0</v>
      </c>
      <c r="EV25" s="927">
        <v>0</v>
      </c>
      <c r="EW25" s="927">
        <v>0</v>
      </c>
      <c r="EX25" s="927">
        <v>0</v>
      </c>
      <c r="EY25" s="927">
        <v>0</v>
      </c>
      <c r="EZ25" s="927">
        <v>0</v>
      </c>
      <c r="FA25" s="927">
        <v>0</v>
      </c>
      <c r="FB25" s="927">
        <v>0</v>
      </c>
      <c r="FC25" s="927">
        <v>0</v>
      </c>
      <c r="FD25" s="927">
        <v>0</v>
      </c>
      <c r="FE25" s="927">
        <v>0</v>
      </c>
      <c r="FF25" s="927">
        <v>0</v>
      </c>
      <c r="FG25" s="927">
        <v>0</v>
      </c>
      <c r="FH25" s="927">
        <v>0</v>
      </c>
      <c r="FI25" s="927">
        <v>0</v>
      </c>
      <c r="FJ25" s="927">
        <v>0</v>
      </c>
      <c r="FK25" s="927">
        <v>0</v>
      </c>
      <c r="FL25" s="927">
        <v>0</v>
      </c>
      <c r="FM25" s="927">
        <v>0</v>
      </c>
      <c r="FN25" s="927">
        <v>0</v>
      </c>
      <c r="FO25" s="927">
        <v>0</v>
      </c>
      <c r="FP25" s="927">
        <v>0</v>
      </c>
      <c r="FQ25" s="927">
        <v>0</v>
      </c>
      <c r="FR25" s="927">
        <v>0</v>
      </c>
      <c r="FS25" s="927">
        <v>0</v>
      </c>
      <c r="FT25" s="927">
        <v>0</v>
      </c>
      <c r="FU25" s="927">
        <v>0</v>
      </c>
      <c r="FV25" s="927">
        <v>0</v>
      </c>
      <c r="FW25" s="927">
        <v>0</v>
      </c>
      <c r="FX25" s="927">
        <v>8</v>
      </c>
      <c r="FY25" s="927">
        <v>8</v>
      </c>
      <c r="FZ25" s="927">
        <v>8</v>
      </c>
      <c r="GA25" s="927">
        <v>8</v>
      </c>
      <c r="GB25" s="927">
        <v>8</v>
      </c>
      <c r="GC25" s="927">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CD0488D-6B0B-0464-BE02-0.8C43F35}" mc:Ignorable="x14ac xr xr2 xr3">
  <sheetPr>
    <tabColor theme="2" tint="-0.1"/>
  </sheetPr>
  <dimension ref="A1:S23"/>
  <sheetViews>
    <sheetView topLeftCell="A1" showGridLines="0" zoomScale="90" workbookViewId="0">
      <selection activeCell="A1" sqref="A1"/>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36.00390625" customWidth="1"/>
    <col min="6" max="6" style="1636" width="9.00390625" customWidth="1"/>
    <col min="7" max="7" style="1636" width="42.421875" hidden="1" customWidth="1"/>
    <col min="8" max="8" style="1636" width="40.7109375" customWidth="1"/>
    <col min="9" max="9" style="1367" width="93.00390625" customWidth="1"/>
    <col min="10" max="17" style="1636" width="10.00390625" customWidth="1"/>
    <col min="18" max="18" style="676" width="10.00390625" customWidth="1"/>
    <col min="19" max="19" style="1636" width="10.57421875" hidden="1"/>
  </cols>
  <sheetData>
    <row s="1367" customFormat="1" customHeight="1" ht="15" hidden="1">
      <c r="C1" s="673"/>
      <c r="H1" s="418">
        <v>4</v>
      </c>
      <c r="R1" s="421"/>
      <c r="S1" s="418" t="s">
        <v>14</v>
      </c>
    </row>
    <row customHeight="1" ht="22.5" hidden="1">
      <c r="C2" s="1929" t="s">
        <v>234</v>
      </c>
      <c r="D2" s="540"/>
      <c r="E2" s="664"/>
      <c r="F2" s="1762" t="str">
        <f>IF(TEMPLATE_SPHERE="HEAT","Гкал/час","тыс. куб. м/сутки")</f>
        <v>тыс. куб. м/сутки</v>
      </c>
      <c r="G2" s="681"/>
      <c r="H2" s="681"/>
      <c r="I2" s="290"/>
      <c r="S2" s="506">
        <v>0</v>
      </c>
    </row>
    <row s="1367" customFormat="1" customHeight="1" ht="15" hidden="1">
      <c r="C3" s="673"/>
      <c r="R3" s="421"/>
      <c r="S3" s="418">
        <v>0</v>
      </c>
    </row>
    <row customHeight="1" ht="15.75">
      <c r="C4" s="177"/>
      <c r="D4" s="510"/>
      <c r="E4" s="510"/>
      <c r="F4" s="510"/>
      <c r="G4" s="510"/>
      <c r="H4" s="510"/>
      <c r="S4" s="506">
        <v>15</v>
      </c>
    </row>
    <row customHeight="1" ht="39.75">
      <c r="C5" s="177"/>
      <c r="D5" s="2238"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2238"/>
      <c r="F5" s="2238"/>
      <c r="G5" s="2238"/>
      <c r="H5" s="2238"/>
      <c r="I5" s="538"/>
      <c r="S5" s="506">
        <v>38</v>
      </c>
    </row>
    <row customHeight="1" ht="15.75">
      <c r="C6" s="177"/>
      <c r="D6" s="2177" t="str">
        <f>IF(org=0,"Не определено",org)</f>
        <v>ИМУП «ПОСЖИЛКОМСЕРВИС»</v>
      </c>
      <c r="E6" s="2177"/>
      <c r="F6" s="2177"/>
      <c r="G6" s="2177"/>
      <c r="H6" s="2177"/>
      <c r="I6" s="538"/>
      <c r="S6" s="506">
        <v>15</v>
      </c>
    </row>
    <row s="1636" customFormat="1" customHeight="1" ht="15.75">
      <c r="A7" s="760"/>
      <c r="C7" s="177"/>
      <c r="D7" s="677"/>
      <c r="E7" s="677"/>
      <c r="F7" s="677"/>
      <c r="G7" s="677"/>
      <c r="H7" s="753"/>
      <c r="I7" s="538"/>
      <c r="R7" s="676"/>
      <c r="S7" s="759">
        <v>15</v>
      </c>
    </row>
    <row customHeight="1" ht="1.05">
      <c r="C8" s="177"/>
      <c r="D8" s="510"/>
      <c r="E8" s="510"/>
      <c r="F8" s="510"/>
      <c r="G8" s="510"/>
      <c r="H8" s="538" t="s">
        <v>120</v>
      </c>
      <c r="S8" s="506">
        <v>1</v>
      </c>
    </row>
    <row customHeight="1" ht="15.75">
      <c r="C9" s="177"/>
      <c r="D9" s="712"/>
      <c r="E9" s="2368" t="s">
        <v>108</v>
      </c>
      <c r="F9" s="2369"/>
      <c r="G9" s="817" t="str">
        <f>IF(G8="","",INDEX(DIFFERENTIATION_UNMERGE_VD,MATCH(G8,DIFFERENTIATION_ID_DIFF,0)))</f>
        <v/>
      </c>
      <c r="H9" s="817">
        <f>IF(H8="","",INDEX(DIFFERENTIATION_UNMERGE_VD,MATCH(H8,DIFFERENTIATION_ID_DIFF,0)))</f>
        <v>0</v>
      </c>
      <c r="I9" s="2128" t="s">
        <v>313</v>
      </c>
      <c r="S9" s="506">
        <v>15</v>
      </c>
    </row>
    <row s="1636" customFormat="1" customHeight="1" ht="15.75">
      <c r="A10" s="760"/>
      <c r="C10" s="177"/>
      <c r="D10" s="712"/>
      <c r="E10" s="2368" t="s">
        <v>575</v>
      </c>
      <c r="F10" s="2369"/>
      <c r="G10" s="817" t="str">
        <f>IF(G8="","",INDEX(DIFFERENTIATION_UNMERGE_AREA,MATCH(G8,DIFFERENTIATION_ID_DIFF,0)))</f>
        <v/>
      </c>
      <c r="H10" s="817" t="str">
        <f>IF(H8="","",INDEX(DIFFERENTIATION_UNMERGE_AREA,MATCH(H8,DIFFERENTIATION_ID_DIFF,0)))</f>
        <v/>
      </c>
      <c r="I10" s="2128"/>
      <c r="R10" s="676"/>
      <c r="S10" s="759">
        <v>15</v>
      </c>
    </row>
    <row s="1636" customFormat="1" customHeight="1" ht="15.75">
      <c r="A11" s="760"/>
      <c r="C11" s="177"/>
      <c r="D11" s="712"/>
      <c r="E11" s="2368" t="s">
        <v>576</v>
      </c>
      <c r="F11" s="2369"/>
      <c r="G11" s="817" t="str">
        <f>IF(G8="","",INDEX(DIFFERENTIATION_UNMERGE_SYSTEM,MATCH(G8,DIFFERENTIATION_ID_DIFF,0)))</f>
        <v/>
      </c>
      <c r="H11" s="817" t="str">
        <f>IF(H8="","",INDEX(DIFFERENTIATION_UNMERGE_SYSTEM,MATCH(H8,DIFFERENTIATION_ID_DIFF,0)))</f>
        <v>без дифференциации</v>
      </c>
      <c r="I11" s="2128"/>
      <c r="R11" s="676"/>
      <c r="S11" s="759">
        <v>15</v>
      </c>
    </row>
    <row s="1636" customFormat="1" customHeight="1" ht="15.75">
      <c r="A12" s="760"/>
      <c r="C12" s="177"/>
      <c r="D12" s="2370" t="s">
        <v>312</v>
      </c>
      <c r="E12" s="2371"/>
      <c r="F12" s="2371"/>
      <c r="G12" s="888"/>
      <c r="H12" s="888"/>
      <c r="I12" s="2128"/>
      <c r="R12" s="676"/>
      <c r="S12" s="759">
        <v>15</v>
      </c>
    </row>
    <row customHeight="1" ht="35.699999999999996">
      <c r="C13" s="177"/>
      <c r="D13" s="762" t="s">
        <v>90</v>
      </c>
      <c r="E13" s="761" t="s">
        <v>314</v>
      </c>
      <c r="F13" s="761" t="s">
        <v>577</v>
      </c>
      <c r="G13" s="809" t="s">
        <v>315</v>
      </c>
      <c r="H13" s="755" t="s">
        <v>315</v>
      </c>
      <c r="I13" s="2128"/>
      <c r="S13" s="506">
        <v>34</v>
      </c>
    </row>
    <row customHeight="1" ht="15" hidden="1">
      <c r="C14" s="177"/>
      <c r="D14" s="594" t="s">
        <v>112</v>
      </c>
      <c r="E14" s="594" t="s">
        <v>113</v>
      </c>
      <c r="F14" s="594" t="s">
        <v>92</v>
      </c>
      <c r="G14" s="660" t="str">
        <f>G1&amp;".1"</f>
        <v>.1</v>
      </c>
      <c r="H14" s="660" t="str">
        <f>H1&amp;".1"</f>
        <v>4.1</v>
      </c>
      <c r="I14" s="290"/>
      <c r="S14" s="506">
        <v>0</v>
      </c>
    </row>
    <row customHeight="1" ht="15.75">
      <c r="A15" s="506"/>
      <c r="C15" s="527"/>
      <c r="D15" s="522">
        <v>1</v>
      </c>
      <c r="E15" s="1931" t="str">
        <f>TP_P_A</f>
        <v>Количество поданных заявлений </v>
      </c>
      <c r="F15" s="522" t="s">
        <v>1125</v>
      </c>
      <c r="G15" s="686"/>
      <c r="H15" s="686"/>
      <c r="I15" s="209"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S15" s="506">
        <v>15</v>
      </c>
    </row>
    <row customHeight="1" ht="15.75">
      <c r="A16" s="506"/>
      <c r="C16" s="527"/>
      <c r="D16" s="522">
        <v>2</v>
      </c>
      <c r="E16" s="1931" t="str">
        <f>TP_P_B</f>
        <v>Количество исполненных заявлений </v>
      </c>
      <c r="F16" s="522" t="s">
        <v>1125</v>
      </c>
      <c r="G16" s="686"/>
      <c r="H16" s="686"/>
      <c r="I16" s="209"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S16" s="506">
        <v>15</v>
      </c>
    </row>
    <row customHeight="1" ht="77.7">
      <c r="A17" s="506"/>
      <c r="C17" s="527"/>
      <c r="D17" s="522">
        <v>3</v>
      </c>
      <c r="E17" s="1931"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522" t="s">
        <v>1125</v>
      </c>
      <c r="G17" s="686"/>
      <c r="H17" s="686"/>
      <c r="I17" s="209"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S17" s="506">
        <v>74</v>
      </c>
    </row>
    <row customHeight="1" ht="54.75">
      <c r="A18" s="506"/>
      <c r="C18" s="527"/>
      <c r="D18" s="522">
        <v>4</v>
      </c>
      <c r="E18" s="1931" t="str">
        <f>TP_P_V_1</f>
        <v>Причины отказа в заключении договора о подключении (технологическом присоединении) к централизованной системе холодного водоснабжения</v>
      </c>
      <c r="F18" s="522" t="s">
        <v>318</v>
      </c>
      <c r="G18" s="687"/>
      <c r="H18" s="687"/>
      <c r="I18" s="839"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506">
        <v>52</v>
      </c>
    </row>
    <row customHeight="1" ht="60">
      <c r="A19" s="506"/>
      <c r="C19" s="527"/>
      <c r="D19" s="522">
        <v>5</v>
      </c>
      <c r="E19" s="1931"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522" t="str">
        <f>IF(TEMPLATE_SPHERE="HEAT","Гкал/час","тыс. куб. м/сутки")</f>
        <v>тыс. куб. м/сутки</v>
      </c>
      <c r="G19" s="688">
        <f>SUM(G20:G22)</f>
        <v>0</v>
      </c>
      <c r="H19" s="688">
        <f>SUM(H20:H22)</f>
        <v>0</v>
      </c>
      <c r="I19" s="209"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S19" s="506">
        <v>57</v>
      </c>
    </row>
    <row customHeight="1" ht="15" hidden="1">
      <c r="D20" s="510" t="s">
        <v>1126</v>
      </c>
      <c r="E20" s="689"/>
      <c r="F20" s="510"/>
      <c r="G20" s="510"/>
      <c r="H20" s="510"/>
      <c r="I20" s="1764"/>
      <c r="S20" s="506">
        <v>0</v>
      </c>
    </row>
    <row customHeight="1" ht="29.25">
      <c r="C21" s="452"/>
      <c r="D21" s="540" t="s">
        <v>325</v>
      </c>
      <c r="E21" s="671"/>
      <c r="F21" s="1762" t="str">
        <f>IF(TEMPLATE_SPHERE="HEAT","Гкал/час","тыс. куб. м/сутки")</f>
        <v>тыс. куб. м/сутки</v>
      </c>
      <c r="G21" s="681"/>
      <c r="H21" s="681"/>
      <c r="I21" s="2170"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S21" s="506">
        <v>28</v>
      </c>
    </row>
    <row customHeight="1" ht="15.75">
      <c r="A22" s="506"/>
      <c r="C22" s="506"/>
      <c r="D22" s="348"/>
      <c r="E22" s="581" t="s">
        <v>1127</v>
      </c>
      <c r="F22" s="573"/>
      <c r="G22" s="573"/>
      <c r="H22" s="573"/>
      <c r="I22" s="2172"/>
      <c r="R22" s="506"/>
      <c r="S22" s="506">
        <v>15</v>
      </c>
    </row>
    <row customHeight="1" ht="22.5" hidden="1">
      <c r="A23" s="450" t="s">
        <v>84</v>
      </c>
      <c r="B23" s="506">
        <v>0</v>
      </c>
      <c r="C23" s="684">
        <v>4</v>
      </c>
      <c r="D23" s="506">
        <v>6</v>
      </c>
      <c r="E23" s="506">
        <v>36</v>
      </c>
      <c r="F23" s="506">
        <v>9</v>
      </c>
      <c r="G23" s="759">
        <v>0</v>
      </c>
      <c r="H23" s="506">
        <v>40</v>
      </c>
      <c r="I23" s="418">
        <v>93</v>
      </c>
      <c r="J23" s="506">
        <v>10</v>
      </c>
      <c r="K23" s="506">
        <v>10</v>
      </c>
      <c r="L23" s="506">
        <v>10</v>
      </c>
      <c r="M23" s="506">
        <v>10</v>
      </c>
      <c r="N23" s="506">
        <v>10</v>
      </c>
      <c r="O23" s="506">
        <v>10</v>
      </c>
      <c r="P23" s="506">
        <v>10</v>
      </c>
      <c r="Q23" s="506">
        <v>10</v>
      </c>
      <c r="R23" s="676">
        <v>10</v>
      </c>
      <c r="S23" s="506">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EAEF07C-734F-CE6C-BBC4-0.4096C5EB}" mc:Ignorable="x14ac xr xr2 xr3">
  <sheetPr>
    <tabColor theme="6" tint="0.4"/>
    <pageSetUpPr fitToPage="1"/>
  </sheetPr>
  <dimension ref="A1:Q32"/>
  <sheetViews>
    <sheetView topLeftCell="A1" showGridLines="0" zoomScale="90" workbookViewId="0">
      <selection activeCell="A1" sqref="A1"/>
    </sheetView>
  </sheetViews>
  <sheetFormatPr defaultColWidth="10.57421875" customHeight="1" defaultRowHeight="14.25"/>
  <cols>
    <col min="1" max="1" style="2398" width="9.140625" hidden="1" customWidth="1"/>
    <col min="2" max="2" style="1367" width="9.140625" hidden="1" customWidth="1"/>
    <col min="3" max="3" style="345" width="3.00390625" customWidth="1"/>
    <col min="4" max="4" style="1636" width="6.00390625" customWidth="1"/>
    <col min="5" max="6" style="1636" width="64.00390625" customWidth="1"/>
    <col min="7" max="7" style="1636" width="140.00390625" customWidth="1"/>
    <col min="8" max="8" style="1636" width="10.00390625" customWidth="1"/>
    <col min="9" max="10" style="1625" width="10.00390625" customWidth="1"/>
    <col min="11" max="16" style="1636" width="10.00390625" customWidth="1"/>
    <col min="17" max="17" style="1636" width="10.57421875" hidden="1"/>
  </cols>
  <sheetData>
    <row customHeight="1" ht="22.5" hidden="1">
      <c r="M1" s="256"/>
      <c r="N1" s="256"/>
      <c r="P1" s="256"/>
      <c r="Q1" s="84" t="s">
        <v>14</v>
      </c>
    </row>
    <row customHeight="1" ht="14.25" hidden="1">
      <c r="Q2" s="84">
        <v>0</v>
      </c>
    </row>
    <row customHeight="1" ht="14.25" hidden="1">
      <c r="Q3" s="84">
        <v>0</v>
      </c>
    </row>
    <row customHeight="1" ht="3">
      <c r="C4" s="97"/>
      <c r="D4" s="85"/>
      <c r="E4" s="85"/>
      <c r="F4" s="86"/>
      <c r="G4" s="86"/>
      <c r="Q4" s="84">
        <v>3</v>
      </c>
    </row>
    <row customHeight="1" ht="29.25">
      <c r="C5" s="97"/>
      <c r="D5" s="2455"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2456"/>
      <c r="F5" s="2456"/>
      <c r="G5" s="2457"/>
      <c r="Q5" s="84">
        <v>28</v>
      </c>
    </row>
    <row s="1636" customFormat="1" customHeight="1" ht="18.75">
      <c r="A6" s="883"/>
      <c r="B6" s="418"/>
      <c r="C6" s="377"/>
      <c r="D6" s="2458" t="str">
        <f>IF(org=0,"Не определено",org)</f>
        <v>ИМУП «ПОСЖИЛКОМСЕРВИС»</v>
      </c>
      <c r="E6" s="2459"/>
      <c r="F6" s="2459"/>
      <c r="G6" s="2460"/>
      <c r="I6" s="501"/>
      <c r="J6" s="501"/>
      <c r="Q6" s="759">
        <v>18</v>
      </c>
    </row>
    <row customHeight="1" ht="14.699999999999998">
      <c r="C7" s="97"/>
      <c r="D7" s="85"/>
      <c r="E7" s="96"/>
      <c r="F7" s="753"/>
      <c r="G7" s="194"/>
      <c r="Q7" s="84">
        <v>14</v>
      </c>
    </row>
    <row s="1636" customFormat="1" customHeight="1" ht="1.05">
      <c r="A8" s="1670"/>
      <c r="B8" s="1161"/>
      <c r="C8" s="377"/>
      <c r="D8" s="364"/>
      <c r="E8" s="390"/>
      <c r="F8" s="753"/>
      <c r="G8" s="194"/>
      <c r="I8" s="1625"/>
      <c r="J8" s="1625"/>
      <c r="Q8" s="1632">
        <v>1</v>
      </c>
    </row>
    <row customHeight="1" ht="14.699999999999998">
      <c r="C9" s="97"/>
      <c r="D9" s="2210" t="s">
        <v>312</v>
      </c>
      <c r="E9" s="2210"/>
      <c r="F9" s="2210"/>
      <c r="G9" s="2390" t="s">
        <v>313</v>
      </c>
      <c r="Q9" s="84">
        <v>14</v>
      </c>
    </row>
    <row customHeight="1" ht="24">
      <c r="C10" s="97"/>
      <c r="D10" s="106" t="s">
        <v>90</v>
      </c>
      <c r="E10" s="109" t="s">
        <v>314</v>
      </c>
      <c r="F10" s="109" t="s">
        <v>402</v>
      </c>
      <c r="G10" s="2390"/>
      <c r="Q10" s="84">
        <v>23</v>
      </c>
    </row>
    <row customHeight="1" ht="12" hidden="1">
      <c r="C11" s="97"/>
      <c r="D11" s="88"/>
      <c r="E11" s="88"/>
      <c r="F11" s="88"/>
      <c r="G11" s="88"/>
      <c r="Q11" s="84">
        <v>0</v>
      </c>
    </row>
    <row customHeight="1" ht="65.25">
      <c r="A12" s="193"/>
      <c r="C12" s="97"/>
      <c r="D12" s="148">
        <v>1</v>
      </c>
      <c r="E12" s="198"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199" t="s">
        <v>318</v>
      </c>
      <c r="G12" s="152"/>
      <c r="Q12" s="84">
        <v>62</v>
      </c>
    </row>
    <row customHeight="1" ht="24">
      <c r="A13" s="193"/>
      <c r="C13" s="97"/>
      <c r="D13" s="148" t="s">
        <v>1032</v>
      </c>
      <c r="E13" s="195"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99" t="s">
        <v>318</v>
      </c>
      <c r="G13" s="152"/>
      <c r="Q13" s="84">
        <v>23</v>
      </c>
    </row>
    <row customHeight="1" ht="14.699999999999998">
      <c r="A14" s="193"/>
      <c r="C14" s="97"/>
      <c r="D14" s="148" t="s">
        <v>1068</v>
      </c>
      <c r="E14" s="196"/>
      <c r="F14" s="214"/>
      <c r="G14" s="2170"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4">
        <v>14</v>
      </c>
    </row>
    <row customHeight="1" ht="15.75">
      <c r="A15" s="193"/>
      <c r="C15" s="97"/>
      <c r="D15" s="110"/>
      <c r="E15" s="350" t="s">
        <v>1128</v>
      </c>
      <c r="F15" s="202"/>
      <c r="G15" s="2172"/>
      <c r="Q15" s="84">
        <v>15</v>
      </c>
    </row>
    <row customHeight="1" ht="14.699999999999998">
      <c r="A16" s="193"/>
      <c r="C16" s="97"/>
      <c r="D16" s="148" t="s">
        <v>1034</v>
      </c>
      <c r="E16" s="195"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16" s="199" t="s">
        <v>318</v>
      </c>
      <c r="G16" s="338"/>
      <c r="Q16" s="84">
        <v>14</v>
      </c>
    </row>
    <row customHeight="1" ht="14.699999999999998">
      <c r="A17" s="193"/>
      <c r="C17" s="97"/>
      <c r="D17" s="148" t="s">
        <v>1076</v>
      </c>
      <c r="E17" s="196"/>
      <c r="F17" s="386"/>
      <c r="G17" s="2170"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c r="Q17" s="84">
        <v>14</v>
      </c>
    </row>
    <row s="1636" customFormat="1" customHeight="1" ht="22.049999999999997">
      <c r="A18" s="344"/>
      <c r="B18" s="147"/>
      <c r="C18" s="308"/>
      <c r="D18" s="348"/>
      <c r="E18" s="350" t="s">
        <v>1129</v>
      </c>
      <c r="F18" s="339"/>
      <c r="G18" s="2172"/>
      <c r="I18" s="351"/>
      <c r="J18" s="351"/>
      <c r="Q18" s="343">
        <v>21</v>
      </c>
    </row>
    <row s="1636" customFormat="1" customHeight="1" ht="256.5" hidden="1">
      <c r="A19" s="344"/>
      <c r="B19" s="418"/>
      <c r="C19" s="377"/>
      <c r="D19" s="885" t="s">
        <v>1036</v>
      </c>
      <c r="E19" s="884" t="s">
        <v>1130</v>
      </c>
      <c r="F19" s="386"/>
      <c r="G19" s="338" t="s">
        <v>1131</v>
      </c>
      <c r="I19" s="501"/>
      <c r="J19" s="501"/>
      <c r="Q19" s="759">
        <v>0</v>
      </c>
    </row>
    <row s="1636" customFormat="1" customHeight="1" ht="14.699999999999998">
      <c r="A20" s="344"/>
      <c r="B20" s="147"/>
      <c r="C20" s="308"/>
      <c r="D20" s="886">
        <v>2</v>
      </c>
      <c r="E20" s="331" t="s">
        <v>1132</v>
      </c>
      <c r="F20" s="199" t="s">
        <v>318</v>
      </c>
      <c r="G20" s="338"/>
      <c r="I20" s="351"/>
      <c r="J20" s="351"/>
      <c r="Q20" s="343">
        <v>14</v>
      </c>
    </row>
    <row s="1636" customFormat="1" customHeight="1" ht="18.75" hidden="1">
      <c r="A21" s="344"/>
      <c r="B21" s="147"/>
      <c r="C21" s="308"/>
      <c r="D21" s="334" t="s">
        <v>647</v>
      </c>
      <c r="E21" s="333"/>
      <c r="F21" s="332"/>
      <c r="G21" s="342"/>
      <c r="H21" s="335"/>
      <c r="I21" s="351"/>
      <c r="J21" s="351"/>
      <c r="Q21" s="343">
        <v>0</v>
      </c>
    </row>
    <row customHeight="1" ht="15.75">
      <c r="A22" s="193"/>
      <c r="C22" s="97"/>
      <c r="D22" s="110"/>
      <c r="E22" s="204" t="s">
        <v>334</v>
      </c>
      <c r="F22" s="339"/>
      <c r="G22" s="340"/>
      <c r="Q22" s="84">
        <v>15</v>
      </c>
    </row>
    <row s="1636" customFormat="1" customHeight="1" ht="22.5" hidden="1">
      <c r="A23" s="344"/>
      <c r="B23" s="1161"/>
      <c r="C23" s="377"/>
      <c r="D23" s="1674" t="s">
        <v>113</v>
      </c>
      <c r="E23" s="198" t="s">
        <v>1133</v>
      </c>
      <c r="F23" s="1671" t="s">
        <v>318</v>
      </c>
      <c r="G23" s="346"/>
      <c r="I23" s="1625"/>
      <c r="J23" s="1625"/>
      <c r="Q23" s="1632">
        <v>0</v>
      </c>
    </row>
    <row s="1636" customFormat="1" customHeight="1" ht="14.25" hidden="1">
      <c r="A24" s="344"/>
      <c r="B24" s="1161"/>
      <c r="C24" s="377"/>
      <c r="D24" s="1674" t="s">
        <v>719</v>
      </c>
      <c r="E24" s="1673" t="s">
        <v>1134</v>
      </c>
      <c r="F24" s="1671" t="s">
        <v>318</v>
      </c>
      <c r="G24" s="338"/>
      <c r="I24" s="1625"/>
      <c r="J24" s="1625"/>
      <c r="Q24" s="1632">
        <v>0</v>
      </c>
    </row>
    <row s="1636" customFormat="1" customHeight="1" ht="14.25" hidden="1">
      <c r="A25" s="344"/>
      <c r="B25" s="1161"/>
      <c r="C25" s="377"/>
      <c r="D25" s="1674" t="s">
        <v>722</v>
      </c>
      <c r="E25" s="196"/>
      <c r="F25" s="386"/>
      <c r="G25" s="2170" t="s">
        <v>1135</v>
      </c>
      <c r="I25" s="1625"/>
      <c r="J25" s="1625"/>
      <c r="Q25" s="1632">
        <v>0</v>
      </c>
    </row>
    <row s="1636" customFormat="1" customHeight="1" ht="22.5" hidden="1">
      <c r="A26" s="344"/>
      <c r="B26" s="1161"/>
      <c r="C26" s="377"/>
      <c r="D26" s="348"/>
      <c r="E26" s="350" t="s">
        <v>1136</v>
      </c>
      <c r="F26" s="339"/>
      <c r="G26" s="2172"/>
      <c r="I26" s="1625"/>
      <c r="J26" s="1625"/>
      <c r="Q26" s="1632">
        <v>0</v>
      </c>
    </row>
    <row customHeight="1" ht="3">
      <c r="Q27" s="84">
        <v>3</v>
      </c>
    </row>
    <row customHeight="1" ht="14.699999999999998">
      <c r="D28" s="337"/>
      <c r="E28" s="336"/>
      <c r="F28" s="316"/>
      <c r="G28" s="316"/>
      <c r="H28" s="316"/>
      <c r="I28" s="316"/>
      <c r="J28" s="316"/>
      <c r="K28" s="316"/>
      <c r="L28" s="316"/>
      <c r="M28" s="316"/>
      <c r="N28" s="316"/>
      <c r="O28" s="316"/>
      <c r="P28" s="316"/>
      <c r="Q28" s="84">
        <v>14</v>
      </c>
    </row>
    <row customHeight="1" ht="14.699999999999998">
      <c r="D29" s="337"/>
      <c r="E29" s="583"/>
      <c r="Q29" s="84">
        <v>14</v>
      </c>
    </row>
    <row customHeight="1" ht="14.699999999999998">
      <c r="Q30" s="84">
        <v>14</v>
      </c>
    </row>
    <row customHeight="1" ht="14.699999999999998">
      <c r="E31" s="759"/>
      <c r="Q31" s="84">
        <v>14</v>
      </c>
    </row>
    <row customHeight="1" ht="22.5" hidden="1">
      <c r="A32" s="102" t="s">
        <v>84</v>
      </c>
      <c r="B32" s="147">
        <v>0</v>
      </c>
      <c r="C32" s="98">
        <v>3</v>
      </c>
      <c r="D32" s="84">
        <v>6</v>
      </c>
      <c r="E32" s="84">
        <v>64</v>
      </c>
      <c r="F32" s="84">
        <v>64</v>
      </c>
      <c r="G32" s="84">
        <v>140</v>
      </c>
      <c r="H32" s="84">
        <v>10</v>
      </c>
      <c r="I32" s="156">
        <v>10</v>
      </c>
      <c r="J32" s="156">
        <v>10</v>
      </c>
      <c r="K32" s="84">
        <v>10</v>
      </c>
      <c r="L32" s="84">
        <v>10</v>
      </c>
      <c r="M32" s="84">
        <v>10</v>
      </c>
      <c r="N32" s="84">
        <v>10</v>
      </c>
      <c r="O32" s="84">
        <v>10</v>
      </c>
      <c r="P32" s="84">
        <v>10</v>
      </c>
      <c r="Q32" s="84">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520A63A-C39E-74CF-2A3D-0.D5DA6161}" mc:Ignorable="x14ac xr xr2 xr3">
  <sheetPr>
    <tabColor theme="6" tint="0.4"/>
  </sheetPr>
  <dimension ref="A1:M43"/>
  <sheetViews>
    <sheetView topLeftCell="A1" showGridLines="0" zoomScale="90" workbookViewId="0">
      <selection activeCell="H23" sqref="H23"/>
    </sheetView>
  </sheetViews>
  <sheetFormatPr defaultColWidth="10.57421875" customHeight="1" defaultRowHeight="14.25"/>
  <cols>
    <col min="1" max="1" style="1777" width="9.140625" hidden="1" customWidth="1"/>
    <col min="2" max="2" style="1367" width="9.140625" hidden="1" customWidth="1"/>
    <col min="3" max="3" style="345" width="3.00390625" customWidth="1"/>
    <col min="4" max="4" style="1636" width="6.00390625" customWidth="1"/>
    <col min="5" max="5" style="1636" width="63.00390625" customWidth="1"/>
    <col min="6" max="6" style="1636" width="1.7109375" hidden="1" customWidth="1"/>
    <col min="7" max="8" style="1636" width="35.00390625" customWidth="1"/>
    <col min="9" max="9" style="1636" width="91.00390625" customWidth="1"/>
    <col min="10" max="10" style="1636" width="68.00390625" customWidth="1"/>
    <col min="11" max="12" style="1625" width="10.00390625" customWidth="1"/>
    <col min="13" max="13" style="1636" width="10.57421875" hidden="1"/>
  </cols>
  <sheetData>
    <row customHeight="1" ht="22.5" hidden="1">
      <c r="M1" s="84" t="s">
        <v>14</v>
      </c>
    </row>
    <row s="1636" customFormat="1" customHeight="1" ht="18.75" hidden="1">
      <c r="A2" s="1684"/>
      <c r="B2" s="1161"/>
      <c r="C2" s="1731" t="s">
        <v>234</v>
      </c>
      <c r="D2" s="1674"/>
      <c r="E2" s="200"/>
      <c r="F2" s="1671"/>
      <c r="G2" s="1671" t="s">
        <v>318</v>
      </c>
      <c r="H2" s="1162"/>
      <c r="K2" s="1625"/>
      <c r="L2" s="1625"/>
      <c r="M2" s="1632">
        <v>0</v>
      </c>
    </row>
    <row s="1636" customFormat="1" customHeight="1" ht="14.25" hidden="1">
      <c r="A3" s="1363"/>
      <c r="B3" s="1161"/>
      <c r="C3" s="345"/>
      <c r="K3" s="1625"/>
      <c r="L3" s="1625"/>
      <c r="M3" s="1632">
        <v>0</v>
      </c>
    </row>
    <row s="1636" customFormat="1" customHeight="1" ht="18.75" hidden="1">
      <c r="A4" s="1684"/>
      <c r="B4" s="1161"/>
      <c r="C4" s="1731" t="s">
        <v>234</v>
      </c>
      <c r="D4" s="1674"/>
      <c r="E4" s="206" t="s">
        <v>1137</v>
      </c>
      <c r="F4" s="1671"/>
      <c r="G4" s="258"/>
      <c r="H4" s="1671" t="s">
        <v>318</v>
      </c>
      <c r="K4" s="1625"/>
      <c r="L4" s="1625"/>
      <c r="M4" s="1632">
        <v>0</v>
      </c>
    </row>
    <row s="1636" customFormat="1" customHeight="1" ht="14.25" hidden="1">
      <c r="A5" s="1363"/>
      <c r="B5" s="1161"/>
      <c r="C5" s="345"/>
      <c r="K5" s="1625"/>
      <c r="L5" s="1625"/>
      <c r="M5" s="1632">
        <v>0</v>
      </c>
    </row>
    <row s="1636" customFormat="1" customHeight="1" ht="18.75" hidden="1">
      <c r="A6" s="1684"/>
      <c r="B6" s="1161"/>
      <c r="C6" s="1731" t="s">
        <v>234</v>
      </c>
      <c r="D6" s="1674"/>
      <c r="E6" s="207" t="s">
        <v>1138</v>
      </c>
      <c r="F6" s="1671"/>
      <c r="G6" s="258"/>
      <c r="H6" s="1671" t="s">
        <v>318</v>
      </c>
      <c r="K6" s="1625"/>
      <c r="L6" s="1625"/>
      <c r="M6" s="1632">
        <v>0</v>
      </c>
    </row>
    <row s="1636" customFormat="1" customHeight="1" ht="14.25" hidden="1">
      <c r="A7" s="1363"/>
      <c r="B7" s="1161"/>
      <c r="C7" s="345"/>
      <c r="K7" s="1625"/>
      <c r="L7" s="1625"/>
      <c r="M7" s="1632">
        <v>0</v>
      </c>
    </row>
    <row s="1636" customFormat="1" customHeight="1" ht="18.75" hidden="1">
      <c r="A8" s="1684"/>
      <c r="B8" s="1161"/>
      <c r="C8" s="1731" t="s">
        <v>234</v>
      </c>
      <c r="D8" s="1674"/>
      <c r="E8" s="207" t="s">
        <v>1139</v>
      </c>
      <c r="F8" s="1671"/>
      <c r="G8" s="258"/>
      <c r="H8" s="1671" t="s">
        <v>318</v>
      </c>
      <c r="K8" s="1625"/>
      <c r="L8" s="1625"/>
      <c r="M8" s="1632">
        <v>0</v>
      </c>
    </row>
    <row s="1636" customFormat="1" customHeight="1" ht="14.25" hidden="1">
      <c r="A9" s="1363"/>
      <c r="B9" s="1161"/>
      <c r="C9" s="345"/>
      <c r="K9" s="1625"/>
      <c r="L9" s="1625"/>
      <c r="M9" s="1632">
        <v>0</v>
      </c>
    </row>
    <row s="1636" customFormat="1" customHeight="1" ht="18.75" hidden="1">
      <c r="A10" s="1684"/>
      <c r="B10" s="1161"/>
      <c r="C10" s="1731" t="s">
        <v>234</v>
      </c>
      <c r="D10" s="1674"/>
      <c r="E10" s="207" t="s">
        <v>1140</v>
      </c>
      <c r="F10" s="1671"/>
      <c r="G10" s="1675"/>
      <c r="H10" s="1671" t="s">
        <v>318</v>
      </c>
      <c r="K10" s="1625"/>
      <c r="L10" s="1625" t="s">
        <v>1141</v>
      </c>
      <c r="M10" s="1632">
        <v>0</v>
      </c>
    </row>
    <row customHeight="1" ht="14.25" hidden="1">
      <c r="M11" s="84">
        <v>0</v>
      </c>
    </row>
    <row customHeight="1" ht="14.25" hidden="1">
      <c r="M12" s="84">
        <v>0</v>
      </c>
    </row>
    <row customHeight="1" ht="14.699999999999998">
      <c r="C13" s="97"/>
      <c r="D13" s="85"/>
      <c r="E13" s="85"/>
      <c r="F13" s="85"/>
      <c r="G13" s="85"/>
      <c r="H13" s="86"/>
      <c r="I13" s="86"/>
      <c r="M13" s="84">
        <v>14</v>
      </c>
    </row>
    <row customHeight="1" ht="29.25">
      <c r="C14" s="97"/>
      <c r="D14" s="2455"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E14" s="2456"/>
      <c r="F14" s="2456"/>
      <c r="G14" s="2456"/>
      <c r="H14" s="2457"/>
      <c r="J14" s="1632"/>
      <c r="M14" s="84">
        <v>28</v>
      </c>
    </row>
    <row s="1636" customFormat="1" customHeight="1" ht="14.699999999999998">
      <c r="A15" s="1363"/>
      <c r="B15" s="1161"/>
      <c r="C15" s="377"/>
      <c r="D15" s="2458" t="str">
        <f>IF(org=0,"Не определено",org)</f>
        <v>ИМУП «ПОСЖИЛКОМСЕРВИС»</v>
      </c>
      <c r="E15" s="2459"/>
      <c r="F15" s="2459"/>
      <c r="G15" s="2459"/>
      <c r="H15" s="2460"/>
      <c r="J15" s="853"/>
      <c r="K15" s="1625"/>
      <c r="L15" s="1625"/>
      <c r="M15" s="1632">
        <v>14</v>
      </c>
    </row>
    <row customHeight="1" ht="14.699999999999998">
      <c r="C16" s="97"/>
      <c r="D16" s="85"/>
      <c r="E16" s="96"/>
      <c r="F16" s="96"/>
      <c r="G16" s="96"/>
      <c r="H16" s="753"/>
      <c r="I16" s="194"/>
      <c r="M16" s="84">
        <v>14</v>
      </c>
    </row>
    <row s="1636" customFormat="1" customHeight="1" ht="14.25" hidden="1">
      <c r="A17" s="1363"/>
      <c r="B17" s="1161"/>
      <c r="C17" s="377"/>
      <c r="D17" s="364"/>
      <c r="E17" s="390"/>
      <c r="F17" s="390"/>
      <c r="G17" s="390"/>
      <c r="H17" s="753"/>
      <c r="I17" s="194"/>
      <c r="K17" s="1625"/>
      <c r="L17" s="1625"/>
      <c r="M17" s="1632">
        <v>0</v>
      </c>
    </row>
    <row customHeight="1" ht="22.049999999999997">
      <c r="C18" s="97"/>
      <c r="D18" s="2210" t="s">
        <v>312</v>
      </c>
      <c r="E18" s="2210"/>
      <c r="F18" s="2210"/>
      <c r="G18" s="2210"/>
      <c r="H18" s="2210"/>
      <c r="I18" s="2390" t="s">
        <v>313</v>
      </c>
      <c r="M18" s="84">
        <v>21</v>
      </c>
    </row>
    <row customHeight="1" ht="22.049999999999997">
      <c r="C19" s="97"/>
      <c r="D19" s="106" t="s">
        <v>90</v>
      </c>
      <c r="E19" s="109" t="s">
        <v>314</v>
      </c>
      <c r="F19" s="109"/>
      <c r="G19" s="109" t="s">
        <v>315</v>
      </c>
      <c r="H19" s="109" t="s">
        <v>402</v>
      </c>
      <c r="I19" s="2390"/>
      <c r="M19" s="84">
        <v>21</v>
      </c>
    </row>
    <row customHeight="1" ht="12" hidden="1">
      <c r="C20" s="97"/>
      <c r="D20" s="88"/>
      <c r="E20" s="88"/>
      <c r="F20" s="88"/>
      <c r="G20" s="88"/>
      <c r="H20" s="88"/>
      <c r="I20" s="88"/>
      <c r="M20" s="84">
        <v>0</v>
      </c>
    </row>
    <row customHeight="1" ht="14.699999999999998">
      <c r="A21" s="1684"/>
      <c r="C21" s="97"/>
      <c r="D21" s="148">
        <v>1</v>
      </c>
      <c r="E21" s="2462" t="s">
        <v>1142</v>
      </c>
      <c r="F21" s="2462"/>
      <c r="G21" s="2462"/>
      <c r="H21" s="2462"/>
      <c r="I21" s="209"/>
      <c r="M21" s="84">
        <v>14</v>
      </c>
    </row>
    <row customHeight="1" ht="21">
      <c r="A22" s="1684"/>
      <c r="C22" s="97"/>
      <c r="D22" s="148" t="s">
        <v>1032</v>
      </c>
      <c r="E22" s="195" t="s">
        <v>1143</v>
      </c>
      <c r="F22" s="199"/>
      <c r="G22" s="1738">
        <v>44480</v>
      </c>
      <c r="H22" s="199" t="s">
        <v>318</v>
      </c>
      <c r="I22" s="152" t="s">
        <v>1144</v>
      </c>
      <c r="M22" s="84">
        <v>20</v>
      </c>
    </row>
    <row customHeight="1" ht="60">
      <c r="A23" s="1684"/>
      <c r="C23" s="97"/>
      <c r="D23" s="148" t="s">
        <v>1034</v>
      </c>
      <c r="E23" s="195" t="s">
        <v>1145</v>
      </c>
      <c r="F23" s="199"/>
      <c r="G23" s="258" t="s">
        <v>1146</v>
      </c>
      <c r="H23" s="2791" t="s">
        <v>1147</v>
      </c>
      <c r="I23" s="259" t="s">
        <v>1148</v>
      </c>
      <c r="M23" s="84">
        <v>57</v>
      </c>
    </row>
    <row customHeight="1" ht="15">
      <c r="A24" s="1684"/>
      <c r="B24" s="147">
        <v>3</v>
      </c>
      <c r="C24" s="97"/>
      <c r="D24" s="148">
        <v>2</v>
      </c>
      <c r="E24" s="223"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199"/>
      <c r="G24" s="199" t="s">
        <v>318</v>
      </c>
      <c r="H24" s="214" t="s">
        <v>1149</v>
      </c>
      <c r="I24" s="260" t="s">
        <v>642</v>
      </c>
      <c r="M24" s="84">
        <v>14</v>
      </c>
    </row>
    <row customHeight="1" ht="48.29999999999999">
      <c r="A25" s="1684"/>
      <c r="C25" s="97"/>
      <c r="D25" s="148">
        <v>3</v>
      </c>
      <c r="E25" s="2461"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461"/>
      <c r="G25" s="2461"/>
      <c r="H25" s="2461"/>
      <c r="I25" s="257"/>
      <c r="M25" s="84">
        <v>46</v>
      </c>
    </row>
    <row customHeight="1" ht="15">
      <c r="A26" s="1684"/>
      <c r="C26" s="97"/>
      <c r="D26" s="148" t="s">
        <v>336</v>
      </c>
      <c r="E26" s="200" t="s">
        <v>1150</v>
      </c>
      <c r="F26" s="199"/>
      <c r="G26" s="199" t="s">
        <v>318</v>
      </c>
      <c r="H26" s="214" t="s">
        <v>1151</v>
      </c>
      <c r="I26" s="2170" t="s">
        <v>1152</v>
      </c>
      <c r="M26" s="84">
        <v>14</v>
      </c>
    </row>
    <row customHeight="1" ht="15.75">
      <c r="A27" s="1684" t="s">
        <v>112</v>
      </c>
      <c r="C27" s="97"/>
      <c r="D27" s="110"/>
      <c r="E27" s="204" t="s">
        <v>334</v>
      </c>
      <c r="F27" s="205"/>
      <c r="G27" s="205"/>
      <c r="H27" s="202"/>
      <c r="I27" s="2172"/>
      <c r="M27" s="84">
        <v>15</v>
      </c>
    </row>
    <row customHeight="1" ht="39.75">
      <c r="A28" s="1684"/>
      <c r="B28" s="147">
        <v>3</v>
      </c>
      <c r="C28" s="97"/>
      <c r="D28" s="148">
        <v>4</v>
      </c>
      <c r="E28" s="2461"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2461"/>
      <c r="G28" s="2461"/>
      <c r="H28" s="2461"/>
      <c r="I28" s="257"/>
      <c r="M28" s="84">
        <v>38</v>
      </c>
    </row>
    <row customHeight="1" ht="21">
      <c r="A29" s="1684"/>
      <c r="C29" s="97"/>
      <c r="D29" s="148" t="s">
        <v>764</v>
      </c>
      <c r="E29" s="206" t="s">
        <v>1137</v>
      </c>
      <c r="F29" s="199"/>
      <c r="G29" s="2792" t="s">
        <v>1153</v>
      </c>
      <c r="H29" s="199" t="s">
        <v>318</v>
      </c>
      <c r="I29" s="2170" t="s">
        <v>1154</v>
      </c>
      <c r="M29" s="84">
        <v>20</v>
      </c>
    </row>
    <row customHeight="1" ht="15.75">
      <c r="A30" s="1684" t="s">
        <v>113</v>
      </c>
      <c r="C30" s="97"/>
      <c r="D30" s="110"/>
      <c r="E30" s="204" t="s">
        <v>334</v>
      </c>
      <c r="F30" s="205"/>
      <c r="G30" s="205"/>
      <c r="H30" s="202"/>
      <c r="I30" s="2172"/>
      <c r="M30" s="84">
        <v>15</v>
      </c>
    </row>
    <row customHeight="1" ht="31.5">
      <c r="A31" s="1684"/>
      <c r="B31" s="147">
        <v>3</v>
      </c>
      <c r="C31" s="97"/>
      <c r="D31" s="148">
        <v>5</v>
      </c>
      <c r="E31" s="2461"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1" s="2461"/>
      <c r="G31" s="2461"/>
      <c r="H31" s="2461"/>
      <c r="I31" s="257"/>
      <c r="M31" s="84">
        <v>30</v>
      </c>
    </row>
    <row customHeight="1" ht="27.299999999999997">
      <c r="A32" s="1684"/>
      <c r="C32" s="97"/>
      <c r="D32" s="148" t="s">
        <v>325</v>
      </c>
      <c r="E32" s="2404"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2" s="2404"/>
      <c r="G32" s="2404"/>
      <c r="H32" s="2404"/>
      <c r="I32" s="257"/>
      <c r="M32" s="84">
        <v>26</v>
      </c>
    </row>
    <row customHeight="1" ht="15">
      <c r="A33" s="1684"/>
      <c r="C33" s="97"/>
      <c r="D33" s="148" t="s">
        <v>1155</v>
      </c>
      <c r="E33" s="207" t="s">
        <v>1138</v>
      </c>
      <c r="F33" s="199"/>
      <c r="G33" s="258" t="s">
        <v>1156</v>
      </c>
      <c r="H33" s="199" t="s">
        <v>318</v>
      </c>
      <c r="I33" s="2170" t="s">
        <v>1157</v>
      </c>
      <c r="M33" s="84">
        <v>14</v>
      </c>
    </row>
    <row customHeight="1" ht="15.75">
      <c r="A34" s="1684" t="s">
        <v>92</v>
      </c>
      <c r="C34" s="97"/>
      <c r="D34" s="110"/>
      <c r="E34" s="205" t="s">
        <v>334</v>
      </c>
      <c r="F34" s="201"/>
      <c r="G34" s="201"/>
      <c r="H34" s="202"/>
      <c r="I34" s="2172"/>
      <c r="M34" s="84">
        <v>15</v>
      </c>
    </row>
    <row customHeight="1" ht="25.2">
      <c r="A35" s="1684"/>
      <c r="C35" s="97"/>
      <c r="D35" s="148" t="s">
        <v>892</v>
      </c>
      <c r="E35" s="2404"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5" s="2404"/>
      <c r="G35" s="2404"/>
      <c r="H35" s="2404"/>
      <c r="I35" s="257"/>
      <c r="M35" s="84">
        <v>24</v>
      </c>
    </row>
    <row customHeight="1" ht="15">
      <c r="A36" s="1684"/>
      <c r="C36" s="97"/>
      <c r="D36" s="148" t="s">
        <v>1158</v>
      </c>
      <c r="E36" s="207" t="s">
        <v>1139</v>
      </c>
      <c r="F36" s="199"/>
      <c r="G36" s="258" t="s">
        <v>1159</v>
      </c>
      <c r="H36" s="199" t="s">
        <v>318</v>
      </c>
      <c r="I36" s="2144" t="s">
        <v>1160</v>
      </c>
      <c r="M36" s="84">
        <v>14</v>
      </c>
    </row>
    <row customHeight="1" ht="15.75">
      <c r="A37" s="1684" t="s">
        <v>93</v>
      </c>
      <c r="C37" s="97"/>
      <c r="D37" s="110"/>
      <c r="E37" s="205" t="s">
        <v>334</v>
      </c>
      <c r="F37" s="201"/>
      <c r="G37" s="201"/>
      <c r="H37" s="202"/>
      <c r="I37" s="2144"/>
      <c r="M37" s="84">
        <v>15</v>
      </c>
    </row>
    <row customHeight="1" ht="27.299999999999997">
      <c r="A38" s="1684"/>
      <c r="C38" s="97"/>
      <c r="D38" s="148" t="s">
        <v>893</v>
      </c>
      <c r="E38" s="2404"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2404"/>
      <c r="G38" s="2404"/>
      <c r="H38" s="2404"/>
      <c r="I38" s="257"/>
      <c r="M38" s="84">
        <v>26</v>
      </c>
    </row>
    <row customHeight="1" ht="15">
      <c r="A39" s="1684"/>
      <c r="C39" s="97"/>
      <c r="D39" s="148" t="s">
        <v>894</v>
      </c>
      <c r="E39" s="207" t="s">
        <v>1140</v>
      </c>
      <c r="F39" s="199"/>
      <c r="G39" s="208" t="s">
        <v>1161</v>
      </c>
      <c r="H39" s="199" t="s">
        <v>318</v>
      </c>
      <c r="I39" s="2170" t="s">
        <v>1162</v>
      </c>
      <c r="L39" s="156" t="s">
        <v>1141</v>
      </c>
      <c r="M39" s="84">
        <v>14</v>
      </c>
    </row>
    <row customHeight="1" ht="15.75">
      <c r="A40" s="1684" t="s">
        <v>114</v>
      </c>
      <c r="C40" s="97"/>
      <c r="D40" s="110"/>
      <c r="E40" s="205" t="s">
        <v>334</v>
      </c>
      <c r="F40" s="201"/>
      <c r="G40" s="201"/>
      <c r="H40" s="202"/>
      <c r="I40" s="2172"/>
      <c r="M40" s="84">
        <v>15</v>
      </c>
    </row>
    <row s="1824" customFormat="1" customHeight="1" ht="3">
      <c r="A41" s="1684"/>
      <c r="K41" s="197"/>
      <c r="L41" s="197"/>
      <c r="M41" s="141">
        <v>3</v>
      </c>
    </row>
    <row customHeight="1" ht="26.25">
      <c r="D42" s="1682" t="s">
        <v>814</v>
      </c>
      <c r="E42" s="2286"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2" s="2286"/>
      <c r="G42" s="2286"/>
      <c r="H42" s="2286"/>
      <c r="I42" s="2286"/>
      <c r="M42" s="84">
        <v>25</v>
      </c>
    </row>
    <row customHeight="1" ht="22.5" hidden="1">
      <c r="A43" s="1363" t="s">
        <v>84</v>
      </c>
      <c r="B43" s="147">
        <v>0</v>
      </c>
      <c r="C43" s="98">
        <v>3</v>
      </c>
      <c r="D43" s="84">
        <v>6</v>
      </c>
      <c r="E43" s="84">
        <v>63</v>
      </c>
      <c r="F43" s="84">
        <v>0</v>
      </c>
      <c r="G43" s="84">
        <v>35</v>
      </c>
      <c r="H43" s="84">
        <v>35</v>
      </c>
      <c r="I43" s="84">
        <v>91</v>
      </c>
      <c r="J43" s="84">
        <v>68</v>
      </c>
      <c r="K43" s="156">
        <v>10</v>
      </c>
      <c r="L43" s="156">
        <v>10</v>
      </c>
      <c r="M43" s="84">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s>
  <hyperlinks>
    <hyperlink ref="H23" r:id="rId2" xr:uid="{510A4D3E-A5D1-BE92-20FD-0.469927F6}"/>
    <hyperlink ref="H24" r:id="rId3" tooltip="https://portal.eias.ru/Portal/DownloadPage.aspx?type=12&amp;guid=d542495d-8eeb-49e7-b4bc-7e51293bb8d1" xr:uid="{B2C6E6EE-BB5C-451D-4B1E-0.DBE458C6}"/>
    <hyperlink ref="H26" r:id="rId4" tooltip="https://portal.eias.ru/Portal/DownloadPage.aspx?type=12&amp;guid=5168bcff-8483-4253-a6de-16ac1e7a9da3" xr:uid="{46358051-6AA8-F696-3B31-0.9FC2ED0B}"/>
    <hyperlink ref="G29" r:id="rId5" tooltip="https://portal.eias.ru/Portal/DownloadPage.aspx?type=12&amp;guid=28cd6256-db5a-4511-8325-83af0eefcae9" xr:uid="{7E7086B1-9782-4953-EB2D-0.F33A1BE7}"/>
  </hyperlink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4F1BD2-4A5C-41A3-631C-0.D718D5D6}" mc:Ignorable="x14ac xr xr2 xr3">
  <sheetPr>
    <tabColor theme="6" tint="0.4"/>
  </sheetPr>
  <dimension ref="A1:AH342"/>
  <sheetViews>
    <sheetView topLeftCell="A1" showGridLines="0" zoomScale="90" workbookViewId="0">
      <selection activeCell="A307" sqref="A307:AH308"/>
    </sheetView>
  </sheetViews>
  <sheetFormatPr defaultColWidth="10.57421875" customHeight="1" defaultRowHeight="14.25"/>
  <cols>
    <col min="1" max="2" style="1780" width="25.140625" hidden="1" customWidth="1"/>
    <col min="3" max="3" style="1688" width="9.140625" hidden="1" customWidth="1"/>
    <col min="4" max="4" style="345" width="3.00390625" customWidth="1"/>
    <col min="5" max="5" style="1636" width="6.00390625" customWidth="1"/>
    <col min="6" max="6" style="1636" width="46.7109375" customWidth="1"/>
    <col min="7" max="7" style="1636" width="35.00390625" customWidth="1"/>
    <col min="8" max="8" style="1636" width="3.00390625" customWidth="1"/>
    <col min="9" max="10" style="1636" width="11.00390625" customWidth="1"/>
    <col min="11" max="12" style="1636" width="35.00390625" customWidth="1"/>
    <col min="13" max="13" style="1636" width="84.00390625" customWidth="1"/>
    <col min="14" max="14" style="1636" width="10.00390625" customWidth="1"/>
    <col min="15" max="16" style="1625" width="10.00390625" customWidth="1"/>
    <col min="17" max="33" style="1636" width="10.00390625" customWidth="1"/>
    <col min="34" max="34" style="1636" width="10.57421875" hidden="1"/>
  </cols>
  <sheetData>
    <row s="1636" customFormat="1" customHeight="1" ht="22.5" hidden="1">
      <c r="A1" s="1780"/>
      <c r="B1" s="1780"/>
      <c r="C1" s="370"/>
      <c r="D1" s="345"/>
      <c r="N1" s="1637">
        <f>_xlfn.IFERROR(MATCH("метод экономически обоснованных расходов (затрат)",OFFER_METHOD,0),0)</f>
        <v>0</v>
      </c>
      <c r="O1" s="1625"/>
      <c r="P1" s="1625"/>
      <c r="T1" s="832"/>
      <c r="AG1" s="256"/>
      <c r="AH1" s="1632" t="s">
        <v>14</v>
      </c>
    </row>
    <row s="1636" customFormat="1" customHeight="1" ht="18.75" hidden="1">
      <c r="A2" s="1781" t="s">
        <v>158</v>
      </c>
      <c r="B2" s="1781" t="s">
        <v>159</v>
      </c>
      <c r="C2" s="370"/>
      <c r="D2" s="345"/>
      <c r="E2" s="1032"/>
      <c r="F2" s="1032"/>
      <c r="G2" s="2428" t="str">
        <f>INDEX(PT_DIFFERENTIATION_NTAR,MATCH(B2,PT_DIFFERENTIATION_NTAR_ID,0))</f>
        <v/>
      </c>
      <c r="H2" s="1865"/>
      <c r="I2" s="1740"/>
      <c r="J2" s="1774"/>
      <c r="K2" s="1866"/>
      <c r="L2" s="1865" t="s">
        <v>318</v>
      </c>
      <c r="M2" s="1876"/>
      <c r="N2" s="335"/>
      <c r="O2" s="1625"/>
      <c r="P2" s="1625"/>
      <c r="AH2" s="1632">
        <v>0</v>
      </c>
    </row>
    <row s="1636" customFormat="1" customHeight="1" ht="18.75" hidden="1">
      <c r="A3" s="1781"/>
      <c r="B3" s="1781"/>
      <c r="C3" s="370" t="s">
        <v>1163</v>
      </c>
      <c r="D3" s="345"/>
      <c r="E3" s="1032"/>
      <c r="F3" s="1032"/>
      <c r="G3" s="2428"/>
      <c r="H3" s="1501"/>
      <c r="I3" s="652" t="s">
        <v>1164</v>
      </c>
      <c r="J3" s="572"/>
      <c r="K3" s="1501"/>
      <c r="L3" s="215"/>
      <c r="M3" s="1876"/>
      <c r="N3" s="335"/>
      <c r="O3" s="1625"/>
      <c r="P3" s="1625"/>
      <c r="AH3" s="1632">
        <v>0</v>
      </c>
    </row>
    <row s="1636" customFormat="1" customHeight="1" ht="14.25" hidden="1">
      <c r="A4" s="1780"/>
      <c r="B4" s="1780"/>
      <c r="C4" s="370"/>
      <c r="D4" s="345"/>
      <c r="N4" s="1637">
        <f>_xlfn.IFERROR(MATCH("метод экономически обоснованных расходов (затрат)",OFFER_METHOD,0),0)</f>
        <v>0</v>
      </c>
      <c r="O4" s="1625"/>
      <c r="P4" s="1625"/>
      <c r="T4" s="832"/>
      <c r="AG4" s="256"/>
      <c r="AH4" s="1632">
        <v>0</v>
      </c>
    </row>
    <row s="1636" customFormat="1" customHeight="1" ht="18.75" hidden="1">
      <c r="A5" s="1781" t="s">
        <v>158</v>
      </c>
      <c r="B5" s="1781" t="s">
        <v>159</v>
      </c>
      <c r="C5" s="370"/>
      <c r="D5" s="345"/>
      <c r="E5" s="1032"/>
      <c r="F5" s="1032"/>
      <c r="G5" s="2428" t="str">
        <f>INDEX(PT_DIFFERENTIATION_NTAR,MATCH(B5,PT_DIFFERENTIATION_NTAR_ID,0))</f>
        <v/>
      </c>
      <c r="H5" s="1865"/>
      <c r="I5" s="1740"/>
      <c r="J5" s="1774"/>
      <c r="K5" s="1779"/>
      <c r="L5" s="1865" t="s">
        <v>318</v>
      </c>
      <c r="M5" s="1876"/>
      <c r="N5" s="335"/>
      <c r="O5" s="1625"/>
      <c r="P5" s="1625"/>
      <c r="AH5" s="1632">
        <v>0</v>
      </c>
    </row>
    <row s="1636" customFormat="1" customHeight="1" ht="18.75" hidden="1">
      <c r="A6" s="1781"/>
      <c r="B6" s="1781"/>
      <c r="C6" s="370" t="s">
        <v>1165</v>
      </c>
      <c r="D6" s="345"/>
      <c r="E6" s="1032"/>
      <c r="F6" s="1032"/>
      <c r="G6" s="2428"/>
      <c r="H6" s="1501"/>
      <c r="I6" s="652" t="s">
        <v>1164</v>
      </c>
      <c r="J6" s="572"/>
      <c r="K6" s="1501"/>
      <c r="L6" s="215"/>
      <c r="M6" s="1876"/>
      <c r="N6" s="335"/>
      <c r="O6" s="1625"/>
      <c r="P6" s="1625"/>
      <c r="AH6" s="1632">
        <v>0</v>
      </c>
    </row>
    <row s="1636" customFormat="1" customHeight="1" ht="14.25" hidden="1">
      <c r="A7" s="1780"/>
      <c r="B7" s="1780"/>
      <c r="C7" s="370"/>
      <c r="D7" s="345"/>
      <c r="N7" s="1637">
        <f>_xlfn.IFERROR(MATCH("метод экономически обоснованных расходов (затрат)",OFFER_METHOD,0),0)</f>
        <v>0</v>
      </c>
      <c r="O7" s="1625"/>
      <c r="P7" s="1625"/>
      <c r="T7" s="832"/>
      <c r="AG7" s="256"/>
      <c r="AH7" s="1632">
        <v>0</v>
      </c>
    </row>
    <row s="1636" customFormat="1" customHeight="1" ht="56.25" hidden="1">
      <c r="A8" s="1781"/>
      <c r="B8" s="1781"/>
      <c r="C8" s="370"/>
      <c r="D8" s="345"/>
      <c r="E8" s="1032"/>
      <c r="F8" s="1032"/>
      <c r="G8" s="1032"/>
      <c r="H8" s="1772"/>
      <c r="I8" s="1740"/>
      <c r="J8" s="1774"/>
      <c r="K8" s="1866"/>
      <c r="L8" s="1772" t="s">
        <v>318</v>
      </c>
      <c r="M8" s="1876"/>
      <c r="N8" s="335"/>
      <c r="O8" s="1625"/>
      <c r="P8" s="1625"/>
      <c r="AH8" s="1632">
        <v>0</v>
      </c>
    </row>
    <row customHeight="1" ht="14.25" hidden="1">
      <c r="T9" s="398"/>
      <c r="AG9" s="256"/>
      <c r="AH9" s="375">
        <v>0</v>
      </c>
    </row>
    <row s="1636" customFormat="1" customHeight="1" ht="56.25" hidden="1">
      <c r="A10" s="1781"/>
      <c r="B10" s="1781"/>
      <c r="C10" s="370"/>
      <c r="D10" s="345"/>
      <c r="E10" s="1032"/>
      <c r="F10" s="1032"/>
      <c r="G10" s="1032"/>
      <c r="H10" s="1771"/>
      <c r="I10" s="1740"/>
      <c r="J10" s="1774"/>
      <c r="K10" s="1779"/>
      <c r="L10" s="1772" t="s">
        <v>318</v>
      </c>
      <c r="M10" s="1876"/>
      <c r="N10" s="335"/>
      <c r="O10" s="1625"/>
      <c r="P10" s="1625"/>
      <c r="AH10" s="1632">
        <v>0</v>
      </c>
    </row>
    <row customHeight="1" ht="14.25" hidden="1">
      <c r="AH11" s="375">
        <v>0</v>
      </c>
    </row>
    <row customHeight="1" ht="14.25" hidden="1">
      <c r="AH12" s="375">
        <v>0</v>
      </c>
    </row>
    <row customHeight="1" ht="6.3">
      <c r="D13" s="377"/>
      <c r="E13" s="364"/>
      <c r="F13" s="364"/>
      <c r="G13" s="364"/>
      <c r="H13" s="364"/>
      <c r="I13" s="364"/>
      <c r="J13" s="364"/>
      <c r="K13" s="364"/>
      <c r="L13" s="86"/>
      <c r="M13" s="86"/>
      <c r="AH13" s="375">
        <v>6</v>
      </c>
    </row>
    <row customHeight="1" ht="14.699999999999998">
      <c r="D14" s="377"/>
      <c r="E14" s="2466"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холодного водоснабжения об установлении тарифов в сфере холодного водоснабжения на очередной период регулирования</v>
      </c>
      <c r="F14" s="2466"/>
      <c r="G14" s="2466"/>
      <c r="H14" s="2466"/>
      <c r="I14" s="2466"/>
      <c r="J14" s="2466"/>
      <c r="K14" s="2466"/>
      <c r="L14" s="2466"/>
      <c r="M14" s="221"/>
      <c r="AH14" s="375">
        <v>14</v>
      </c>
    </row>
    <row customHeight="1" ht="6.3">
      <c r="D15" s="377"/>
      <c r="E15" s="364"/>
      <c r="F15" s="390"/>
      <c r="G15" s="390"/>
      <c r="H15" s="390"/>
      <c r="I15" s="390"/>
      <c r="J15" s="390"/>
      <c r="K15" s="390"/>
      <c r="L15" s="323"/>
      <c r="M15" s="194"/>
      <c r="AH15" s="375">
        <v>6</v>
      </c>
    </row>
    <row customHeight="1" ht="24">
      <c r="D16" s="377"/>
      <c r="E16" s="364"/>
      <c r="F16" s="306" t="str">
        <f>"Дата подачи заявления об "&amp;IF(TITLE_DATE_PR_CHANGE="","утверждении","изменении")&amp;" тарифов"</f>
        <v>Дата подачи заявления об изменении тарифов</v>
      </c>
      <c r="G16" s="2265" t="str">
        <f>IF(TITLE_DATE_PR_CHANGE="",IF(TITLE_DATE_PR="","",TITLE_DATE_PR),TITLE_DATE_PR_CHANGE)</f>
        <v>45642</v>
      </c>
      <c r="H16" s="2265"/>
      <c r="I16" s="2265"/>
      <c r="J16" s="2265"/>
      <c r="K16" s="2265"/>
      <c r="L16" s="2265"/>
      <c r="M16" s="399"/>
      <c r="N16" s="327"/>
      <c r="AH16" s="375">
        <v>23</v>
      </c>
    </row>
    <row customHeight="1" ht="24">
      <c r="D17" s="377"/>
      <c r="E17" s="364"/>
      <c r="F17" s="306" t="str">
        <f>"Номер подачи заявления об "&amp;IF(TITLE_DATE_PR_CHANGE="","утверждении","изменении")&amp;" тарифов"</f>
        <v>Номер подачи заявления об изменении тарифов</v>
      </c>
      <c r="G17" s="2252" t="str">
        <f>IF(TITLE_NUMBER_PR_CHANGE="",IF(TITLE_NUMBER_PR="","",TITLE_NUMBER_PR),TITLE_NUMBER_PR_CHANGE)</f>
        <v>58</v>
      </c>
      <c r="H17" s="2252"/>
      <c r="I17" s="2252"/>
      <c r="J17" s="2252"/>
      <c r="K17" s="2252"/>
      <c r="L17" s="2252"/>
      <c r="M17" s="399"/>
      <c r="N17" s="327"/>
      <c r="AH17" s="375">
        <v>23</v>
      </c>
    </row>
    <row customHeight="1" ht="14.699999999999998">
      <c r="D18" s="377"/>
      <c r="E18" s="364"/>
      <c r="F18" s="390"/>
      <c r="G18" s="390"/>
      <c r="H18" s="390"/>
      <c r="I18" s="390"/>
      <c r="J18" s="390"/>
      <c r="K18" s="390"/>
      <c r="L18" s="753"/>
      <c r="M18" s="194"/>
      <c r="AH18" s="375">
        <v>14</v>
      </c>
    </row>
    <row customHeight="1" ht="22.049999999999997">
      <c r="D19" s="377"/>
      <c r="E19" s="2210" t="s">
        <v>312</v>
      </c>
      <c r="F19" s="2210"/>
      <c r="G19" s="2210"/>
      <c r="H19" s="2210"/>
      <c r="I19" s="2210"/>
      <c r="J19" s="2210"/>
      <c r="K19" s="2210"/>
      <c r="L19" s="2210"/>
      <c r="M19" s="2390" t="s">
        <v>313</v>
      </c>
      <c r="AH19" s="375">
        <v>21</v>
      </c>
    </row>
    <row customHeight="1" ht="22.049999999999997">
      <c r="D20" s="377"/>
      <c r="E20" s="2278" t="s">
        <v>90</v>
      </c>
      <c r="F20" s="2225" t="s">
        <v>125</v>
      </c>
      <c r="G20" s="2225" t="s">
        <v>126</v>
      </c>
      <c r="H20" s="2387" t="s">
        <v>1166</v>
      </c>
      <c r="I20" s="2388"/>
      <c r="J20" s="2434"/>
      <c r="K20" s="2225" t="s">
        <v>315</v>
      </c>
      <c r="L20" s="2225" t="s">
        <v>402</v>
      </c>
      <c r="M20" s="2390"/>
      <c r="AH20" s="375">
        <v>21</v>
      </c>
    </row>
    <row customHeight="1" ht="22.049999999999997">
      <c r="D21" s="377"/>
      <c r="E21" s="2280"/>
      <c r="F21" s="2226"/>
      <c r="G21" s="2226"/>
      <c r="H21" s="2219" t="s">
        <v>1167</v>
      </c>
      <c r="I21" s="2221"/>
      <c r="J21" s="109" t="s">
        <v>1168</v>
      </c>
      <c r="K21" s="2226"/>
      <c r="L21" s="2226"/>
      <c r="M21" s="2390"/>
      <c r="AH21" s="375">
        <v>21</v>
      </c>
    </row>
    <row customHeight="1" ht="12.75">
      <c r="D22" s="377"/>
      <c r="E22" s="282"/>
      <c r="F22" s="282"/>
      <c r="G22" s="282"/>
      <c r="H22" s="2468"/>
      <c r="I22" s="2468"/>
      <c r="J22" s="282"/>
      <c r="K22" s="282"/>
      <c r="L22" s="282"/>
      <c r="M22" s="282"/>
      <c r="AH22" s="375">
        <v>12</v>
      </c>
    </row>
    <row customHeight="1" ht="19.95">
      <c r="A23" s="1781"/>
      <c r="B23" s="1781"/>
      <c r="D23" s="377"/>
      <c r="E23" s="1867" t="s">
        <v>112</v>
      </c>
      <c r="F23" s="2469" t="str">
        <f>"Предлагаемый метод регулирования"&amp;IF(TEMPLATE_SPHERE="HEAT"," в сфере "&amp;TEMPLATE_SPHERE_RUS,"")</f>
        <v>Предлагаемый метод регулирования</v>
      </c>
      <c r="G23" s="2470"/>
      <c r="H23" s="2462"/>
      <c r="I23" s="2462"/>
      <c r="J23" s="2462"/>
      <c r="K23" s="2470" t="s">
        <v>318</v>
      </c>
      <c r="L23" s="2462"/>
      <c r="M23" s="1770"/>
      <c r="N23" s="335"/>
      <c r="AH23" s="375">
        <v>19</v>
      </c>
    </row>
    <row customHeight="1" ht="60.75" hidden="1">
      <c r="A24" s="1781" t="s">
        <v>158</v>
      </c>
      <c r="B24" s="1781" t="s">
        <v>159</v>
      </c>
      <c r="D24" s="2467"/>
      <c r="E24" s="2205"/>
      <c r="F24" s="2471"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28" t="str">
        <f>INDEX(PT_DIFFERENTIATION_NTAR,MATCH(B24,PT_DIFFERENTIATION_NTAR_ID,0))</f>
        <v/>
      </c>
      <c r="H24" s="1863"/>
      <c r="I24" s="1740"/>
      <c r="J24" s="1774"/>
      <c r="K24" s="1866"/>
      <c r="L24" s="1769" t="s">
        <v>318</v>
      </c>
      <c r="M24"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5"/>
      <c r="AH24" s="375">
        <v>0</v>
      </c>
    </row>
    <row s="1636" customFormat="1" customHeight="1" ht="18.75" hidden="1">
      <c r="A25" s="1781"/>
      <c r="B25" s="1781"/>
      <c r="C25" s="370" t="s">
        <v>1163</v>
      </c>
      <c r="D25" s="2467"/>
      <c r="E25" s="2205"/>
      <c r="F25" s="2471"/>
      <c r="G25" s="2428"/>
      <c r="H25" s="1501"/>
      <c r="I25" s="652" t="s">
        <v>1164</v>
      </c>
      <c r="J25" s="572"/>
      <c r="K25" s="1501"/>
      <c r="L25" s="215"/>
      <c r="M25" s="2171"/>
      <c r="N25" s="335"/>
      <c r="O25" s="1625"/>
      <c r="P25" s="1625"/>
      <c r="AH25" s="1632">
        <v>0</v>
      </c>
    </row>
    <row customHeight="1" ht="0.75" hidden="1">
      <c r="A26" s="1781"/>
      <c r="B26" s="1781"/>
      <c r="C26" s="370" t="s">
        <v>1169</v>
      </c>
      <c r="D26" s="2467"/>
      <c r="E26" s="2205"/>
      <c r="F26" s="2384"/>
      <c r="G26" s="401"/>
      <c r="H26" s="1501"/>
      <c r="I26" s="396"/>
      <c r="J26" s="350"/>
      <c r="K26" s="1501"/>
      <c r="L26" s="202"/>
      <c r="M26" s="2171"/>
      <c r="N26" s="335"/>
      <c r="AH26" s="375">
        <v>0</v>
      </c>
    </row>
    <row s="1636" customFormat="1" customHeight="1" ht="45" hidden="1">
      <c r="A27" s="1781" t="s">
        <v>163</v>
      </c>
      <c r="B27" s="1781" t="s">
        <v>164</v>
      </c>
      <c r="C27" s="370"/>
      <c r="D27" s="2463"/>
      <c r="E27" s="2464"/>
      <c r="F27" s="2465" t="str">
        <f>INDEX(PT_DIFFERENTIATION_VTAR,MATCH(A27,PT_DIFFERENTIATION_VTAR_ID,0))</f>
        <v/>
      </c>
      <c r="G27" s="2428" t="str">
        <f>INDEX(PT_DIFFERENTIATION_NTAR,MATCH(B27,PT_DIFFERENTIATION_NTAR_ID,0))</f>
        <v/>
      </c>
      <c r="H27" s="1863"/>
      <c r="I27" s="1740"/>
      <c r="J27" s="1774"/>
      <c r="K27" s="1866"/>
      <c r="L27" s="1863" t="s">
        <v>318</v>
      </c>
      <c r="M27" s="2171"/>
      <c r="N27" s="335"/>
      <c r="O27" s="1625"/>
      <c r="P27" s="1625"/>
      <c r="AH27" s="1632">
        <v>0</v>
      </c>
    </row>
    <row s="1636" customFormat="1" customHeight="1" ht="18.75" hidden="1">
      <c r="A28" s="1781"/>
      <c r="B28" s="1781"/>
      <c r="C28" s="370" t="s">
        <v>1163</v>
      </c>
      <c r="D28" s="2463"/>
      <c r="E28" s="2464"/>
      <c r="F28" s="2465"/>
      <c r="G28" s="2428"/>
      <c r="H28" s="1501"/>
      <c r="I28" s="652" t="s">
        <v>1164</v>
      </c>
      <c r="J28" s="572"/>
      <c r="K28" s="1501"/>
      <c r="L28" s="215"/>
      <c r="M28" s="2171"/>
      <c r="N28" s="335"/>
      <c r="O28" s="1625"/>
      <c r="P28" s="1625"/>
      <c r="AH28" s="1632">
        <v>0</v>
      </c>
    </row>
    <row s="1636" customFormat="1" customHeight="1" ht="0.75" hidden="1">
      <c r="A29" s="1781"/>
      <c r="B29" s="1781"/>
      <c r="C29" s="370" t="s">
        <v>1169</v>
      </c>
      <c r="D29" s="2463"/>
      <c r="E29" s="2205"/>
      <c r="F29" s="2384"/>
      <c r="G29" s="401"/>
      <c r="H29" s="1501"/>
      <c r="I29" s="652"/>
      <c r="J29" s="572"/>
      <c r="K29" s="1501"/>
      <c r="L29" s="215"/>
      <c r="M29" s="2171"/>
      <c r="N29" s="335"/>
      <c r="O29" s="1625"/>
      <c r="P29" s="1625"/>
      <c r="AH29" s="1632">
        <v>0</v>
      </c>
    </row>
    <row s="1636" customFormat="1" customHeight="1" ht="45" hidden="1">
      <c r="A30" s="1781" t="s">
        <v>170</v>
      </c>
      <c r="B30" s="1781" t="s">
        <v>171</v>
      </c>
      <c r="C30" s="370"/>
      <c r="D30" s="2463"/>
      <c r="E30" s="2205"/>
      <c r="F30" s="2384"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28" t="str">
        <f>INDEX(PT_DIFFERENTIATION_NTAR,MATCH(B30,PT_DIFFERENTIATION_NTAR_ID,0))</f>
        <v/>
      </c>
      <c r="H30" s="1863"/>
      <c r="I30" s="1740"/>
      <c r="J30" s="1774"/>
      <c r="K30" s="1866"/>
      <c r="L30" s="1863" t="s">
        <v>318</v>
      </c>
      <c r="M30" s="2171"/>
      <c r="N30" s="335"/>
      <c r="O30" s="1625"/>
      <c r="P30" s="1625"/>
      <c r="AH30" s="1632">
        <v>0</v>
      </c>
    </row>
    <row s="1636" customFormat="1" customHeight="1" ht="18.75" hidden="1">
      <c r="A31" s="1781"/>
      <c r="B31" s="1781"/>
      <c r="C31" s="370" t="s">
        <v>1163</v>
      </c>
      <c r="D31" s="2463"/>
      <c r="E31" s="2205"/>
      <c r="F31" s="2384"/>
      <c r="G31" s="2428"/>
      <c r="H31" s="1501"/>
      <c r="I31" s="652" t="s">
        <v>1164</v>
      </c>
      <c r="J31" s="572"/>
      <c r="K31" s="1501"/>
      <c r="L31" s="215"/>
      <c r="M31" s="2171"/>
      <c r="N31" s="335"/>
      <c r="O31" s="1625"/>
      <c r="P31" s="1625"/>
      <c r="AH31" s="1632">
        <v>0</v>
      </c>
    </row>
    <row s="1636" customFormat="1" customHeight="1" ht="0.75" hidden="1">
      <c r="A32" s="1781"/>
      <c r="B32" s="1781"/>
      <c r="C32" s="370" t="s">
        <v>1169</v>
      </c>
      <c r="D32" s="2463"/>
      <c r="E32" s="2205"/>
      <c r="F32" s="2384"/>
      <c r="G32" s="401"/>
      <c r="H32" s="1501"/>
      <c r="I32" s="652"/>
      <c r="J32" s="572"/>
      <c r="K32" s="1501"/>
      <c r="L32" s="215"/>
      <c r="M32" s="2171"/>
      <c r="N32" s="335"/>
      <c r="O32" s="1625"/>
      <c r="P32" s="1625"/>
      <c r="AH32" s="1632">
        <v>0</v>
      </c>
    </row>
    <row s="1636" customFormat="1" customHeight="1" ht="45" hidden="1">
      <c r="A33" s="1781" t="s">
        <v>176</v>
      </c>
      <c r="B33" s="1781" t="s">
        <v>177</v>
      </c>
      <c r="C33" s="370"/>
      <c r="D33" s="2463"/>
      <c r="E33" s="2205"/>
      <c r="F33" s="2384"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28" t="str">
        <f>INDEX(PT_DIFFERENTIATION_NTAR,MATCH(B33,PT_DIFFERENTIATION_NTAR_ID,0))</f>
        <v/>
      </c>
      <c r="H33" s="1863"/>
      <c r="I33" s="1740"/>
      <c r="J33" s="1774"/>
      <c r="K33" s="1866"/>
      <c r="L33" s="1863" t="s">
        <v>318</v>
      </c>
      <c r="M33" s="2171"/>
      <c r="N33" s="335"/>
      <c r="O33" s="1625"/>
      <c r="P33" s="1625"/>
      <c r="AH33" s="1632">
        <v>0</v>
      </c>
    </row>
    <row s="1636" customFormat="1" customHeight="1" ht="18.75" hidden="1">
      <c r="A34" s="1781"/>
      <c r="B34" s="1781"/>
      <c r="C34" s="370" t="s">
        <v>1163</v>
      </c>
      <c r="D34" s="2463"/>
      <c r="E34" s="2205"/>
      <c r="F34" s="2384"/>
      <c r="G34" s="2428"/>
      <c r="H34" s="1501"/>
      <c r="I34" s="652" t="s">
        <v>1164</v>
      </c>
      <c r="J34" s="572"/>
      <c r="K34" s="1501"/>
      <c r="L34" s="215"/>
      <c r="M34" s="2171"/>
      <c r="N34" s="335"/>
      <c r="O34" s="1625"/>
      <c r="P34" s="1625"/>
      <c r="AH34" s="1632">
        <v>0</v>
      </c>
    </row>
    <row s="1636" customFormat="1" customHeight="1" ht="0.75" hidden="1">
      <c r="A35" s="1781"/>
      <c r="B35" s="1781"/>
      <c r="C35" s="370" t="s">
        <v>1169</v>
      </c>
      <c r="D35" s="2463"/>
      <c r="E35" s="2205"/>
      <c r="F35" s="2384"/>
      <c r="G35" s="401"/>
      <c r="H35" s="1501"/>
      <c r="I35" s="652"/>
      <c r="J35" s="572"/>
      <c r="K35" s="1501"/>
      <c r="L35" s="215"/>
      <c r="M35" s="2171"/>
      <c r="N35" s="335"/>
      <c r="O35" s="1625"/>
      <c r="P35" s="1625"/>
      <c r="AH35" s="1632">
        <v>0</v>
      </c>
    </row>
    <row s="1636" customFormat="1" customHeight="1" ht="18.75" hidden="1">
      <c r="A36" s="1781" t="s">
        <v>182</v>
      </c>
      <c r="B36" s="1781" t="s">
        <v>183</v>
      </c>
      <c r="C36" s="370"/>
      <c r="D36" s="2463"/>
      <c r="E36" s="2205"/>
      <c r="F36" s="2384" t="str">
        <f>INDEX(PT_DIFFERENTIATION_VTAR,MATCH(A36,PT_DIFFERENTIATION_VTAR_ID,0))</f>
        <v>Тарифы на услуги по передаче тепловой энергии</v>
      </c>
      <c r="G36" s="2428" t="str">
        <f>INDEX(PT_DIFFERENTIATION_NTAR,MATCH(B36,PT_DIFFERENTIATION_NTAR_ID,0))</f>
        <v/>
      </c>
      <c r="H36" s="1863"/>
      <c r="I36" s="1740"/>
      <c r="J36" s="1774"/>
      <c r="K36" s="1866"/>
      <c r="L36" s="1863" t="s">
        <v>318</v>
      </c>
      <c r="M36" s="2171"/>
      <c r="N36" s="335"/>
      <c r="O36" s="1625"/>
      <c r="P36" s="1625"/>
      <c r="AH36" s="1632">
        <v>0</v>
      </c>
    </row>
    <row s="1636" customFormat="1" customHeight="1" ht="18.75" hidden="1">
      <c r="A37" s="1781"/>
      <c r="B37" s="1781"/>
      <c r="C37" s="370" t="s">
        <v>1163</v>
      </c>
      <c r="D37" s="2463"/>
      <c r="E37" s="2205"/>
      <c r="F37" s="2384"/>
      <c r="G37" s="2428"/>
      <c r="H37" s="1501"/>
      <c r="I37" s="652" t="s">
        <v>1164</v>
      </c>
      <c r="J37" s="572"/>
      <c r="K37" s="1501"/>
      <c r="L37" s="215"/>
      <c r="M37" s="2171"/>
      <c r="N37" s="335"/>
      <c r="O37" s="1625"/>
      <c r="P37" s="1625"/>
      <c r="AH37" s="1632">
        <v>0</v>
      </c>
    </row>
    <row s="1636" customFormat="1" customHeight="1" ht="0.75" hidden="1">
      <c r="A38" s="1781"/>
      <c r="B38" s="1781"/>
      <c r="C38" s="370" t="s">
        <v>1169</v>
      </c>
      <c r="D38" s="2463"/>
      <c r="E38" s="2205"/>
      <c r="F38" s="2384"/>
      <c r="G38" s="401"/>
      <c r="H38" s="1501"/>
      <c r="I38" s="652"/>
      <c r="J38" s="572"/>
      <c r="K38" s="1501"/>
      <c r="L38" s="215"/>
      <c r="M38" s="2171"/>
      <c r="N38" s="335"/>
      <c r="O38" s="1625"/>
      <c r="P38" s="1625"/>
      <c r="AH38" s="1632">
        <v>0</v>
      </c>
    </row>
    <row s="1636" customFormat="1" customHeight="1" ht="18.75" hidden="1">
      <c r="A39" s="1781" t="s">
        <v>188</v>
      </c>
      <c r="B39" s="1781" t="s">
        <v>189</v>
      </c>
      <c r="C39" s="370"/>
      <c r="D39" s="2463"/>
      <c r="E39" s="2205"/>
      <c r="F39" s="2384" t="str">
        <f>INDEX(PT_DIFFERENTIATION_VTAR,MATCH(A39,PT_DIFFERENTIATION_VTAR_ID,0))</f>
        <v>Тарифы на услуги по передаче теплоносителя</v>
      </c>
      <c r="G39" s="2428" t="str">
        <f>INDEX(PT_DIFFERENTIATION_NTAR,MATCH(B39,PT_DIFFERENTIATION_NTAR_ID,0))</f>
        <v/>
      </c>
      <c r="H39" s="1863"/>
      <c r="I39" s="1740"/>
      <c r="J39" s="1774"/>
      <c r="K39" s="1866"/>
      <c r="L39" s="1863" t="s">
        <v>318</v>
      </c>
      <c r="M39" s="2171"/>
      <c r="N39" s="335"/>
      <c r="O39" s="1625"/>
      <c r="P39" s="1625"/>
      <c r="AH39" s="1632">
        <v>0</v>
      </c>
    </row>
    <row s="1636" customFormat="1" customHeight="1" ht="18.75" hidden="1">
      <c r="A40" s="1781"/>
      <c r="B40" s="1781"/>
      <c r="C40" s="370" t="s">
        <v>1163</v>
      </c>
      <c r="D40" s="2463"/>
      <c r="E40" s="2205"/>
      <c r="F40" s="2384"/>
      <c r="G40" s="2428"/>
      <c r="H40" s="1501"/>
      <c r="I40" s="652" t="s">
        <v>1164</v>
      </c>
      <c r="J40" s="572"/>
      <c r="K40" s="1501"/>
      <c r="L40" s="215"/>
      <c r="M40" s="2171"/>
      <c r="N40" s="335"/>
      <c r="O40" s="1625"/>
      <c r="P40" s="1625"/>
      <c r="AH40" s="1632">
        <v>0</v>
      </c>
    </row>
    <row s="1636" customFormat="1" customHeight="1" ht="0.75" hidden="1">
      <c r="A41" s="1781"/>
      <c r="B41" s="1781"/>
      <c r="C41" s="370" t="s">
        <v>1169</v>
      </c>
      <c r="D41" s="2463"/>
      <c r="E41" s="2205"/>
      <c r="F41" s="2384"/>
      <c r="G41" s="401"/>
      <c r="H41" s="1501"/>
      <c r="I41" s="652"/>
      <c r="J41" s="572"/>
      <c r="K41" s="1501"/>
      <c r="L41" s="215"/>
      <c r="M41" s="2171"/>
      <c r="N41" s="335"/>
      <c r="O41" s="1625"/>
      <c r="P41" s="1625"/>
      <c r="AH41" s="1632">
        <v>0</v>
      </c>
    </row>
    <row s="1636" customFormat="1" customHeight="1" ht="18.75" hidden="1">
      <c r="A42" s="1781" t="s">
        <v>194</v>
      </c>
      <c r="B42" s="1781" t="s">
        <v>195</v>
      </c>
      <c r="C42" s="370"/>
      <c r="D42" s="2463"/>
      <c r="E42" s="2205"/>
      <c r="F42" s="2384" t="str">
        <f>INDEX(PT_DIFFERENTIATION_VTAR,MATCH(A42,PT_DIFFERENTIATION_VTAR_ID,0))</f>
        <v>Плата за услуги по поддержанию резервной тепловой мощности при отсутствии потребления тепловой энергии</v>
      </c>
      <c r="G42" s="2428" t="str">
        <f>INDEX(PT_DIFFERENTIATION_NTAR,MATCH(B42,PT_DIFFERENTIATION_NTAR_ID,0))</f>
        <v/>
      </c>
      <c r="H42" s="1863"/>
      <c r="I42" s="1740"/>
      <c r="J42" s="1774"/>
      <c r="K42" s="1866"/>
      <c r="L42" s="1863" t="s">
        <v>318</v>
      </c>
      <c r="M42" s="2171"/>
      <c r="N42" s="335"/>
      <c r="O42" s="1625"/>
      <c r="P42" s="1625"/>
      <c r="AH42" s="1632">
        <v>0</v>
      </c>
    </row>
    <row s="1636" customFormat="1" customHeight="1" ht="18.75" hidden="1">
      <c r="A43" s="1781"/>
      <c r="B43" s="1781"/>
      <c r="C43" s="370" t="s">
        <v>1163</v>
      </c>
      <c r="D43" s="2463"/>
      <c r="E43" s="2205"/>
      <c r="F43" s="2384"/>
      <c r="G43" s="2428"/>
      <c r="H43" s="1501"/>
      <c r="I43" s="652" t="s">
        <v>1164</v>
      </c>
      <c r="J43" s="572"/>
      <c r="K43" s="1501"/>
      <c r="L43" s="215"/>
      <c r="M43" s="2171"/>
      <c r="N43" s="335"/>
      <c r="O43" s="1625"/>
      <c r="P43" s="1625"/>
      <c r="AH43" s="1632">
        <v>0</v>
      </c>
    </row>
    <row s="1636" customFormat="1" customHeight="1" ht="0.75" hidden="1">
      <c r="A44" s="1781"/>
      <c r="B44" s="1781"/>
      <c r="C44" s="370" t="s">
        <v>1169</v>
      </c>
      <c r="D44" s="2463"/>
      <c r="E44" s="2205"/>
      <c r="F44" s="2384"/>
      <c r="G44" s="401"/>
      <c r="H44" s="1501"/>
      <c r="I44" s="652"/>
      <c r="J44" s="572"/>
      <c r="K44" s="1501"/>
      <c r="L44" s="215"/>
      <c r="M44" s="2171"/>
      <c r="N44" s="335"/>
      <c r="O44" s="1625"/>
      <c r="P44" s="1625"/>
      <c r="AH44" s="1632">
        <v>0</v>
      </c>
    </row>
    <row s="1636" customFormat="1" customHeight="1" ht="18.75" hidden="1">
      <c r="A45" s="1781" t="s">
        <v>200</v>
      </c>
      <c r="B45" s="1781" t="s">
        <v>201</v>
      </c>
      <c r="C45" s="370"/>
      <c r="D45" s="2463"/>
      <c r="E45" s="2205"/>
      <c r="F45" s="2384" t="str">
        <f>INDEX(PT_DIFFERENTIATION_VTAR,MATCH(A45,PT_DIFFERENTIATION_VTAR_ID,0))</f>
        <v>Плата за подключение (технологическое присоединение) к системе теплоснабжения</v>
      </c>
      <c r="G45" s="2428" t="str">
        <f>INDEX(PT_DIFFERENTIATION_NTAR,MATCH(B45,PT_DIFFERENTIATION_NTAR_ID,0))</f>
        <v/>
      </c>
      <c r="H45" s="1863"/>
      <c r="I45" s="1740"/>
      <c r="J45" s="1774"/>
      <c r="K45" s="1866"/>
      <c r="L45" s="1863" t="s">
        <v>318</v>
      </c>
      <c r="M45" s="2171"/>
      <c r="N45" s="335"/>
      <c r="O45" s="1625"/>
      <c r="P45" s="1625"/>
      <c r="AH45" s="1632">
        <v>0</v>
      </c>
    </row>
    <row s="1636" customFormat="1" customHeight="1" ht="18.75" hidden="1">
      <c r="A46" s="1781"/>
      <c r="B46" s="1781"/>
      <c r="C46" s="370" t="s">
        <v>1163</v>
      </c>
      <c r="D46" s="2463"/>
      <c r="E46" s="2205"/>
      <c r="F46" s="2384"/>
      <c r="G46" s="2428"/>
      <c r="H46" s="1501"/>
      <c r="I46" s="652" t="s">
        <v>1164</v>
      </c>
      <c r="J46" s="572"/>
      <c r="K46" s="1501"/>
      <c r="L46" s="215"/>
      <c r="M46" s="2171"/>
      <c r="N46" s="335"/>
      <c r="O46" s="1625"/>
      <c r="P46" s="1625"/>
      <c r="AH46" s="1632">
        <v>0</v>
      </c>
    </row>
    <row s="1636" customFormat="1" customHeight="1" ht="0.75" hidden="1">
      <c r="A47" s="1781"/>
      <c r="B47" s="1781"/>
      <c r="C47" s="370" t="s">
        <v>1169</v>
      </c>
      <c r="D47" s="2463"/>
      <c r="E47" s="2205"/>
      <c r="F47" s="2384"/>
      <c r="G47" s="401"/>
      <c r="H47" s="1501"/>
      <c r="I47" s="652"/>
      <c r="J47" s="572"/>
      <c r="K47" s="1501"/>
      <c r="L47" s="215"/>
      <c r="M47" s="2171"/>
      <c r="N47" s="335"/>
      <c r="O47" s="1625"/>
      <c r="P47" s="1625"/>
      <c r="AH47" s="1632">
        <v>0</v>
      </c>
    </row>
    <row s="1636" customFormat="1" customHeight="1" ht="18.75" hidden="1">
      <c r="A48" s="1781" t="s">
        <v>206</v>
      </c>
      <c r="B48" s="1781" t="s">
        <v>207</v>
      </c>
      <c r="C48" s="370"/>
      <c r="D48" s="2463"/>
      <c r="E48" s="2205"/>
      <c r="F48" s="2384" t="str">
        <f>INDEX(PT_DIFFERENTIATION_VTAR,MATCH(A48,PT_DIFFERENTIATION_VTAR_ID,0))</f>
        <v>Плата за подключение (технологическое присоединение) к системе теплоснабжения (индивидуальная)</v>
      </c>
      <c r="G48" s="2428" t="str">
        <f>INDEX(PT_DIFFERENTIATION_NTAR,MATCH(B48,PT_DIFFERENTIATION_NTAR_ID,0))</f>
        <v/>
      </c>
      <c r="H48" s="1990"/>
      <c r="I48" s="1740"/>
      <c r="J48" s="1774"/>
      <c r="K48" s="1866"/>
      <c r="L48" s="1990" t="s">
        <v>318</v>
      </c>
      <c r="M48" s="2171"/>
      <c r="N48" s="335"/>
      <c r="O48" s="1625"/>
      <c r="P48" s="1625"/>
      <c r="AH48" s="1632">
        <v>0</v>
      </c>
    </row>
    <row s="1636" customFormat="1" customHeight="1" ht="18.75" hidden="1">
      <c r="A49" s="1781"/>
      <c r="B49" s="1781"/>
      <c r="C49" s="370" t="s">
        <v>1163</v>
      </c>
      <c r="D49" s="2463"/>
      <c r="E49" s="2205"/>
      <c r="F49" s="2384"/>
      <c r="G49" s="2428"/>
      <c r="H49" s="1501"/>
      <c r="I49" s="652" t="s">
        <v>1164</v>
      </c>
      <c r="J49" s="572"/>
      <c r="K49" s="1501"/>
      <c r="L49" s="215"/>
      <c r="M49" s="2171"/>
      <c r="N49" s="335"/>
      <c r="O49" s="1625"/>
      <c r="P49" s="1625"/>
      <c r="AH49" s="1632">
        <v>0</v>
      </c>
    </row>
    <row s="1636" customFormat="1" customHeight="1" ht="0.75" hidden="1">
      <c r="A50" s="1781"/>
      <c r="B50" s="1781"/>
      <c r="C50" s="370" t="s">
        <v>1169</v>
      </c>
      <c r="D50" s="2463"/>
      <c r="E50" s="2205"/>
      <c r="F50" s="2384"/>
      <c r="G50" s="401"/>
      <c r="H50" s="1501"/>
      <c r="I50" s="652"/>
      <c r="J50" s="572"/>
      <c r="K50" s="1501"/>
      <c r="L50" s="215"/>
      <c r="M50" s="2171"/>
      <c r="N50" s="335"/>
      <c r="O50" s="1625"/>
      <c r="P50" s="1625"/>
      <c r="AH50" s="1632">
        <v>0</v>
      </c>
    </row>
    <row s="1636" customFormat="1" customHeight="1" ht="18.75" hidden="1">
      <c r="A51" s="1781" t="s">
        <v>228</v>
      </c>
      <c r="B51" s="1781" t="s">
        <v>229</v>
      </c>
      <c r="C51" s="370"/>
      <c r="D51" s="2463"/>
      <c r="E51" s="2205"/>
      <c r="F51" s="2384" t="str">
        <f>INDEX(PT_DIFFERENTIATION_VTAR,MATCH(A51,PT_DIFFERENTIATION_VTAR_ID,0))</f>
        <v>Тариф на питьевую воду (питьевое водоснабжение)</v>
      </c>
      <c r="G51" s="2428" t="str">
        <f>INDEX(PT_DIFFERENTIATION_NTAR,MATCH(B51,PT_DIFFERENTIATION_NTAR_ID,0))</f>
        <v>Тарифы на питьевую воду (питьевое водоснабжение), поставляемую потребителям ИМУП "Посжилкомсервис"
</v>
      </c>
      <c r="H51" s="1863"/>
      <c r="I51" s="1740"/>
      <c r="J51" s="1774"/>
      <c r="K51" s="1866"/>
      <c r="L51" s="1863" t="s">
        <v>318</v>
      </c>
      <c r="M51" s="2171"/>
      <c r="N51" s="335"/>
      <c r="O51" s="1625"/>
      <c r="P51" s="1625"/>
      <c r="AH51" s="1632">
        <v>0</v>
      </c>
    </row>
    <row s="1636" customFormat="1" customHeight="1" ht="18.75" hidden="1">
      <c r="A52" s="1781"/>
      <c r="B52" s="1781"/>
      <c r="C52" s="370" t="s">
        <v>1163</v>
      </c>
      <c r="D52" s="2463"/>
      <c r="E52" s="2205"/>
      <c r="F52" s="2384"/>
      <c r="G52" s="2428"/>
      <c r="H52" s="1501"/>
      <c r="I52" s="652" t="s">
        <v>1164</v>
      </c>
      <c r="J52" s="572"/>
      <c r="K52" s="1501"/>
      <c r="L52" s="215"/>
      <c r="M52" s="2171"/>
      <c r="N52" s="335"/>
      <c r="O52" s="1625"/>
      <c r="P52" s="1625"/>
      <c r="AH52" s="1632">
        <v>0</v>
      </c>
    </row>
    <row s="1636" customFormat="1" customHeight="1" ht="18.75">
      <c r="A53" s="1824" t="s">
        <v>228</v>
      </c>
      <c r="B53" s="1824" t="s">
        <v>236</v>
      </c>
      <c r="C53" s="1688"/>
      <c r="D53" s="345"/>
      <c r="E53" s="1032"/>
      <c r="F53" s="1032"/>
      <c r="G53" s="2428" t="str">
        <f>INDEX(PT_DIFFERENTIATION_NTAR,MATCH(B53,PT_DIFFERENTIATION_NTAR_ID,0))</f>
        <v>Льготные тарифы на питьевую воду (питьевое водоснабжение), поставляемую населению и потребителям, приравненным к населению ИМУП "Посжилкомсервис"
</v>
      </c>
      <c r="H53" s="2272"/>
      <c r="I53" s="1740"/>
      <c r="J53" s="1774"/>
      <c r="K53" s="2306"/>
      <c r="L53" s="2272" t="s">
        <v>318</v>
      </c>
      <c r="M53" s="2319"/>
      <c r="N53" s="619"/>
      <c r="O53" s="1625"/>
      <c r="P53" s="1625"/>
      <c r="Q53" s="1636"/>
      <c r="R53" s="1636"/>
      <c r="S53" s="1636"/>
      <c r="T53" s="1636"/>
      <c r="U53" s="1636"/>
      <c r="V53" s="1636"/>
      <c r="W53" s="1636"/>
      <c r="X53" s="1636"/>
      <c r="Y53" s="1636"/>
      <c r="Z53" s="1636"/>
      <c r="AA53" s="1636"/>
      <c r="AB53" s="1636"/>
      <c r="AC53" s="1636"/>
      <c r="AD53" s="1636"/>
      <c r="AE53" s="1636"/>
      <c r="AF53" s="1636"/>
      <c r="AG53" s="1636"/>
      <c r="AH53" s="1636">
        <v>0</v>
      </c>
    </row>
    <row s="1636" customFormat="1" customHeight="1" ht="18.75">
      <c r="A54" s="1824"/>
      <c r="B54" s="1824"/>
      <c r="C54" s="1688" t="s">
        <v>1163</v>
      </c>
      <c r="D54" s="345"/>
      <c r="E54" s="1032"/>
      <c r="F54" s="1032"/>
      <c r="G54" s="2428"/>
      <c r="H54" s="2793"/>
      <c r="I54" s="2794" t="s">
        <v>1164</v>
      </c>
      <c r="J54" s="2795"/>
      <c r="K54" s="2796"/>
      <c r="L54" s="2797"/>
      <c r="M54" s="2319"/>
      <c r="N54" s="619"/>
      <c r="O54" s="1625"/>
      <c r="P54" s="1625"/>
      <c r="Q54" s="1636"/>
      <c r="R54" s="1636"/>
      <c r="S54" s="1636"/>
      <c r="T54" s="1636"/>
      <c r="U54" s="1636"/>
      <c r="V54" s="1636"/>
      <c r="W54" s="1636"/>
      <c r="X54" s="1636"/>
      <c r="Y54" s="1636"/>
      <c r="Z54" s="1636"/>
      <c r="AA54" s="1636"/>
      <c r="AB54" s="1636"/>
      <c r="AC54" s="1636"/>
      <c r="AD54" s="1636"/>
      <c r="AE54" s="1636"/>
      <c r="AF54" s="1636"/>
      <c r="AG54" s="1636"/>
      <c r="AH54" s="1636">
        <v>0</v>
      </c>
    </row>
    <row s="1636" customFormat="1" customHeight="1" ht="0.75" hidden="1">
      <c r="A55" s="1781"/>
      <c r="B55" s="1781"/>
      <c r="C55" s="370" t="s">
        <v>1169</v>
      </c>
      <c r="D55" s="2463"/>
      <c r="E55" s="2205"/>
      <c r="F55" s="2384"/>
      <c r="G55" s="401"/>
      <c r="H55" s="1501"/>
      <c r="I55" s="652"/>
      <c r="J55" s="572"/>
      <c r="K55" s="1501"/>
      <c r="L55" s="215"/>
      <c r="M55" s="2171"/>
      <c r="N55" s="335"/>
      <c r="O55" s="1625"/>
      <c r="P55" s="1625"/>
      <c r="AH55" s="1632">
        <v>0</v>
      </c>
    </row>
    <row s="1636" customFormat="1" customHeight="1" ht="18.75" hidden="1">
      <c r="A56" s="1781" t="s">
        <v>242</v>
      </c>
      <c r="B56" s="1781" t="s">
        <v>243</v>
      </c>
      <c r="C56" s="370"/>
      <c r="D56" s="2463"/>
      <c r="E56" s="2205"/>
      <c r="F56" s="2384" t="str">
        <f>INDEX(PT_DIFFERENTIATION_VTAR,MATCH(A56,PT_DIFFERENTIATION_VTAR_ID,0))</f>
        <v>Тариф на техническую воду</v>
      </c>
      <c r="G56" s="2428" t="str">
        <f>INDEX(PT_DIFFERENTIATION_NTAR,MATCH(B56,PT_DIFFERENTIATION_NTAR_ID,0))</f>
        <v/>
      </c>
      <c r="H56" s="1863"/>
      <c r="I56" s="1740"/>
      <c r="J56" s="1774"/>
      <c r="K56" s="1866"/>
      <c r="L56" s="1863" t="s">
        <v>318</v>
      </c>
      <c r="M56" s="2171"/>
      <c r="N56" s="335"/>
      <c r="O56" s="1625"/>
      <c r="P56" s="1625"/>
      <c r="AH56" s="1632">
        <v>0</v>
      </c>
    </row>
    <row s="1636" customFormat="1" customHeight="1" ht="18.75" hidden="1">
      <c r="A57" s="1781"/>
      <c r="B57" s="1781"/>
      <c r="C57" s="370" t="s">
        <v>1163</v>
      </c>
      <c r="D57" s="2463"/>
      <c r="E57" s="2205"/>
      <c r="F57" s="2384"/>
      <c r="G57" s="2428"/>
      <c r="H57" s="1501"/>
      <c r="I57" s="652" t="s">
        <v>1164</v>
      </c>
      <c r="J57" s="572"/>
      <c r="K57" s="1501"/>
      <c r="L57" s="215"/>
      <c r="M57" s="2171"/>
      <c r="N57" s="335"/>
      <c r="O57" s="1625"/>
      <c r="P57" s="1625"/>
      <c r="AH57" s="1632">
        <v>0</v>
      </c>
    </row>
    <row s="1636" customFormat="1" customHeight="1" ht="0.75" hidden="1">
      <c r="A58" s="1781"/>
      <c r="B58" s="1781"/>
      <c r="C58" s="370" t="s">
        <v>1169</v>
      </c>
      <c r="D58" s="2463"/>
      <c r="E58" s="2205"/>
      <c r="F58" s="2384"/>
      <c r="G58" s="401"/>
      <c r="H58" s="1501"/>
      <c r="I58" s="652"/>
      <c r="J58" s="572"/>
      <c r="K58" s="1501"/>
      <c r="L58" s="215"/>
      <c r="M58" s="2171"/>
      <c r="N58" s="335"/>
      <c r="O58" s="1625"/>
      <c r="P58" s="1625"/>
      <c r="AH58" s="1632">
        <v>0</v>
      </c>
    </row>
    <row s="1636" customFormat="1" customHeight="1" ht="18.75" hidden="1">
      <c r="A59" s="1781" t="s">
        <v>247</v>
      </c>
      <c r="B59" s="1781" t="s">
        <v>248</v>
      </c>
      <c r="C59" s="370"/>
      <c r="D59" s="2463"/>
      <c r="E59" s="2205"/>
      <c r="F59" s="2384" t="str">
        <f>INDEX(PT_DIFFERENTIATION_VTAR,MATCH(A59,PT_DIFFERENTIATION_VTAR_ID,0))</f>
        <v>Тариф на транспортировку воды</v>
      </c>
      <c r="G59" s="2428" t="str">
        <f>INDEX(PT_DIFFERENTIATION_NTAR,MATCH(B59,PT_DIFFERENTIATION_NTAR_ID,0))</f>
        <v/>
      </c>
      <c r="H59" s="1863"/>
      <c r="I59" s="1740"/>
      <c r="J59" s="1774"/>
      <c r="K59" s="1866"/>
      <c r="L59" s="1863" t="s">
        <v>318</v>
      </c>
      <c r="M59" s="2171"/>
      <c r="N59" s="335"/>
      <c r="O59" s="1625"/>
      <c r="P59" s="1625"/>
      <c r="AH59" s="1632">
        <v>0</v>
      </c>
    </row>
    <row s="1636" customFormat="1" customHeight="1" ht="18.75" hidden="1">
      <c r="A60" s="1781"/>
      <c r="B60" s="1781"/>
      <c r="C60" s="370" t="s">
        <v>1163</v>
      </c>
      <c r="D60" s="2463"/>
      <c r="E60" s="2205"/>
      <c r="F60" s="2384"/>
      <c r="G60" s="2428"/>
      <c r="H60" s="1501"/>
      <c r="I60" s="652" t="s">
        <v>1164</v>
      </c>
      <c r="J60" s="572"/>
      <c r="K60" s="1501"/>
      <c r="L60" s="215"/>
      <c r="M60" s="2171"/>
      <c r="N60" s="335"/>
      <c r="O60" s="1625"/>
      <c r="P60" s="1625"/>
      <c r="AH60" s="1632">
        <v>0</v>
      </c>
    </row>
    <row s="1636" customFormat="1" customHeight="1" ht="0.75" hidden="1">
      <c r="A61" s="1781"/>
      <c r="B61" s="1781"/>
      <c r="C61" s="370" t="s">
        <v>1169</v>
      </c>
      <c r="D61" s="2463"/>
      <c r="E61" s="2205"/>
      <c r="F61" s="2384"/>
      <c r="G61" s="401"/>
      <c r="H61" s="1501"/>
      <c r="I61" s="652"/>
      <c r="J61" s="572"/>
      <c r="K61" s="1501"/>
      <c r="L61" s="215"/>
      <c r="M61" s="2171"/>
      <c r="N61" s="335"/>
      <c r="O61" s="1625"/>
      <c r="P61" s="1625"/>
      <c r="AH61" s="1632">
        <v>0</v>
      </c>
    </row>
    <row s="1636" customFormat="1" customHeight="1" ht="18.75" hidden="1">
      <c r="A62" s="1781" t="s">
        <v>252</v>
      </c>
      <c r="B62" s="1781" t="s">
        <v>253</v>
      </c>
      <c r="C62" s="370"/>
      <c r="D62" s="2463"/>
      <c r="E62" s="2205"/>
      <c r="F62" s="2384" t="str">
        <f>INDEX(PT_DIFFERENTIATION_VTAR,MATCH(A62,PT_DIFFERENTIATION_VTAR_ID,0))</f>
        <v>Тариф на подвоз воды</v>
      </c>
      <c r="G62" s="2428" t="str">
        <f>INDEX(PT_DIFFERENTIATION_NTAR,MATCH(B62,PT_DIFFERENTIATION_NTAR_ID,0))</f>
        <v/>
      </c>
      <c r="H62" s="1863"/>
      <c r="I62" s="1740"/>
      <c r="J62" s="1774"/>
      <c r="K62" s="1866"/>
      <c r="L62" s="1863" t="s">
        <v>318</v>
      </c>
      <c r="M62" s="2171"/>
      <c r="N62" s="335"/>
      <c r="O62" s="1625"/>
      <c r="P62" s="1625"/>
      <c r="AH62" s="1632">
        <v>0</v>
      </c>
    </row>
    <row s="1636" customFormat="1" customHeight="1" ht="18.75" hidden="1">
      <c r="A63" s="1781"/>
      <c r="B63" s="1781"/>
      <c r="C63" s="370" t="s">
        <v>1163</v>
      </c>
      <c r="D63" s="2463"/>
      <c r="E63" s="2205"/>
      <c r="F63" s="2384"/>
      <c r="G63" s="2428"/>
      <c r="H63" s="1501"/>
      <c r="I63" s="652" t="s">
        <v>1164</v>
      </c>
      <c r="J63" s="572"/>
      <c r="K63" s="1501"/>
      <c r="L63" s="215"/>
      <c r="M63" s="2171"/>
      <c r="N63" s="335"/>
      <c r="O63" s="1625"/>
      <c r="P63" s="1625"/>
      <c r="AH63" s="1632">
        <v>0</v>
      </c>
    </row>
    <row s="1636" customFormat="1" customHeight="1" ht="0.75" hidden="1">
      <c r="A64" s="1781"/>
      <c r="B64" s="1781"/>
      <c r="C64" s="370" t="s">
        <v>1169</v>
      </c>
      <c r="D64" s="2463"/>
      <c r="E64" s="2205"/>
      <c r="F64" s="2384"/>
      <c r="G64" s="401"/>
      <c r="H64" s="1501"/>
      <c r="I64" s="652"/>
      <c r="J64" s="572"/>
      <c r="K64" s="1501"/>
      <c r="L64" s="215"/>
      <c r="M64" s="2171"/>
      <c r="N64" s="335"/>
      <c r="O64" s="1625"/>
      <c r="P64" s="1625"/>
      <c r="AH64" s="1632">
        <v>0</v>
      </c>
    </row>
    <row s="1636" customFormat="1" customHeight="1" ht="18.75" hidden="1">
      <c r="A65" s="1781" t="s">
        <v>257</v>
      </c>
      <c r="B65" s="1781" t="s">
        <v>258</v>
      </c>
      <c r="C65" s="370"/>
      <c r="D65" s="2463"/>
      <c r="E65" s="2205"/>
      <c r="F65" s="2384" t="str">
        <f>INDEX(PT_DIFFERENTIATION_VTAR,MATCH(A65,PT_DIFFERENTIATION_VTAR_ID,0))</f>
        <v>Тариф на подключение (технологическое присоединение) к централизованной системе холодного водоснабжения</v>
      </c>
      <c r="G65" s="2428" t="str">
        <f>INDEX(PT_DIFFERENTIATION_NTAR,MATCH(B65,PT_DIFFERENTIATION_NTAR_ID,0))</f>
        <v/>
      </c>
      <c r="H65" s="1863"/>
      <c r="I65" s="1740"/>
      <c r="J65" s="1774"/>
      <c r="K65" s="1866"/>
      <c r="L65" s="1863" t="s">
        <v>318</v>
      </c>
      <c r="M65" s="2171"/>
      <c r="N65" s="335"/>
      <c r="O65" s="1625"/>
      <c r="P65" s="1625"/>
      <c r="AH65" s="1632">
        <v>0</v>
      </c>
    </row>
    <row s="1636" customFormat="1" customHeight="1" ht="18.75" hidden="1">
      <c r="A66" s="1781"/>
      <c r="B66" s="1781"/>
      <c r="C66" s="370" t="s">
        <v>1163</v>
      </c>
      <c r="D66" s="2463"/>
      <c r="E66" s="2205"/>
      <c r="F66" s="2384"/>
      <c r="G66" s="2428"/>
      <c r="H66" s="1501"/>
      <c r="I66" s="652" t="s">
        <v>1164</v>
      </c>
      <c r="J66" s="572"/>
      <c r="K66" s="1501"/>
      <c r="L66" s="215"/>
      <c r="M66" s="2171"/>
      <c r="N66" s="335"/>
      <c r="O66" s="1625"/>
      <c r="P66" s="1625"/>
      <c r="AH66" s="1632">
        <v>0</v>
      </c>
    </row>
    <row s="1636" customFormat="1" customHeight="1" ht="0.75" hidden="1">
      <c r="A67" s="1781"/>
      <c r="B67" s="1781"/>
      <c r="C67" s="370" t="s">
        <v>1169</v>
      </c>
      <c r="D67" s="2463"/>
      <c r="E67" s="2205"/>
      <c r="F67" s="2384"/>
      <c r="G67" s="401"/>
      <c r="H67" s="1501"/>
      <c r="I67" s="652"/>
      <c r="J67" s="572"/>
      <c r="K67" s="1501"/>
      <c r="L67" s="215"/>
      <c r="M67" s="2171"/>
      <c r="N67" s="335"/>
      <c r="O67" s="1625"/>
      <c r="P67" s="1625"/>
      <c r="AH67" s="1632">
        <v>0</v>
      </c>
    </row>
    <row s="1636" customFormat="1" customHeight="1" ht="18.75" hidden="1">
      <c r="A68" s="1781" t="s">
        <v>262</v>
      </c>
      <c r="B68" s="1781" t="s">
        <v>263</v>
      </c>
      <c r="C68" s="370"/>
      <c r="D68" s="2463"/>
      <c r="E68" s="2205"/>
      <c r="F68" s="2384" t="str">
        <f>INDEX(PT_DIFFERENTIATION_VTAR,MATCH(A68,PT_DIFFERENTIATION_VTAR_ID,0))</f>
        <v>Тариф на горячую воду (горячее водоснабжение)</v>
      </c>
      <c r="G68" s="2428" t="str">
        <f>INDEX(PT_DIFFERENTIATION_NTAR,MATCH(B68,PT_DIFFERENTIATION_NTAR_ID,0))</f>
        <v/>
      </c>
      <c r="H68" s="1863"/>
      <c r="I68" s="1740"/>
      <c r="J68" s="1774"/>
      <c r="K68" s="1866"/>
      <c r="L68" s="1863" t="s">
        <v>318</v>
      </c>
      <c r="M68" s="2171"/>
      <c r="N68" s="335"/>
      <c r="O68" s="1625"/>
      <c r="P68" s="1625"/>
      <c r="AH68" s="1632">
        <v>0</v>
      </c>
    </row>
    <row s="1636" customFormat="1" customHeight="1" ht="18.75" hidden="1">
      <c r="A69" s="1781"/>
      <c r="B69" s="1781"/>
      <c r="C69" s="370" t="s">
        <v>1163</v>
      </c>
      <c r="D69" s="2463"/>
      <c r="E69" s="2205"/>
      <c r="F69" s="2384"/>
      <c r="G69" s="2428"/>
      <c r="H69" s="1501"/>
      <c r="I69" s="652" t="s">
        <v>1164</v>
      </c>
      <c r="J69" s="572"/>
      <c r="K69" s="1501"/>
      <c r="L69" s="215"/>
      <c r="M69" s="2171"/>
      <c r="N69" s="335"/>
      <c r="O69" s="1625"/>
      <c r="P69" s="1625"/>
      <c r="AH69" s="1632">
        <v>0</v>
      </c>
    </row>
    <row s="1636" customFormat="1" customHeight="1" ht="0.75" hidden="1">
      <c r="A70" s="1781"/>
      <c r="B70" s="1781"/>
      <c r="C70" s="370" t="s">
        <v>1169</v>
      </c>
      <c r="D70" s="2463"/>
      <c r="E70" s="2205"/>
      <c r="F70" s="2384"/>
      <c r="G70" s="401"/>
      <c r="H70" s="1501"/>
      <c r="I70" s="652"/>
      <c r="J70" s="572"/>
      <c r="K70" s="1501"/>
      <c r="L70" s="215"/>
      <c r="M70" s="2171"/>
      <c r="N70" s="335"/>
      <c r="O70" s="1625"/>
      <c r="P70" s="1625"/>
      <c r="AH70" s="1632">
        <v>0</v>
      </c>
    </row>
    <row s="1636" customFormat="1" customHeight="1" ht="18.75" hidden="1">
      <c r="A71" s="1781" t="s">
        <v>267</v>
      </c>
      <c r="B71" s="1781" t="s">
        <v>268</v>
      </c>
      <c r="C71" s="370"/>
      <c r="D71" s="2463"/>
      <c r="E71" s="2205"/>
      <c r="F71" s="2384" t="str">
        <f>INDEX(PT_DIFFERENTIATION_VTAR,MATCH(A71,PT_DIFFERENTIATION_VTAR_ID,0))</f>
        <v>Тариф на транспортировку горячей воды</v>
      </c>
      <c r="G71" s="2428" t="str">
        <f>INDEX(PT_DIFFERENTIATION_NTAR,MATCH(B71,PT_DIFFERENTIATION_NTAR_ID,0))</f>
        <v/>
      </c>
      <c r="H71" s="1863"/>
      <c r="I71" s="1740"/>
      <c r="J71" s="1774"/>
      <c r="K71" s="1866"/>
      <c r="L71" s="1863" t="s">
        <v>318</v>
      </c>
      <c r="M71" s="2171"/>
      <c r="N71" s="335"/>
      <c r="O71" s="1625"/>
      <c r="P71" s="1625"/>
      <c r="AH71" s="1632">
        <v>0</v>
      </c>
    </row>
    <row s="1636" customFormat="1" customHeight="1" ht="18.75" hidden="1">
      <c r="A72" s="1781"/>
      <c r="B72" s="1781"/>
      <c r="C72" s="370" t="s">
        <v>1163</v>
      </c>
      <c r="D72" s="2463"/>
      <c r="E72" s="2205"/>
      <c r="F72" s="2384"/>
      <c r="G72" s="2428"/>
      <c r="H72" s="1501"/>
      <c r="I72" s="652" t="s">
        <v>1164</v>
      </c>
      <c r="J72" s="572"/>
      <c r="K72" s="1501"/>
      <c r="L72" s="215"/>
      <c r="M72" s="2171"/>
      <c r="N72" s="335"/>
      <c r="O72" s="1625"/>
      <c r="P72" s="1625"/>
      <c r="AH72" s="1632">
        <v>0</v>
      </c>
    </row>
    <row s="1636" customFormat="1" customHeight="1" ht="0.75" hidden="1">
      <c r="A73" s="1781"/>
      <c r="B73" s="1781"/>
      <c r="C73" s="370" t="s">
        <v>1169</v>
      </c>
      <c r="D73" s="2463"/>
      <c r="E73" s="2205"/>
      <c r="F73" s="2384"/>
      <c r="G73" s="401"/>
      <c r="H73" s="1501"/>
      <c r="I73" s="652"/>
      <c r="J73" s="572"/>
      <c r="K73" s="1501"/>
      <c r="L73" s="215"/>
      <c r="M73" s="2171"/>
      <c r="N73" s="335"/>
      <c r="O73" s="1625"/>
      <c r="P73" s="1625"/>
      <c r="AH73" s="1632">
        <v>0</v>
      </c>
    </row>
    <row s="1636" customFormat="1" customHeight="1" ht="18.75" hidden="1">
      <c r="A74" s="1781" t="s">
        <v>272</v>
      </c>
      <c r="B74" s="1781" t="s">
        <v>273</v>
      </c>
      <c r="C74" s="370"/>
      <c r="D74" s="2463"/>
      <c r="E74" s="2205"/>
      <c r="F74" s="2384" t="str">
        <f>INDEX(PT_DIFFERENTIATION_VTAR,MATCH(A74,PT_DIFFERENTIATION_VTAR_ID,0))</f>
        <v>Тариф на подключение (технологическое присоединение) к централизованной системе горячего водоснабжения</v>
      </c>
      <c r="G74" s="2428" t="str">
        <f>INDEX(PT_DIFFERENTIATION_NTAR,MATCH(B74,PT_DIFFERENTIATION_NTAR_ID,0))</f>
        <v/>
      </c>
      <c r="H74" s="1863"/>
      <c r="I74" s="1740"/>
      <c r="J74" s="1774"/>
      <c r="K74" s="1866"/>
      <c r="L74" s="1863" t="s">
        <v>318</v>
      </c>
      <c r="M74" s="2171"/>
      <c r="N74" s="335"/>
      <c r="O74" s="1625"/>
      <c r="P74" s="1625"/>
      <c r="AH74" s="1632">
        <v>0</v>
      </c>
    </row>
    <row s="1636" customFormat="1" customHeight="1" ht="18.75" hidden="1">
      <c r="A75" s="1781"/>
      <c r="B75" s="1781"/>
      <c r="C75" s="370" t="s">
        <v>1163</v>
      </c>
      <c r="D75" s="2463"/>
      <c r="E75" s="2205"/>
      <c r="F75" s="2384"/>
      <c r="G75" s="2428"/>
      <c r="H75" s="1501"/>
      <c r="I75" s="652" t="s">
        <v>1164</v>
      </c>
      <c r="J75" s="572"/>
      <c r="K75" s="1501"/>
      <c r="L75" s="215"/>
      <c r="M75" s="2171"/>
      <c r="N75" s="335"/>
      <c r="O75" s="1625"/>
      <c r="P75" s="1625"/>
      <c r="AH75" s="1632">
        <v>0</v>
      </c>
    </row>
    <row s="1636" customFormat="1" customHeight="1" ht="0.75" hidden="1">
      <c r="A76" s="1781"/>
      <c r="B76" s="1781"/>
      <c r="C76" s="370" t="s">
        <v>1169</v>
      </c>
      <c r="D76" s="2463"/>
      <c r="E76" s="2205"/>
      <c r="F76" s="2384"/>
      <c r="G76" s="401"/>
      <c r="H76" s="1501"/>
      <c r="I76" s="652"/>
      <c r="J76" s="572"/>
      <c r="K76" s="1501"/>
      <c r="L76" s="215"/>
      <c r="M76" s="2171"/>
      <c r="N76" s="335"/>
      <c r="O76" s="1625"/>
      <c r="P76" s="1625"/>
      <c r="AH76" s="1632">
        <v>0</v>
      </c>
    </row>
    <row s="1636" customFormat="1" customHeight="1" ht="18.75" hidden="1">
      <c r="A77" s="1781" t="s">
        <v>277</v>
      </c>
      <c r="B77" s="1781" t="s">
        <v>278</v>
      </c>
      <c r="C77" s="370"/>
      <c r="D77" s="2463"/>
      <c r="E77" s="2205"/>
      <c r="F77" s="2384" t="str">
        <f>INDEX(PT_DIFFERENTIATION_VTAR,MATCH(A77,PT_DIFFERENTIATION_VTAR_ID,0))</f>
        <v>Тариф на водоотведение</v>
      </c>
      <c r="G77" s="2428" t="str">
        <f>INDEX(PT_DIFFERENTIATION_NTAR,MATCH(B77,PT_DIFFERENTIATION_NTAR_ID,0))</f>
        <v/>
      </c>
      <c r="H77" s="1863"/>
      <c r="I77" s="1740"/>
      <c r="J77" s="1774"/>
      <c r="K77" s="1866"/>
      <c r="L77" s="1863" t="s">
        <v>318</v>
      </c>
      <c r="M77" s="2171"/>
      <c r="N77" s="335"/>
      <c r="O77" s="1625"/>
      <c r="P77" s="1625"/>
      <c r="AH77" s="1632">
        <v>0</v>
      </c>
    </row>
    <row s="1636" customFormat="1" customHeight="1" ht="18.75" hidden="1">
      <c r="A78" s="1781"/>
      <c r="B78" s="1781"/>
      <c r="C78" s="370" t="s">
        <v>1163</v>
      </c>
      <c r="D78" s="2463"/>
      <c r="E78" s="2205"/>
      <c r="F78" s="2384"/>
      <c r="G78" s="2428"/>
      <c r="H78" s="1501"/>
      <c r="I78" s="652" t="s">
        <v>1164</v>
      </c>
      <c r="J78" s="572"/>
      <c r="K78" s="1501"/>
      <c r="L78" s="215"/>
      <c r="M78" s="2171"/>
      <c r="N78" s="335"/>
      <c r="O78" s="1625"/>
      <c r="P78" s="1625"/>
      <c r="AH78" s="1632">
        <v>0</v>
      </c>
    </row>
    <row s="1636" customFormat="1" customHeight="1" ht="0.75" hidden="1">
      <c r="A79" s="1781"/>
      <c r="B79" s="1781"/>
      <c r="C79" s="370" t="s">
        <v>1169</v>
      </c>
      <c r="D79" s="2463"/>
      <c r="E79" s="2205"/>
      <c r="F79" s="2384"/>
      <c r="G79" s="401"/>
      <c r="H79" s="1501"/>
      <c r="I79" s="652"/>
      <c r="J79" s="572"/>
      <c r="K79" s="1501"/>
      <c r="L79" s="215"/>
      <c r="M79" s="2171"/>
      <c r="N79" s="335"/>
      <c r="O79" s="1625"/>
      <c r="P79" s="1625"/>
      <c r="AH79" s="1632">
        <v>0</v>
      </c>
    </row>
    <row s="1636" customFormat="1" customHeight="1" ht="18.75" hidden="1">
      <c r="A80" s="1781" t="s">
        <v>282</v>
      </c>
      <c r="B80" s="1781" t="s">
        <v>283</v>
      </c>
      <c r="C80" s="370"/>
      <c r="D80" s="2463"/>
      <c r="E80" s="2205"/>
      <c r="F80" s="2384" t="str">
        <f>INDEX(PT_DIFFERENTIATION_VTAR,MATCH(A80,PT_DIFFERENTIATION_VTAR_ID,0))</f>
        <v>Тариф на транспортировку сточных вод</v>
      </c>
      <c r="G80" s="2428" t="str">
        <f>INDEX(PT_DIFFERENTIATION_NTAR,MATCH(B80,PT_DIFFERENTIATION_NTAR_ID,0))</f>
        <v/>
      </c>
      <c r="H80" s="1863"/>
      <c r="I80" s="1740"/>
      <c r="J80" s="1774"/>
      <c r="K80" s="1866"/>
      <c r="L80" s="1863" t="s">
        <v>318</v>
      </c>
      <c r="M80" s="2171"/>
      <c r="N80" s="335"/>
      <c r="O80" s="1625"/>
      <c r="P80" s="1625"/>
      <c r="AH80" s="1632">
        <v>0</v>
      </c>
    </row>
    <row s="1636" customFormat="1" customHeight="1" ht="18.75" hidden="1">
      <c r="A81" s="1781"/>
      <c r="B81" s="1781"/>
      <c r="C81" s="370" t="s">
        <v>1163</v>
      </c>
      <c r="D81" s="2463"/>
      <c r="E81" s="2205"/>
      <c r="F81" s="2384"/>
      <c r="G81" s="2428"/>
      <c r="H81" s="1501"/>
      <c r="I81" s="652" t="s">
        <v>1164</v>
      </c>
      <c r="J81" s="572"/>
      <c r="K81" s="1501"/>
      <c r="L81" s="215"/>
      <c r="M81" s="2171"/>
      <c r="N81" s="335"/>
      <c r="O81" s="1625"/>
      <c r="P81" s="1625"/>
      <c r="AH81" s="1632">
        <v>0</v>
      </c>
    </row>
    <row s="1636" customFormat="1" customHeight="1" ht="0.75" hidden="1">
      <c r="A82" s="1781"/>
      <c r="B82" s="1781"/>
      <c r="C82" s="370" t="s">
        <v>1169</v>
      </c>
      <c r="D82" s="2463"/>
      <c r="E82" s="2205"/>
      <c r="F82" s="2384"/>
      <c r="G82" s="401"/>
      <c r="H82" s="1501"/>
      <c r="I82" s="652"/>
      <c r="J82" s="572"/>
      <c r="K82" s="1501"/>
      <c r="L82" s="215"/>
      <c r="M82" s="2171"/>
      <c r="N82" s="335"/>
      <c r="O82" s="1625"/>
      <c r="P82" s="1625"/>
      <c r="AH82" s="1632">
        <v>0</v>
      </c>
    </row>
    <row s="1636" customFormat="1" customHeight="1" ht="18.75" hidden="1">
      <c r="A83" s="1781" t="s">
        <v>287</v>
      </c>
      <c r="B83" s="1781" t="s">
        <v>288</v>
      </c>
      <c r="C83" s="370"/>
      <c r="D83" s="2463"/>
      <c r="E83" s="2205"/>
      <c r="F83" s="2384" t="str">
        <f>INDEX(PT_DIFFERENTIATION_VTAR,MATCH(A83,PT_DIFFERENTIATION_VTAR_ID,0))</f>
        <v>Тариф на подключение (технологическое присоединение) к централизованной системе водоотведения</v>
      </c>
      <c r="G83" s="2428" t="str">
        <f>INDEX(PT_DIFFERENTIATION_NTAR,MATCH(B83,PT_DIFFERENTIATION_NTAR_ID,0))</f>
        <v/>
      </c>
      <c r="H83" s="1863"/>
      <c r="I83" s="1740"/>
      <c r="J83" s="1774"/>
      <c r="K83" s="1866"/>
      <c r="L83" s="1863" t="s">
        <v>318</v>
      </c>
      <c r="M83" s="2171"/>
      <c r="N83" s="335"/>
      <c r="O83" s="1625"/>
      <c r="P83" s="1625"/>
      <c r="AH83" s="1632">
        <v>0</v>
      </c>
    </row>
    <row s="1636" customFormat="1" customHeight="1" ht="18.75" hidden="1">
      <c r="A84" s="1781"/>
      <c r="B84" s="1781"/>
      <c r="C84" s="370" t="s">
        <v>1163</v>
      </c>
      <c r="D84" s="2463"/>
      <c r="E84" s="2205"/>
      <c r="F84" s="2384"/>
      <c r="G84" s="2428"/>
      <c r="H84" s="1501"/>
      <c r="I84" s="652" t="s">
        <v>1164</v>
      </c>
      <c r="J84" s="572"/>
      <c r="K84" s="1501"/>
      <c r="L84" s="215"/>
      <c r="M84" s="2171"/>
      <c r="N84" s="335"/>
      <c r="O84" s="1625"/>
      <c r="P84" s="1625"/>
      <c r="AH84" s="1632">
        <v>0</v>
      </c>
    </row>
    <row s="1636" customFormat="1" customHeight="1" ht="1.05">
      <c r="A85" s="1781"/>
      <c r="B85" s="1781"/>
      <c r="C85" s="370" t="s">
        <v>1169</v>
      </c>
      <c r="D85" s="2463"/>
      <c r="E85" s="2205"/>
      <c r="F85" s="2384"/>
      <c r="G85" s="401"/>
      <c r="H85" s="1501"/>
      <c r="I85" s="652"/>
      <c r="J85" s="572"/>
      <c r="K85" s="1501"/>
      <c r="L85" s="215"/>
      <c r="M85" s="2171"/>
      <c r="N85" s="335"/>
      <c r="O85" s="1625"/>
      <c r="P85" s="1625"/>
      <c r="AH85" s="1632">
        <v>1</v>
      </c>
    </row>
    <row customHeight="1" ht="19.95">
      <c r="A86" s="1781"/>
      <c r="B86" s="1781"/>
      <c r="D86" s="377"/>
      <c r="E86" s="148" t="s">
        <v>113</v>
      </c>
      <c r="F86" s="2461"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холодного водоснабжения)</v>
      </c>
      <c r="G86" s="2461"/>
      <c r="H86" s="2461"/>
      <c r="I86" s="2461"/>
      <c r="J86" s="2461"/>
      <c r="K86" s="2461"/>
      <c r="L86" s="2461"/>
      <c r="M86" s="298"/>
      <c r="N86" s="335"/>
      <c r="AH86" s="375">
        <v>19</v>
      </c>
    </row>
    <row customHeight="1" ht="35.699999999999996">
      <c r="A87" s="1781"/>
      <c r="B87" s="1781"/>
      <c r="D87" s="377"/>
      <c r="E87" s="400"/>
      <c r="F87" s="199" t="s">
        <v>318</v>
      </c>
      <c r="G87" s="199" t="s">
        <v>318</v>
      </c>
      <c r="H87" s="2219" t="s">
        <v>318</v>
      </c>
      <c r="I87" s="2221"/>
      <c r="J87" s="199" t="s">
        <v>318</v>
      </c>
      <c r="K87" s="199" t="s">
        <v>318</v>
      </c>
      <c r="L87" s="402"/>
      <c r="M87" s="346" t="s">
        <v>1170</v>
      </c>
      <c r="N87" s="335"/>
      <c r="AH87" s="375">
        <v>34</v>
      </c>
    </row>
    <row customHeight="1" ht="19.95">
      <c r="A88" s="1781"/>
      <c r="B88" s="1781"/>
      <c r="D88" s="377"/>
      <c r="E88" s="148" t="s">
        <v>92</v>
      </c>
      <c r="F88" s="2461" t="s">
        <v>1171</v>
      </c>
      <c r="G88" s="2461"/>
      <c r="H88" s="2461"/>
      <c r="I88" s="2461"/>
      <c r="J88" s="2461"/>
      <c r="K88" s="2461"/>
      <c r="L88" s="2461"/>
      <c r="M88" s="298"/>
      <c r="N88" s="335"/>
      <c r="AH88" s="375">
        <v>19</v>
      </c>
    </row>
    <row s="1636" customFormat="1" customHeight="1" ht="60.75" hidden="1">
      <c r="A89" s="1781" t="s">
        <v>158</v>
      </c>
      <c r="B89" s="1781" t="s">
        <v>159</v>
      </c>
      <c r="C89" s="370"/>
      <c r="D89" s="2463"/>
      <c r="E89" s="2205"/>
      <c r="F89" s="2384" t="str">
        <f>INDEX(PT_DIFFERENTIATION_VTAR,MATCH(A89,PT_DIFFERENTIATION_VTAR_ID,0))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9" s="2428" t="str">
        <f>INDEX(PT_DIFFERENTIATION_NTAR,MATCH(B89,PT_DIFFERENTIATION_NTAR_ID,0))</f>
        <v/>
      </c>
      <c r="H89" s="1863"/>
      <c r="I89" s="1740"/>
      <c r="J89" s="1774"/>
      <c r="K89" s="1779"/>
      <c r="L89" s="1863" t="s">
        <v>318</v>
      </c>
      <c r="M89"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9" s="335"/>
      <c r="O89" s="1625"/>
      <c r="P89" s="1625"/>
      <c r="AH89" s="1632">
        <v>0</v>
      </c>
    </row>
    <row s="1636" customFormat="1" customHeight="1" ht="18.75" hidden="1">
      <c r="A90" s="1781"/>
      <c r="B90" s="1781"/>
      <c r="C90" s="370" t="s">
        <v>1165</v>
      </c>
      <c r="D90" s="2463"/>
      <c r="E90" s="2205"/>
      <c r="F90" s="2384"/>
      <c r="G90" s="2428"/>
      <c r="H90" s="1501"/>
      <c r="I90" s="652" t="s">
        <v>1164</v>
      </c>
      <c r="J90" s="572"/>
      <c r="K90" s="1501"/>
      <c r="L90" s="215"/>
      <c r="M90" s="2171"/>
      <c r="N90" s="335"/>
      <c r="O90" s="1625"/>
      <c r="P90" s="1625"/>
      <c r="AH90" s="1632">
        <v>0</v>
      </c>
    </row>
    <row s="1636" customFormat="1" customHeight="1" ht="0.75" hidden="1">
      <c r="A91" s="1781"/>
      <c r="B91" s="1781"/>
      <c r="C91" s="370" t="s">
        <v>1172</v>
      </c>
      <c r="D91" s="2463"/>
      <c r="E91" s="2205"/>
      <c r="F91" s="2384"/>
      <c r="G91" s="401"/>
      <c r="H91" s="1501"/>
      <c r="I91" s="652"/>
      <c r="J91" s="572"/>
      <c r="K91" s="1501"/>
      <c r="L91" s="215"/>
      <c r="M91" s="2171"/>
      <c r="N91" s="335"/>
      <c r="O91" s="1625"/>
      <c r="P91" s="1625"/>
      <c r="AH91" s="1632">
        <v>0</v>
      </c>
    </row>
    <row s="1636" customFormat="1" customHeight="1" ht="45" hidden="1">
      <c r="A92" s="1781" t="s">
        <v>163</v>
      </c>
      <c r="B92" s="1781" t="s">
        <v>164</v>
      </c>
      <c r="C92" s="370"/>
      <c r="D92" s="2463"/>
      <c r="E92" s="2205"/>
      <c r="F92" s="2384" t="str">
        <f>INDEX(PT_DIFFERENTIATION_VTAR,MATCH(A92,PT_DIFFERENTIATION_VTAR_ID,0))</f>
        <v/>
      </c>
      <c r="G92" s="2428" t="str">
        <f>INDEX(PT_DIFFERENTIATION_NTAR,MATCH(B92,PT_DIFFERENTIATION_NTAR_ID,0))</f>
        <v/>
      </c>
      <c r="H92" s="1863"/>
      <c r="I92" s="1740"/>
      <c r="J92" s="1774"/>
      <c r="K92" s="1779"/>
      <c r="L92" s="1863" t="s">
        <v>318</v>
      </c>
      <c r="M92" s="2172"/>
      <c r="N92" s="335"/>
      <c r="O92" s="1625"/>
      <c r="P92" s="1625"/>
      <c r="AH92" s="1632">
        <v>0</v>
      </c>
    </row>
    <row s="1636" customFormat="1" customHeight="1" ht="18.75" hidden="1">
      <c r="A93" s="1781"/>
      <c r="B93" s="1781"/>
      <c r="C93" s="370" t="s">
        <v>1165</v>
      </c>
      <c r="D93" s="2463"/>
      <c r="E93" s="2205"/>
      <c r="F93" s="2384"/>
      <c r="G93" s="2428"/>
      <c r="H93" s="1501"/>
      <c r="I93" s="652" t="s">
        <v>1164</v>
      </c>
      <c r="J93" s="572"/>
      <c r="K93" s="1501"/>
      <c r="L93" s="215"/>
      <c r="M93" s="1862"/>
      <c r="N93" s="335"/>
      <c r="O93" s="1625"/>
      <c r="P93" s="1625"/>
      <c r="AH93" s="1632">
        <v>0</v>
      </c>
    </row>
    <row s="1636" customFormat="1" customHeight="1" ht="0.75" hidden="1">
      <c r="A94" s="1781"/>
      <c r="B94" s="1781"/>
      <c r="C94" s="370" t="s">
        <v>1172</v>
      </c>
      <c r="D94" s="2463"/>
      <c r="E94" s="2205"/>
      <c r="F94" s="2384"/>
      <c r="G94" s="401"/>
      <c r="H94" s="1501"/>
      <c r="I94" s="652"/>
      <c r="J94" s="572"/>
      <c r="K94" s="1501"/>
      <c r="L94" s="215"/>
      <c r="M94" s="342"/>
      <c r="N94" s="335"/>
      <c r="O94" s="1625"/>
      <c r="P94" s="1625"/>
      <c r="AH94" s="1632">
        <v>0</v>
      </c>
    </row>
    <row s="1636" customFormat="1" customHeight="1" ht="45" hidden="1">
      <c r="A95" s="1781" t="s">
        <v>170</v>
      </c>
      <c r="B95" s="1781" t="s">
        <v>171</v>
      </c>
      <c r="C95" s="370"/>
      <c r="D95" s="2463"/>
      <c r="E95" s="2205"/>
      <c r="F95" s="2384" t="str">
        <f>INDEX(PT_DIFFERENTIATION_VTAR,MATCH(A95,PT_DIFFERENTIATION_VTAR_ID,0))</f>
        <v>Тарифы на теплоноситель, поставляемый теплоснабжающими организациями потребителям, другим теплоснабжающим организациям</v>
      </c>
      <c r="G95" s="2428" t="str">
        <f>INDEX(PT_DIFFERENTIATION_NTAR,MATCH(B95,PT_DIFFERENTIATION_NTAR_ID,0))</f>
        <v/>
      </c>
      <c r="H95" s="1863"/>
      <c r="I95" s="1740"/>
      <c r="J95" s="1774"/>
      <c r="K95" s="1779"/>
      <c r="L95" s="1863" t="s">
        <v>318</v>
      </c>
      <c r="M95" s="342"/>
      <c r="N95" s="335"/>
      <c r="O95" s="1625"/>
      <c r="P95" s="1625"/>
      <c r="AH95" s="1632">
        <v>0</v>
      </c>
    </row>
    <row s="1636" customFormat="1" customHeight="1" ht="18.75" hidden="1">
      <c r="A96" s="1781"/>
      <c r="B96" s="1781"/>
      <c r="C96" s="370" t="s">
        <v>1165</v>
      </c>
      <c r="D96" s="2463"/>
      <c r="E96" s="2205"/>
      <c r="F96" s="2384"/>
      <c r="G96" s="2428"/>
      <c r="H96" s="1501"/>
      <c r="I96" s="652" t="s">
        <v>1164</v>
      </c>
      <c r="J96" s="572"/>
      <c r="K96" s="1501"/>
      <c r="L96" s="215"/>
      <c r="M96" s="342"/>
      <c r="N96" s="335"/>
      <c r="O96" s="1625"/>
      <c r="P96" s="1625"/>
      <c r="AH96" s="1632">
        <v>0</v>
      </c>
    </row>
    <row s="1636" customFormat="1" customHeight="1" ht="0.75" hidden="1">
      <c r="A97" s="1781"/>
      <c r="B97" s="1781"/>
      <c r="C97" s="370" t="s">
        <v>1172</v>
      </c>
      <c r="D97" s="2463"/>
      <c r="E97" s="2205"/>
      <c r="F97" s="2384"/>
      <c r="G97" s="401"/>
      <c r="H97" s="1501"/>
      <c r="I97" s="652"/>
      <c r="J97" s="572"/>
      <c r="K97" s="1501"/>
      <c r="L97" s="215"/>
      <c r="M97" s="342"/>
      <c r="N97" s="335"/>
      <c r="O97" s="1625"/>
      <c r="P97" s="1625"/>
      <c r="AH97" s="1632">
        <v>0</v>
      </c>
    </row>
    <row s="1636" customFormat="1" customHeight="1" ht="45" hidden="1">
      <c r="A98" s="1781" t="s">
        <v>176</v>
      </c>
      <c r="B98" s="1781" t="s">
        <v>177</v>
      </c>
      <c r="C98" s="370"/>
      <c r="D98" s="2463"/>
      <c r="E98" s="2205"/>
      <c r="F98" s="2384" t="str">
        <f>INDEX(PT_DIFFERENTIATION_VTAR,MATCH(A98,PT_DIFFERENTIATION_VTAR_ID,0))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8" s="2428" t="str">
        <f>INDEX(PT_DIFFERENTIATION_NTAR,MATCH(B98,PT_DIFFERENTIATION_NTAR_ID,0))</f>
        <v/>
      </c>
      <c r="H98" s="1863"/>
      <c r="I98" s="1740"/>
      <c r="J98" s="1774"/>
      <c r="K98" s="1779"/>
      <c r="L98" s="1863" t="s">
        <v>318</v>
      </c>
      <c r="M98" s="342"/>
      <c r="N98" s="335"/>
      <c r="O98" s="1625"/>
      <c r="P98" s="1625"/>
      <c r="AH98" s="1632">
        <v>0</v>
      </c>
    </row>
    <row s="1636" customFormat="1" customHeight="1" ht="18.75" hidden="1">
      <c r="A99" s="1781"/>
      <c r="B99" s="1781"/>
      <c r="C99" s="370" t="s">
        <v>1165</v>
      </c>
      <c r="D99" s="2463"/>
      <c r="E99" s="2205"/>
      <c r="F99" s="2384"/>
      <c r="G99" s="2428"/>
      <c r="H99" s="1501"/>
      <c r="I99" s="652" t="s">
        <v>1164</v>
      </c>
      <c r="J99" s="572"/>
      <c r="K99" s="1501"/>
      <c r="L99" s="215"/>
      <c r="M99" s="342"/>
      <c r="N99" s="335"/>
      <c r="O99" s="1625"/>
      <c r="P99" s="1625"/>
      <c r="AH99" s="1632">
        <v>0</v>
      </c>
    </row>
    <row s="1636" customFormat="1" customHeight="1" ht="0.75" hidden="1">
      <c r="A100" s="1781"/>
      <c r="B100" s="1781"/>
      <c r="C100" s="370" t="s">
        <v>1172</v>
      </c>
      <c r="D100" s="2463"/>
      <c r="E100" s="2205"/>
      <c r="F100" s="2384"/>
      <c r="G100" s="401"/>
      <c r="H100" s="1501"/>
      <c r="I100" s="652"/>
      <c r="J100" s="572"/>
      <c r="K100" s="1501"/>
      <c r="L100" s="215"/>
      <c r="M100" s="342"/>
      <c r="N100" s="335"/>
      <c r="O100" s="1625"/>
      <c r="P100" s="1625"/>
      <c r="AH100" s="1632">
        <v>0</v>
      </c>
    </row>
    <row s="1636" customFormat="1" customHeight="1" ht="18.75" hidden="1">
      <c r="A101" s="1781" t="s">
        <v>182</v>
      </c>
      <c r="B101" s="1781" t="s">
        <v>183</v>
      </c>
      <c r="C101" s="370"/>
      <c r="D101" s="2463"/>
      <c r="E101" s="2205"/>
      <c r="F101" s="2384" t="str">
        <f>INDEX(PT_DIFFERENTIATION_VTAR,MATCH(A101,PT_DIFFERENTIATION_VTAR_ID,0))</f>
        <v>Тарифы на услуги по передаче тепловой энергии</v>
      </c>
      <c r="G101" s="2428" t="str">
        <f>INDEX(PT_DIFFERENTIATION_NTAR,MATCH(B101,PT_DIFFERENTIATION_NTAR_ID,0))</f>
        <v/>
      </c>
      <c r="H101" s="1863"/>
      <c r="I101" s="1740"/>
      <c r="J101" s="1774"/>
      <c r="K101" s="1779"/>
      <c r="L101" s="1863" t="s">
        <v>318</v>
      </c>
      <c r="M101" s="342"/>
      <c r="N101" s="335"/>
      <c r="O101" s="1625"/>
      <c r="P101" s="1625"/>
      <c r="AH101" s="1632">
        <v>0</v>
      </c>
    </row>
    <row s="1636" customFormat="1" customHeight="1" ht="18.75" hidden="1">
      <c r="A102" s="1781"/>
      <c r="B102" s="1781"/>
      <c r="C102" s="370" t="s">
        <v>1165</v>
      </c>
      <c r="D102" s="2463"/>
      <c r="E102" s="2205"/>
      <c r="F102" s="2384"/>
      <c r="G102" s="2428"/>
      <c r="H102" s="1501"/>
      <c r="I102" s="652" t="s">
        <v>1164</v>
      </c>
      <c r="J102" s="572"/>
      <c r="K102" s="1501"/>
      <c r="L102" s="215"/>
      <c r="M102" s="342"/>
      <c r="N102" s="335"/>
      <c r="O102" s="1625"/>
      <c r="P102" s="1625"/>
      <c r="AH102" s="1632">
        <v>0</v>
      </c>
    </row>
    <row s="1636" customFormat="1" customHeight="1" ht="0.75" hidden="1">
      <c r="A103" s="1781"/>
      <c r="B103" s="1781"/>
      <c r="C103" s="370" t="s">
        <v>1172</v>
      </c>
      <c r="D103" s="2463"/>
      <c r="E103" s="2205"/>
      <c r="F103" s="2384"/>
      <c r="G103" s="401"/>
      <c r="H103" s="1501"/>
      <c r="I103" s="652"/>
      <c r="J103" s="572"/>
      <c r="K103" s="1501"/>
      <c r="L103" s="215"/>
      <c r="M103" s="342"/>
      <c r="N103" s="335"/>
      <c r="O103" s="1625"/>
      <c r="P103" s="1625"/>
      <c r="AH103" s="1632">
        <v>0</v>
      </c>
    </row>
    <row s="1636" customFormat="1" customHeight="1" ht="18.75" hidden="1">
      <c r="A104" s="1781" t="s">
        <v>188</v>
      </c>
      <c r="B104" s="1781" t="s">
        <v>189</v>
      </c>
      <c r="C104" s="370"/>
      <c r="D104" s="2463"/>
      <c r="E104" s="2205"/>
      <c r="F104" s="2384" t="str">
        <f>INDEX(PT_DIFFERENTIATION_VTAR,MATCH(A104,PT_DIFFERENTIATION_VTAR_ID,0))</f>
        <v>Тарифы на услуги по передаче теплоносителя</v>
      </c>
      <c r="G104" s="2428" t="str">
        <f>INDEX(PT_DIFFERENTIATION_NTAR,MATCH(B104,PT_DIFFERENTIATION_NTAR_ID,0))</f>
        <v/>
      </c>
      <c r="H104" s="1863"/>
      <c r="I104" s="1740"/>
      <c r="J104" s="1774"/>
      <c r="K104" s="1779"/>
      <c r="L104" s="1863" t="s">
        <v>318</v>
      </c>
      <c r="M104" s="342"/>
      <c r="N104" s="335"/>
      <c r="O104" s="1625"/>
      <c r="P104" s="1625"/>
      <c r="AH104" s="1632">
        <v>0</v>
      </c>
    </row>
    <row s="1636" customFormat="1" customHeight="1" ht="18.75" hidden="1">
      <c r="A105" s="1781"/>
      <c r="B105" s="1781"/>
      <c r="C105" s="370" t="s">
        <v>1165</v>
      </c>
      <c r="D105" s="2463"/>
      <c r="E105" s="2205"/>
      <c r="F105" s="2384"/>
      <c r="G105" s="2428"/>
      <c r="H105" s="1501"/>
      <c r="I105" s="652" t="s">
        <v>1164</v>
      </c>
      <c r="J105" s="572"/>
      <c r="K105" s="1501"/>
      <c r="L105" s="215"/>
      <c r="M105" s="342"/>
      <c r="N105" s="335"/>
      <c r="O105" s="1625"/>
      <c r="P105" s="1625"/>
      <c r="AH105" s="1632">
        <v>0</v>
      </c>
    </row>
    <row s="1636" customFormat="1" customHeight="1" ht="0.75" hidden="1">
      <c r="A106" s="1781"/>
      <c r="B106" s="1781"/>
      <c r="C106" s="370" t="s">
        <v>1172</v>
      </c>
      <c r="D106" s="2463"/>
      <c r="E106" s="2205"/>
      <c r="F106" s="2384"/>
      <c r="G106" s="401"/>
      <c r="H106" s="1501"/>
      <c r="I106" s="652"/>
      <c r="J106" s="572"/>
      <c r="K106" s="1501"/>
      <c r="L106" s="215"/>
      <c r="M106" s="342"/>
      <c r="N106" s="335"/>
      <c r="O106" s="1625"/>
      <c r="P106" s="1625"/>
      <c r="AH106" s="1632">
        <v>0</v>
      </c>
    </row>
    <row s="1636" customFormat="1" customHeight="1" ht="18.75" hidden="1">
      <c r="A107" s="1781" t="s">
        <v>194</v>
      </c>
      <c r="B107" s="1781" t="s">
        <v>195</v>
      </c>
      <c r="C107" s="370"/>
      <c r="D107" s="2463"/>
      <c r="E107" s="2205"/>
      <c r="F107" s="2384" t="str">
        <f>INDEX(PT_DIFFERENTIATION_VTAR,MATCH(A107,PT_DIFFERENTIATION_VTAR_ID,0))</f>
        <v>Плата за услуги по поддержанию резервной тепловой мощности при отсутствии потребления тепловой энергии</v>
      </c>
      <c r="G107" s="2428" t="str">
        <f>INDEX(PT_DIFFERENTIATION_NTAR,MATCH(B107,PT_DIFFERENTIATION_NTAR_ID,0))</f>
        <v/>
      </c>
      <c r="H107" s="1863"/>
      <c r="I107" s="1740"/>
      <c r="J107" s="1774"/>
      <c r="K107" s="1779"/>
      <c r="L107" s="1863" t="s">
        <v>318</v>
      </c>
      <c r="M107" s="342"/>
      <c r="N107" s="335"/>
      <c r="O107" s="1625"/>
      <c r="P107" s="1625"/>
      <c r="AH107" s="1632">
        <v>0</v>
      </c>
    </row>
    <row s="1636" customFormat="1" customHeight="1" ht="18.75" hidden="1">
      <c r="A108" s="1781"/>
      <c r="B108" s="1781"/>
      <c r="C108" s="370" t="s">
        <v>1165</v>
      </c>
      <c r="D108" s="2463"/>
      <c r="E108" s="2205"/>
      <c r="F108" s="2384"/>
      <c r="G108" s="2428"/>
      <c r="H108" s="1501"/>
      <c r="I108" s="652" t="s">
        <v>1164</v>
      </c>
      <c r="J108" s="572"/>
      <c r="K108" s="1501"/>
      <c r="L108" s="215"/>
      <c r="M108" s="342"/>
      <c r="N108" s="335"/>
      <c r="O108" s="1625"/>
      <c r="P108" s="1625"/>
      <c r="AH108" s="1632">
        <v>0</v>
      </c>
    </row>
    <row s="1636" customFormat="1" customHeight="1" ht="0.75" hidden="1">
      <c r="A109" s="1781"/>
      <c r="B109" s="1781"/>
      <c r="C109" s="370" t="s">
        <v>1172</v>
      </c>
      <c r="D109" s="2463"/>
      <c r="E109" s="2205"/>
      <c r="F109" s="2384"/>
      <c r="G109" s="401"/>
      <c r="H109" s="1501"/>
      <c r="I109" s="652"/>
      <c r="J109" s="572"/>
      <c r="K109" s="1501"/>
      <c r="L109" s="215"/>
      <c r="M109" s="342"/>
      <c r="N109" s="335"/>
      <c r="O109" s="1625"/>
      <c r="P109" s="1625"/>
      <c r="AH109" s="1632">
        <v>0</v>
      </c>
    </row>
    <row s="1636" customFormat="1" customHeight="1" ht="18.75" hidden="1">
      <c r="A110" s="1781" t="s">
        <v>200</v>
      </c>
      <c r="B110" s="1781" t="s">
        <v>201</v>
      </c>
      <c r="C110" s="370"/>
      <c r="D110" s="2463"/>
      <c r="E110" s="2205"/>
      <c r="F110" s="2384" t="str">
        <f>INDEX(PT_DIFFERENTIATION_VTAR,MATCH(A110,PT_DIFFERENTIATION_VTAR_ID,0))</f>
        <v>Плата за подключение (технологическое присоединение) к системе теплоснабжения</v>
      </c>
      <c r="G110" s="2428" t="str">
        <f>INDEX(PT_DIFFERENTIATION_NTAR,MATCH(B110,PT_DIFFERENTIATION_NTAR_ID,0))</f>
        <v/>
      </c>
      <c r="H110" s="1863"/>
      <c r="I110" s="1740"/>
      <c r="J110" s="1774"/>
      <c r="K110" s="1779"/>
      <c r="L110" s="1863" t="s">
        <v>318</v>
      </c>
      <c r="M110" s="342"/>
      <c r="N110" s="335"/>
      <c r="O110" s="1625"/>
      <c r="P110" s="1625"/>
      <c r="AH110" s="1632">
        <v>0</v>
      </c>
    </row>
    <row s="1636" customFormat="1" customHeight="1" ht="18.75" hidden="1">
      <c r="A111" s="1781"/>
      <c r="B111" s="1781"/>
      <c r="C111" s="370" t="s">
        <v>1165</v>
      </c>
      <c r="D111" s="2463"/>
      <c r="E111" s="2205"/>
      <c r="F111" s="2384"/>
      <c r="G111" s="2428"/>
      <c r="H111" s="1501"/>
      <c r="I111" s="652" t="s">
        <v>1164</v>
      </c>
      <c r="J111" s="572"/>
      <c r="K111" s="1501"/>
      <c r="L111" s="215"/>
      <c r="M111" s="342"/>
      <c r="N111" s="335"/>
      <c r="O111" s="1625"/>
      <c r="P111" s="1625"/>
      <c r="AH111" s="1632">
        <v>0</v>
      </c>
    </row>
    <row s="1636" customFormat="1" customHeight="1" ht="0.75" hidden="1">
      <c r="A112" s="1781"/>
      <c r="B112" s="1781"/>
      <c r="C112" s="370" t="s">
        <v>1172</v>
      </c>
      <c r="D112" s="2463"/>
      <c r="E112" s="2205"/>
      <c r="F112" s="2384"/>
      <c r="G112" s="401"/>
      <c r="H112" s="1501"/>
      <c r="I112" s="652"/>
      <c r="J112" s="572"/>
      <c r="K112" s="1501"/>
      <c r="L112" s="215"/>
      <c r="M112" s="342"/>
      <c r="N112" s="335"/>
      <c r="O112" s="1625"/>
      <c r="P112" s="1625"/>
      <c r="AH112" s="1632">
        <v>0</v>
      </c>
    </row>
    <row s="1636" customFormat="1" customHeight="1" ht="18.75" hidden="1">
      <c r="A113" s="1781" t="s">
        <v>206</v>
      </c>
      <c r="B113" s="1781" t="s">
        <v>207</v>
      </c>
      <c r="C113" s="370"/>
      <c r="D113" s="2463"/>
      <c r="E113" s="2205"/>
      <c r="F113" s="2384" t="str">
        <f>INDEX(PT_DIFFERENTIATION_VTAR,MATCH(A113,PT_DIFFERENTIATION_VTAR_ID,0))</f>
        <v>Плата за подключение (технологическое присоединение) к системе теплоснабжения (индивидуальная)</v>
      </c>
      <c r="G113" s="2428" t="str">
        <f>INDEX(PT_DIFFERENTIATION_NTAR,MATCH(B113,PT_DIFFERENTIATION_NTAR_ID,0))</f>
        <v/>
      </c>
      <c r="H113" s="1990"/>
      <c r="I113" s="1740"/>
      <c r="J113" s="1774"/>
      <c r="K113" s="1779"/>
      <c r="L113" s="1990" t="s">
        <v>318</v>
      </c>
      <c r="M113" s="342"/>
      <c r="N113" s="335"/>
      <c r="O113" s="1625"/>
      <c r="P113" s="1625"/>
      <c r="AH113" s="1632">
        <v>0</v>
      </c>
    </row>
    <row s="1636" customFormat="1" customHeight="1" ht="18.75" hidden="1">
      <c r="A114" s="1781"/>
      <c r="B114" s="1781"/>
      <c r="C114" s="370" t="s">
        <v>1165</v>
      </c>
      <c r="D114" s="2463"/>
      <c r="E114" s="2205"/>
      <c r="F114" s="2384"/>
      <c r="G114" s="2428"/>
      <c r="H114" s="1501"/>
      <c r="I114" s="652" t="s">
        <v>1164</v>
      </c>
      <c r="J114" s="572"/>
      <c r="K114" s="1501"/>
      <c r="L114" s="215"/>
      <c r="M114" s="342"/>
      <c r="N114" s="335"/>
      <c r="O114" s="1625"/>
      <c r="P114" s="1625"/>
      <c r="AH114" s="1632">
        <v>0</v>
      </c>
    </row>
    <row s="1636" customFormat="1" customHeight="1" ht="0.75" hidden="1">
      <c r="A115" s="1781"/>
      <c r="B115" s="1781"/>
      <c r="C115" s="370" t="s">
        <v>1172</v>
      </c>
      <c r="D115" s="2463"/>
      <c r="E115" s="2205"/>
      <c r="F115" s="2384"/>
      <c r="G115" s="401"/>
      <c r="H115" s="1501"/>
      <c r="I115" s="652"/>
      <c r="J115" s="572"/>
      <c r="K115" s="1501"/>
      <c r="L115" s="215"/>
      <c r="M115" s="342"/>
      <c r="N115" s="335"/>
      <c r="O115" s="1625"/>
      <c r="P115" s="1625"/>
      <c r="AH115" s="1632">
        <v>0</v>
      </c>
    </row>
    <row s="1636" customFormat="1" customHeight="1" ht="18.75" hidden="1">
      <c r="A116" s="1781" t="s">
        <v>228</v>
      </c>
      <c r="B116" s="1781" t="s">
        <v>229</v>
      </c>
      <c r="C116" s="370"/>
      <c r="D116" s="2463"/>
      <c r="E116" s="2205"/>
      <c r="F116" s="2384" t="str">
        <f>INDEX(PT_DIFFERENTIATION_VTAR,MATCH(A116,PT_DIFFERENTIATION_VTAR_ID,0))</f>
        <v>Тариф на питьевую воду (питьевое водоснабжение)</v>
      </c>
      <c r="G116" s="2428" t="str">
        <f>INDEX(PT_DIFFERENTIATION_NTAR,MATCH(B116,PT_DIFFERENTIATION_NTAR_ID,0))</f>
        <v>Тарифы на питьевую воду (питьевое водоснабжение), поставляемую потребителям ИМУП "Посжилкомсервис"
</v>
      </c>
      <c r="H116" s="1863"/>
      <c r="I116" s="1740"/>
      <c r="J116" s="1774"/>
      <c r="K116" s="1779"/>
      <c r="L116" s="1863" t="s">
        <v>318</v>
      </c>
      <c r="M116" s="342"/>
      <c r="N116" s="335"/>
      <c r="O116" s="1625"/>
      <c r="P116" s="1625"/>
      <c r="AH116" s="1632">
        <v>0</v>
      </c>
    </row>
    <row s="1636" customFormat="1" customHeight="1" ht="18.75" hidden="1">
      <c r="A117" s="1781"/>
      <c r="B117" s="1781"/>
      <c r="C117" s="370" t="s">
        <v>1165</v>
      </c>
      <c r="D117" s="2463"/>
      <c r="E117" s="2205"/>
      <c r="F117" s="2384"/>
      <c r="G117" s="2428"/>
      <c r="H117" s="1501"/>
      <c r="I117" s="652" t="s">
        <v>1164</v>
      </c>
      <c r="J117" s="572"/>
      <c r="K117" s="1501"/>
      <c r="L117" s="215"/>
      <c r="M117" s="342"/>
      <c r="N117" s="335"/>
      <c r="O117" s="1625"/>
      <c r="P117" s="1625"/>
      <c r="AH117" s="1632">
        <v>0</v>
      </c>
    </row>
    <row s="1636" customFormat="1" customHeight="1" ht="18.75">
      <c r="A118" s="1824" t="s">
        <v>228</v>
      </c>
      <c r="B118" s="1824" t="s">
        <v>236</v>
      </c>
      <c r="C118" s="1688"/>
      <c r="D118" s="345"/>
      <c r="E118" s="1032"/>
      <c r="F118" s="1032"/>
      <c r="G118" s="2428" t="str">
        <f>INDEX(PT_DIFFERENTIATION_NTAR,MATCH(B118,PT_DIFFERENTIATION_NTAR_ID,0))</f>
        <v>Льготные тарифы на питьевую воду (питьевое водоснабжение), поставляемую населению и потребителям, приравненным к населению ИМУП "Посжилкомсервис"
</v>
      </c>
      <c r="H118" s="2272"/>
      <c r="I118" s="1740"/>
      <c r="J118" s="1774"/>
      <c r="K118" s="1779"/>
      <c r="L118" s="2272" t="s">
        <v>318</v>
      </c>
      <c r="M118" s="2319"/>
      <c r="N118" s="619"/>
      <c r="O118" s="1625"/>
      <c r="P118" s="1625"/>
      <c r="Q118" s="1636"/>
      <c r="R118" s="1636"/>
      <c r="S118" s="1636"/>
      <c r="T118" s="1636"/>
      <c r="U118" s="1636"/>
      <c r="V118" s="1636"/>
      <c r="W118" s="1636"/>
      <c r="X118" s="1636"/>
      <c r="Y118" s="1636"/>
      <c r="Z118" s="1636"/>
      <c r="AA118" s="1636"/>
      <c r="AB118" s="1636"/>
      <c r="AC118" s="1636"/>
      <c r="AD118" s="1636"/>
      <c r="AE118" s="1636"/>
      <c r="AF118" s="1636"/>
      <c r="AG118" s="1636"/>
      <c r="AH118" s="1636">
        <v>0</v>
      </c>
    </row>
    <row s="1636" customFormat="1" customHeight="1" ht="18.75">
      <c r="A119" s="1824"/>
      <c r="B119" s="1824"/>
      <c r="C119" s="1688" t="s">
        <v>1165</v>
      </c>
      <c r="D119" s="345"/>
      <c r="E119" s="1032"/>
      <c r="F119" s="1032"/>
      <c r="G119" s="2428"/>
      <c r="H119" s="2798"/>
      <c r="I119" s="2799" t="s">
        <v>1164</v>
      </c>
      <c r="J119" s="2800"/>
      <c r="K119" s="2801"/>
      <c r="L119" s="2802"/>
      <c r="M119" s="2319"/>
      <c r="N119" s="619"/>
      <c r="O119" s="1625"/>
      <c r="P119" s="1625"/>
      <c r="Q119" s="1636"/>
      <c r="R119" s="1636"/>
      <c r="S119" s="1636"/>
      <c r="T119" s="1636"/>
      <c r="U119" s="1636"/>
      <c r="V119" s="1636"/>
      <c r="W119" s="1636"/>
      <c r="X119" s="1636"/>
      <c r="Y119" s="1636"/>
      <c r="Z119" s="1636"/>
      <c r="AA119" s="1636"/>
      <c r="AB119" s="1636"/>
      <c r="AC119" s="1636"/>
      <c r="AD119" s="1636"/>
      <c r="AE119" s="1636"/>
      <c r="AF119" s="1636"/>
      <c r="AG119" s="1636"/>
      <c r="AH119" s="1636">
        <v>0</v>
      </c>
    </row>
    <row s="1636" customFormat="1" customHeight="1" ht="0.75" hidden="1">
      <c r="A120" s="1781"/>
      <c r="B120" s="1781"/>
      <c r="C120" s="370" t="s">
        <v>1172</v>
      </c>
      <c r="D120" s="2463"/>
      <c r="E120" s="2205"/>
      <c r="F120" s="2384"/>
      <c r="G120" s="401"/>
      <c r="H120" s="1501"/>
      <c r="I120" s="652"/>
      <c r="J120" s="572"/>
      <c r="K120" s="1501"/>
      <c r="L120" s="215"/>
      <c r="M120" s="342"/>
      <c r="N120" s="335"/>
      <c r="O120" s="1625"/>
      <c r="P120" s="1625"/>
      <c r="AH120" s="1632">
        <v>0</v>
      </c>
    </row>
    <row s="1636" customFormat="1" customHeight="1" ht="18.75" hidden="1">
      <c r="A121" s="1781" t="s">
        <v>242</v>
      </c>
      <c r="B121" s="1781" t="s">
        <v>243</v>
      </c>
      <c r="C121" s="370"/>
      <c r="D121" s="2463"/>
      <c r="E121" s="2205"/>
      <c r="F121" s="2384" t="str">
        <f>INDEX(PT_DIFFERENTIATION_VTAR,MATCH(A121,PT_DIFFERENTIATION_VTAR_ID,0))</f>
        <v>Тариф на техническую воду</v>
      </c>
      <c r="G121" s="2428" t="str">
        <f>INDEX(PT_DIFFERENTIATION_NTAR,MATCH(B121,PT_DIFFERENTIATION_NTAR_ID,0))</f>
        <v/>
      </c>
      <c r="H121" s="1863"/>
      <c r="I121" s="1740"/>
      <c r="J121" s="1774"/>
      <c r="K121" s="1779"/>
      <c r="L121" s="1863" t="s">
        <v>318</v>
      </c>
      <c r="M121" s="342"/>
      <c r="N121" s="335"/>
      <c r="O121" s="1625"/>
      <c r="P121" s="1625"/>
      <c r="AH121" s="1632">
        <v>0</v>
      </c>
    </row>
    <row s="1636" customFormat="1" customHeight="1" ht="18.75" hidden="1">
      <c r="A122" s="1781"/>
      <c r="B122" s="1781"/>
      <c r="C122" s="370" t="s">
        <v>1165</v>
      </c>
      <c r="D122" s="2463"/>
      <c r="E122" s="2205"/>
      <c r="F122" s="2384"/>
      <c r="G122" s="2428"/>
      <c r="H122" s="1501"/>
      <c r="I122" s="652" t="s">
        <v>1164</v>
      </c>
      <c r="J122" s="572"/>
      <c r="K122" s="1501"/>
      <c r="L122" s="215"/>
      <c r="M122" s="342"/>
      <c r="N122" s="335"/>
      <c r="O122" s="1625"/>
      <c r="P122" s="1625"/>
      <c r="AH122" s="1632">
        <v>0</v>
      </c>
    </row>
    <row s="1636" customFormat="1" customHeight="1" ht="0.75" hidden="1">
      <c r="A123" s="1781"/>
      <c r="B123" s="1781"/>
      <c r="C123" s="370" t="s">
        <v>1172</v>
      </c>
      <c r="D123" s="2463"/>
      <c r="E123" s="2205"/>
      <c r="F123" s="2384"/>
      <c r="G123" s="401"/>
      <c r="H123" s="1501"/>
      <c r="I123" s="652"/>
      <c r="J123" s="572"/>
      <c r="K123" s="1501"/>
      <c r="L123" s="215"/>
      <c r="M123" s="342"/>
      <c r="N123" s="335"/>
      <c r="O123" s="1625"/>
      <c r="P123" s="1625"/>
      <c r="AH123" s="1632">
        <v>0</v>
      </c>
    </row>
    <row s="1636" customFormat="1" customHeight="1" ht="18.75" hidden="1">
      <c r="A124" s="1781" t="s">
        <v>247</v>
      </c>
      <c r="B124" s="1781" t="s">
        <v>248</v>
      </c>
      <c r="C124" s="370"/>
      <c r="D124" s="2463"/>
      <c r="E124" s="2205"/>
      <c r="F124" s="2384" t="str">
        <f>INDEX(PT_DIFFERENTIATION_VTAR,MATCH(A124,PT_DIFFERENTIATION_VTAR_ID,0))</f>
        <v>Тариф на транспортировку воды</v>
      </c>
      <c r="G124" s="2428" t="str">
        <f>INDEX(PT_DIFFERENTIATION_NTAR,MATCH(B124,PT_DIFFERENTIATION_NTAR_ID,0))</f>
        <v/>
      </c>
      <c r="H124" s="1863"/>
      <c r="I124" s="1740"/>
      <c r="J124" s="1774"/>
      <c r="K124" s="1779"/>
      <c r="L124" s="1863" t="s">
        <v>318</v>
      </c>
      <c r="M124" s="342"/>
      <c r="N124" s="335"/>
      <c r="O124" s="1625"/>
      <c r="P124" s="1625"/>
      <c r="AH124" s="1632">
        <v>0</v>
      </c>
    </row>
    <row s="1636" customFormat="1" customHeight="1" ht="18.75" hidden="1">
      <c r="A125" s="1781"/>
      <c r="B125" s="1781"/>
      <c r="C125" s="370" t="s">
        <v>1165</v>
      </c>
      <c r="D125" s="2463"/>
      <c r="E125" s="2205"/>
      <c r="F125" s="2384"/>
      <c r="G125" s="2428"/>
      <c r="H125" s="1501"/>
      <c r="I125" s="652" t="s">
        <v>1164</v>
      </c>
      <c r="J125" s="572"/>
      <c r="K125" s="1501"/>
      <c r="L125" s="215"/>
      <c r="M125" s="342"/>
      <c r="N125" s="335"/>
      <c r="O125" s="1625"/>
      <c r="P125" s="1625"/>
      <c r="AH125" s="1632">
        <v>0</v>
      </c>
    </row>
    <row s="1636" customFormat="1" customHeight="1" ht="0.75" hidden="1">
      <c r="A126" s="1781"/>
      <c r="B126" s="1781"/>
      <c r="C126" s="370" t="s">
        <v>1172</v>
      </c>
      <c r="D126" s="2463"/>
      <c r="E126" s="2205"/>
      <c r="F126" s="2384"/>
      <c r="G126" s="401"/>
      <c r="H126" s="1501"/>
      <c r="I126" s="652"/>
      <c r="J126" s="572"/>
      <c r="K126" s="1501"/>
      <c r="L126" s="215"/>
      <c r="M126" s="342"/>
      <c r="N126" s="335"/>
      <c r="O126" s="1625"/>
      <c r="P126" s="1625"/>
      <c r="AH126" s="1632">
        <v>0</v>
      </c>
    </row>
    <row s="1636" customFormat="1" customHeight="1" ht="18.75" hidden="1">
      <c r="A127" s="1781" t="s">
        <v>252</v>
      </c>
      <c r="B127" s="1781" t="s">
        <v>253</v>
      </c>
      <c r="C127" s="370"/>
      <c r="D127" s="2463"/>
      <c r="E127" s="2205"/>
      <c r="F127" s="2384" t="str">
        <f>INDEX(PT_DIFFERENTIATION_VTAR,MATCH(A127,PT_DIFFERENTIATION_VTAR_ID,0))</f>
        <v>Тариф на подвоз воды</v>
      </c>
      <c r="G127" s="2428" t="str">
        <f>INDEX(PT_DIFFERENTIATION_NTAR,MATCH(B127,PT_DIFFERENTIATION_NTAR_ID,0))</f>
        <v/>
      </c>
      <c r="H127" s="1863"/>
      <c r="I127" s="1740"/>
      <c r="J127" s="1774"/>
      <c r="K127" s="1779"/>
      <c r="L127" s="1863" t="s">
        <v>318</v>
      </c>
      <c r="M127" s="342"/>
      <c r="N127" s="335"/>
      <c r="O127" s="1625"/>
      <c r="P127" s="1625"/>
      <c r="AH127" s="1632">
        <v>0</v>
      </c>
    </row>
    <row s="1636" customFormat="1" customHeight="1" ht="18.75" hidden="1">
      <c r="A128" s="1781"/>
      <c r="B128" s="1781"/>
      <c r="C128" s="370" t="s">
        <v>1165</v>
      </c>
      <c r="D128" s="2463"/>
      <c r="E128" s="2205"/>
      <c r="F128" s="2384"/>
      <c r="G128" s="2428"/>
      <c r="H128" s="1501"/>
      <c r="I128" s="652" t="s">
        <v>1164</v>
      </c>
      <c r="J128" s="572"/>
      <c r="K128" s="1501"/>
      <c r="L128" s="215"/>
      <c r="M128" s="342"/>
      <c r="N128" s="335"/>
      <c r="O128" s="1625"/>
      <c r="P128" s="1625"/>
      <c r="AH128" s="1632">
        <v>0</v>
      </c>
    </row>
    <row s="1636" customFormat="1" customHeight="1" ht="0.75" hidden="1">
      <c r="A129" s="1781"/>
      <c r="B129" s="1781"/>
      <c r="C129" s="370" t="s">
        <v>1172</v>
      </c>
      <c r="D129" s="2463"/>
      <c r="E129" s="2205"/>
      <c r="F129" s="2384"/>
      <c r="G129" s="401"/>
      <c r="H129" s="1501"/>
      <c r="I129" s="652"/>
      <c r="J129" s="572"/>
      <c r="K129" s="1501"/>
      <c r="L129" s="215"/>
      <c r="M129" s="342"/>
      <c r="N129" s="335"/>
      <c r="O129" s="1625"/>
      <c r="P129" s="1625"/>
      <c r="AH129" s="1632">
        <v>0</v>
      </c>
    </row>
    <row s="1636" customFormat="1" customHeight="1" ht="18.75" hidden="1">
      <c r="A130" s="1781" t="s">
        <v>257</v>
      </c>
      <c r="B130" s="1781" t="s">
        <v>258</v>
      </c>
      <c r="C130" s="370"/>
      <c r="D130" s="2463"/>
      <c r="E130" s="2205"/>
      <c r="F130" s="2384" t="str">
        <f>INDEX(PT_DIFFERENTIATION_VTAR,MATCH(A130,PT_DIFFERENTIATION_VTAR_ID,0))</f>
        <v>Тариф на подключение (технологическое присоединение) к централизованной системе холодного водоснабжения</v>
      </c>
      <c r="G130" s="2428" t="str">
        <f>INDEX(PT_DIFFERENTIATION_NTAR,MATCH(B130,PT_DIFFERENTIATION_NTAR_ID,0))</f>
        <v/>
      </c>
      <c r="H130" s="1863"/>
      <c r="I130" s="1740"/>
      <c r="J130" s="1774"/>
      <c r="K130" s="1779"/>
      <c r="L130" s="1863" t="s">
        <v>318</v>
      </c>
      <c r="M130" s="342"/>
      <c r="N130" s="335"/>
      <c r="O130" s="1625"/>
      <c r="P130" s="1625"/>
      <c r="AH130" s="1632">
        <v>0</v>
      </c>
    </row>
    <row s="1636" customFormat="1" customHeight="1" ht="18.75" hidden="1">
      <c r="A131" s="1781"/>
      <c r="B131" s="1781"/>
      <c r="C131" s="370" t="s">
        <v>1165</v>
      </c>
      <c r="D131" s="2463"/>
      <c r="E131" s="2205"/>
      <c r="F131" s="2384"/>
      <c r="G131" s="2428"/>
      <c r="H131" s="1501"/>
      <c r="I131" s="652" t="s">
        <v>1164</v>
      </c>
      <c r="J131" s="572"/>
      <c r="K131" s="1501"/>
      <c r="L131" s="215"/>
      <c r="M131" s="342"/>
      <c r="N131" s="335"/>
      <c r="O131" s="1625"/>
      <c r="P131" s="1625"/>
      <c r="AH131" s="1632">
        <v>0</v>
      </c>
    </row>
    <row s="1636" customFormat="1" customHeight="1" ht="0.75" hidden="1">
      <c r="A132" s="1781"/>
      <c r="B132" s="1781"/>
      <c r="C132" s="370" t="s">
        <v>1172</v>
      </c>
      <c r="D132" s="2463"/>
      <c r="E132" s="2205"/>
      <c r="F132" s="2384"/>
      <c r="G132" s="401"/>
      <c r="H132" s="1501"/>
      <c r="I132" s="652"/>
      <c r="J132" s="572"/>
      <c r="K132" s="1501"/>
      <c r="L132" s="215"/>
      <c r="M132" s="342"/>
      <c r="N132" s="335"/>
      <c r="O132" s="1625"/>
      <c r="P132" s="1625"/>
      <c r="AH132" s="1632">
        <v>0</v>
      </c>
    </row>
    <row s="1636" customFormat="1" customHeight="1" ht="18.75" hidden="1">
      <c r="A133" s="1781" t="s">
        <v>262</v>
      </c>
      <c r="B133" s="1781" t="s">
        <v>263</v>
      </c>
      <c r="C133" s="370"/>
      <c r="D133" s="2463"/>
      <c r="E133" s="2205"/>
      <c r="F133" s="2384" t="str">
        <f>INDEX(PT_DIFFERENTIATION_VTAR,MATCH(A133,PT_DIFFERENTIATION_VTAR_ID,0))</f>
        <v>Тариф на горячую воду (горячее водоснабжение)</v>
      </c>
      <c r="G133" s="2428" t="str">
        <f>INDEX(PT_DIFFERENTIATION_NTAR,MATCH(B133,PT_DIFFERENTIATION_NTAR_ID,0))</f>
        <v/>
      </c>
      <c r="H133" s="1863"/>
      <c r="I133" s="1740"/>
      <c r="J133" s="1774"/>
      <c r="K133" s="1779"/>
      <c r="L133" s="1863" t="s">
        <v>318</v>
      </c>
      <c r="M133" s="342"/>
      <c r="N133" s="335"/>
      <c r="O133" s="1625"/>
      <c r="P133" s="1625"/>
      <c r="AH133" s="1632">
        <v>0</v>
      </c>
    </row>
    <row s="1636" customFormat="1" customHeight="1" ht="18.75" hidden="1">
      <c r="A134" s="1781"/>
      <c r="B134" s="1781"/>
      <c r="C134" s="370" t="s">
        <v>1165</v>
      </c>
      <c r="D134" s="2463"/>
      <c r="E134" s="2205"/>
      <c r="F134" s="2384"/>
      <c r="G134" s="2428"/>
      <c r="H134" s="1501"/>
      <c r="I134" s="652" t="s">
        <v>1164</v>
      </c>
      <c r="J134" s="572"/>
      <c r="K134" s="1501"/>
      <c r="L134" s="215"/>
      <c r="M134" s="342"/>
      <c r="N134" s="335"/>
      <c r="O134" s="1625"/>
      <c r="P134" s="1625"/>
      <c r="AH134" s="1632">
        <v>0</v>
      </c>
    </row>
    <row s="1636" customFormat="1" customHeight="1" ht="0.75" hidden="1">
      <c r="A135" s="1781"/>
      <c r="B135" s="1781"/>
      <c r="C135" s="370" t="s">
        <v>1172</v>
      </c>
      <c r="D135" s="2463"/>
      <c r="E135" s="2205"/>
      <c r="F135" s="2384"/>
      <c r="G135" s="401"/>
      <c r="H135" s="1501"/>
      <c r="I135" s="652"/>
      <c r="J135" s="572"/>
      <c r="K135" s="1501"/>
      <c r="L135" s="215"/>
      <c r="M135" s="342"/>
      <c r="N135" s="335"/>
      <c r="O135" s="1625"/>
      <c r="P135" s="1625"/>
      <c r="AH135" s="1632">
        <v>0</v>
      </c>
    </row>
    <row s="1636" customFormat="1" customHeight="1" ht="18.75" hidden="1">
      <c r="A136" s="1781" t="s">
        <v>267</v>
      </c>
      <c r="B136" s="1781" t="s">
        <v>268</v>
      </c>
      <c r="C136" s="370"/>
      <c r="D136" s="2463"/>
      <c r="E136" s="2205"/>
      <c r="F136" s="2384" t="str">
        <f>INDEX(PT_DIFFERENTIATION_VTAR,MATCH(A136,PT_DIFFERENTIATION_VTAR_ID,0))</f>
        <v>Тариф на транспортировку горячей воды</v>
      </c>
      <c r="G136" s="2428" t="str">
        <f>INDEX(PT_DIFFERENTIATION_NTAR,MATCH(B136,PT_DIFFERENTIATION_NTAR_ID,0))</f>
        <v/>
      </c>
      <c r="H136" s="1863"/>
      <c r="I136" s="1740"/>
      <c r="J136" s="1774"/>
      <c r="K136" s="1779"/>
      <c r="L136" s="1863" t="s">
        <v>318</v>
      </c>
      <c r="M136" s="342"/>
      <c r="N136" s="335"/>
      <c r="O136" s="1625"/>
      <c r="P136" s="1625"/>
      <c r="AH136" s="1632">
        <v>0</v>
      </c>
    </row>
    <row s="1636" customFormat="1" customHeight="1" ht="18.75" hidden="1">
      <c r="A137" s="1781"/>
      <c r="B137" s="1781"/>
      <c r="C137" s="370" t="s">
        <v>1165</v>
      </c>
      <c r="D137" s="2463"/>
      <c r="E137" s="2205"/>
      <c r="F137" s="2384"/>
      <c r="G137" s="2428"/>
      <c r="H137" s="1501"/>
      <c r="I137" s="652" t="s">
        <v>1164</v>
      </c>
      <c r="J137" s="572"/>
      <c r="K137" s="1501"/>
      <c r="L137" s="215"/>
      <c r="M137" s="342"/>
      <c r="N137" s="335"/>
      <c r="O137" s="1625"/>
      <c r="P137" s="1625"/>
      <c r="AH137" s="1632">
        <v>0</v>
      </c>
    </row>
    <row s="1636" customFormat="1" customHeight="1" ht="0.75" hidden="1">
      <c r="A138" s="1781"/>
      <c r="B138" s="1781"/>
      <c r="C138" s="370" t="s">
        <v>1172</v>
      </c>
      <c r="D138" s="2463"/>
      <c r="E138" s="2205"/>
      <c r="F138" s="2384"/>
      <c r="G138" s="401"/>
      <c r="H138" s="1501"/>
      <c r="I138" s="652"/>
      <c r="J138" s="572"/>
      <c r="K138" s="1501"/>
      <c r="L138" s="215"/>
      <c r="M138" s="342"/>
      <c r="N138" s="335"/>
      <c r="O138" s="1625"/>
      <c r="P138" s="1625"/>
      <c r="AH138" s="1632">
        <v>0</v>
      </c>
    </row>
    <row s="1636" customFormat="1" customHeight="1" ht="18.75" hidden="1">
      <c r="A139" s="1781" t="s">
        <v>272</v>
      </c>
      <c r="B139" s="1781" t="s">
        <v>273</v>
      </c>
      <c r="C139" s="370"/>
      <c r="D139" s="2463"/>
      <c r="E139" s="2205"/>
      <c r="F139" s="2384" t="str">
        <f>INDEX(PT_DIFFERENTIATION_VTAR,MATCH(A139,PT_DIFFERENTIATION_VTAR_ID,0))</f>
        <v>Тариф на подключение (технологическое присоединение) к централизованной системе горячего водоснабжения</v>
      </c>
      <c r="G139" s="2428" t="str">
        <f>INDEX(PT_DIFFERENTIATION_NTAR,MATCH(B139,PT_DIFFERENTIATION_NTAR_ID,0))</f>
        <v/>
      </c>
      <c r="H139" s="1863"/>
      <c r="I139" s="1740"/>
      <c r="J139" s="1774"/>
      <c r="K139" s="1779"/>
      <c r="L139" s="1863" t="s">
        <v>318</v>
      </c>
      <c r="M139" s="342"/>
      <c r="N139" s="335"/>
      <c r="O139" s="1625"/>
      <c r="P139" s="1625"/>
      <c r="AH139" s="1632">
        <v>0</v>
      </c>
    </row>
    <row s="1636" customFormat="1" customHeight="1" ht="18.75" hidden="1">
      <c r="A140" s="1781"/>
      <c r="B140" s="1781"/>
      <c r="C140" s="370" t="s">
        <v>1165</v>
      </c>
      <c r="D140" s="2463"/>
      <c r="E140" s="2205"/>
      <c r="F140" s="2384"/>
      <c r="G140" s="2428"/>
      <c r="H140" s="1501"/>
      <c r="I140" s="652" t="s">
        <v>1164</v>
      </c>
      <c r="J140" s="572"/>
      <c r="K140" s="1501"/>
      <c r="L140" s="215"/>
      <c r="M140" s="342"/>
      <c r="N140" s="335"/>
      <c r="O140" s="1625"/>
      <c r="P140" s="1625"/>
      <c r="AH140" s="1632">
        <v>0</v>
      </c>
    </row>
    <row s="1636" customFormat="1" customHeight="1" ht="0.75" hidden="1">
      <c r="A141" s="1781"/>
      <c r="B141" s="1781"/>
      <c r="C141" s="370" t="s">
        <v>1172</v>
      </c>
      <c r="D141" s="2463"/>
      <c r="E141" s="2205"/>
      <c r="F141" s="2384"/>
      <c r="G141" s="401"/>
      <c r="H141" s="1501"/>
      <c r="I141" s="652"/>
      <c r="J141" s="572"/>
      <c r="K141" s="1501"/>
      <c r="L141" s="215"/>
      <c r="M141" s="342"/>
      <c r="N141" s="335"/>
      <c r="O141" s="1625"/>
      <c r="P141" s="1625"/>
      <c r="AH141" s="1632">
        <v>0</v>
      </c>
    </row>
    <row s="1636" customFormat="1" customHeight="1" ht="18.75" hidden="1">
      <c r="A142" s="1781" t="s">
        <v>277</v>
      </c>
      <c r="B142" s="1781" t="s">
        <v>278</v>
      </c>
      <c r="C142" s="370"/>
      <c r="D142" s="2463"/>
      <c r="E142" s="2205"/>
      <c r="F142" s="2384" t="str">
        <f>INDEX(PT_DIFFERENTIATION_VTAR,MATCH(A142,PT_DIFFERENTIATION_VTAR_ID,0))</f>
        <v>Тариф на водоотведение</v>
      </c>
      <c r="G142" s="2428" t="str">
        <f>INDEX(PT_DIFFERENTIATION_NTAR,MATCH(B142,PT_DIFFERENTIATION_NTAR_ID,0))</f>
        <v/>
      </c>
      <c r="H142" s="1863"/>
      <c r="I142" s="1740"/>
      <c r="J142" s="1774"/>
      <c r="K142" s="1779"/>
      <c r="L142" s="1863" t="s">
        <v>318</v>
      </c>
      <c r="M142" s="342"/>
      <c r="N142" s="335"/>
      <c r="O142" s="1625"/>
      <c r="P142" s="1625"/>
      <c r="AH142" s="1632">
        <v>0</v>
      </c>
    </row>
    <row s="1636" customFormat="1" customHeight="1" ht="18.75" hidden="1">
      <c r="A143" s="1781"/>
      <c r="B143" s="1781"/>
      <c r="C143" s="370" t="s">
        <v>1165</v>
      </c>
      <c r="D143" s="2463"/>
      <c r="E143" s="2205"/>
      <c r="F143" s="2384"/>
      <c r="G143" s="2428"/>
      <c r="H143" s="1501"/>
      <c r="I143" s="652" t="s">
        <v>1164</v>
      </c>
      <c r="J143" s="572"/>
      <c r="K143" s="1501"/>
      <c r="L143" s="215"/>
      <c r="M143" s="342"/>
      <c r="N143" s="335"/>
      <c r="O143" s="1625"/>
      <c r="P143" s="1625"/>
      <c r="AH143" s="1632">
        <v>0</v>
      </c>
    </row>
    <row s="1636" customFormat="1" customHeight="1" ht="0.75" hidden="1">
      <c r="A144" s="1781"/>
      <c r="B144" s="1781"/>
      <c r="C144" s="370" t="s">
        <v>1172</v>
      </c>
      <c r="D144" s="2463"/>
      <c r="E144" s="2205"/>
      <c r="F144" s="2384"/>
      <c r="G144" s="401"/>
      <c r="H144" s="1501"/>
      <c r="I144" s="652"/>
      <c r="J144" s="572"/>
      <c r="K144" s="1501"/>
      <c r="L144" s="215"/>
      <c r="M144" s="342"/>
      <c r="N144" s="335"/>
      <c r="O144" s="1625"/>
      <c r="P144" s="1625"/>
      <c r="AH144" s="1632">
        <v>0</v>
      </c>
    </row>
    <row s="1636" customFormat="1" customHeight="1" ht="18.75" hidden="1">
      <c r="A145" s="1781" t="s">
        <v>282</v>
      </c>
      <c r="B145" s="1781" t="s">
        <v>283</v>
      </c>
      <c r="C145" s="370"/>
      <c r="D145" s="2463"/>
      <c r="E145" s="2205"/>
      <c r="F145" s="2384" t="str">
        <f>INDEX(PT_DIFFERENTIATION_VTAR,MATCH(A145,PT_DIFFERENTIATION_VTAR_ID,0))</f>
        <v>Тариф на транспортировку сточных вод</v>
      </c>
      <c r="G145" s="2428" t="str">
        <f>INDEX(PT_DIFFERENTIATION_NTAR,MATCH(B145,PT_DIFFERENTIATION_NTAR_ID,0))</f>
        <v/>
      </c>
      <c r="H145" s="1863"/>
      <c r="I145" s="1740"/>
      <c r="J145" s="1774"/>
      <c r="K145" s="1779"/>
      <c r="L145" s="1863" t="s">
        <v>318</v>
      </c>
      <c r="M145" s="342"/>
      <c r="N145" s="335"/>
      <c r="O145" s="1625"/>
      <c r="P145" s="1625"/>
      <c r="AH145" s="1632">
        <v>0</v>
      </c>
    </row>
    <row s="1636" customFormat="1" customHeight="1" ht="18.75" hidden="1">
      <c r="A146" s="1781"/>
      <c r="B146" s="1781"/>
      <c r="C146" s="370" t="s">
        <v>1165</v>
      </c>
      <c r="D146" s="2463"/>
      <c r="E146" s="2205"/>
      <c r="F146" s="2384"/>
      <c r="G146" s="2428"/>
      <c r="H146" s="1501"/>
      <c r="I146" s="652" t="s">
        <v>1164</v>
      </c>
      <c r="J146" s="572"/>
      <c r="K146" s="1501"/>
      <c r="L146" s="215"/>
      <c r="M146" s="342"/>
      <c r="N146" s="335"/>
      <c r="O146" s="1625"/>
      <c r="P146" s="1625"/>
      <c r="AH146" s="1632">
        <v>0</v>
      </c>
    </row>
    <row s="1636" customFormat="1" customHeight="1" ht="0.75" hidden="1">
      <c r="A147" s="1781"/>
      <c r="B147" s="1781"/>
      <c r="C147" s="370" t="s">
        <v>1172</v>
      </c>
      <c r="D147" s="2463"/>
      <c r="E147" s="2205"/>
      <c r="F147" s="2384"/>
      <c r="G147" s="401"/>
      <c r="H147" s="1501"/>
      <c r="I147" s="652"/>
      <c r="J147" s="572"/>
      <c r="K147" s="1501"/>
      <c r="L147" s="215"/>
      <c r="M147" s="342"/>
      <c r="N147" s="335"/>
      <c r="O147" s="1625"/>
      <c r="P147" s="1625"/>
      <c r="AH147" s="1632">
        <v>0</v>
      </c>
    </row>
    <row s="1636" customFormat="1" customHeight="1" ht="18.75" hidden="1">
      <c r="A148" s="1781" t="s">
        <v>287</v>
      </c>
      <c r="B148" s="1781" t="s">
        <v>288</v>
      </c>
      <c r="C148" s="370"/>
      <c r="D148" s="2463"/>
      <c r="E148" s="2205"/>
      <c r="F148" s="2384" t="str">
        <f>INDEX(PT_DIFFERENTIATION_VTAR,MATCH(A148,PT_DIFFERENTIATION_VTAR_ID,0))</f>
        <v>Тариф на подключение (технологическое присоединение) к централизованной системе водоотведения</v>
      </c>
      <c r="G148" s="2428" t="str">
        <f>INDEX(PT_DIFFERENTIATION_NTAR,MATCH(B148,PT_DIFFERENTIATION_NTAR_ID,0))</f>
        <v/>
      </c>
      <c r="H148" s="1863"/>
      <c r="I148" s="1740"/>
      <c r="J148" s="1774"/>
      <c r="K148" s="1779"/>
      <c r="L148" s="1863" t="s">
        <v>318</v>
      </c>
      <c r="M148" s="342"/>
      <c r="N148" s="335"/>
      <c r="O148" s="1625"/>
      <c r="P148" s="1625"/>
      <c r="AH148" s="1632">
        <v>0</v>
      </c>
    </row>
    <row s="1636" customFormat="1" customHeight="1" ht="18.75" hidden="1">
      <c r="A149" s="1781"/>
      <c r="B149" s="1781"/>
      <c r="C149" s="370" t="s">
        <v>1165</v>
      </c>
      <c r="D149" s="2463"/>
      <c r="E149" s="2205"/>
      <c r="F149" s="2384"/>
      <c r="G149" s="2428"/>
      <c r="H149" s="1501"/>
      <c r="I149" s="652" t="s">
        <v>1164</v>
      </c>
      <c r="J149" s="572"/>
      <c r="K149" s="1501"/>
      <c r="L149" s="215"/>
      <c r="M149" s="342"/>
      <c r="N149" s="335"/>
      <c r="O149" s="1625"/>
      <c r="P149" s="1625"/>
      <c r="AH149" s="1632">
        <v>0</v>
      </c>
    </row>
    <row s="1636" customFormat="1" customHeight="1" ht="1.05">
      <c r="A150" s="1781"/>
      <c r="B150" s="1781"/>
      <c r="C150" s="370" t="s">
        <v>1172</v>
      </c>
      <c r="D150" s="2463"/>
      <c r="E150" s="2205"/>
      <c r="F150" s="2384"/>
      <c r="G150" s="401"/>
      <c r="H150" s="1501"/>
      <c r="I150" s="652"/>
      <c r="J150" s="572"/>
      <c r="K150" s="1501"/>
      <c r="L150" s="215"/>
      <c r="M150" s="342"/>
      <c r="N150" s="335"/>
      <c r="O150" s="1625"/>
      <c r="P150" s="1625"/>
      <c r="AH150" s="1632">
        <v>1</v>
      </c>
    </row>
    <row customHeight="1" ht="19.95">
      <c r="A151" s="1781"/>
      <c r="B151" s="1781"/>
      <c r="D151" s="377"/>
      <c r="E151" s="148" t="s">
        <v>93</v>
      </c>
      <c r="F151" s="2461"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потребителям воды</v>
      </c>
      <c r="G151" s="2461"/>
      <c r="H151" s="2461"/>
      <c r="I151" s="2461"/>
      <c r="J151" s="2461"/>
      <c r="K151" s="2461"/>
      <c r="L151" s="2461"/>
      <c r="M151" s="298"/>
      <c r="N151" s="335"/>
      <c r="AH151" s="375">
        <v>19</v>
      </c>
    </row>
    <row s="1636" customFormat="1" customHeight="1" ht="60.75" hidden="1">
      <c r="A152" s="1781" t="s">
        <v>158</v>
      </c>
      <c r="B152" s="1781" t="s">
        <v>159</v>
      </c>
      <c r="C152" s="370"/>
      <c r="D152" s="2463"/>
      <c r="E152" s="2205"/>
      <c r="F152" s="2384" t="str">
        <f>INDEX(PT_DIFFERENTIATION_VTAR,MATCH(A152,PT_DIFFERENTIATION_VTAR_ID,0))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52" s="2428" t="str">
        <f>INDEX(PT_DIFFERENTIATION_NTAR,MATCH(B152,PT_DIFFERENTIATION_NTAR_ID,0))</f>
        <v/>
      </c>
      <c r="H152" s="1863"/>
      <c r="I152" s="1740"/>
      <c r="J152" s="1774"/>
      <c r="K152" s="1779"/>
      <c r="L152" s="1863" t="s">
        <v>318</v>
      </c>
      <c r="M152"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52" s="335"/>
      <c r="O152" s="1625"/>
      <c r="P152" s="1625"/>
      <c r="AH152" s="1632">
        <v>0</v>
      </c>
    </row>
    <row s="1636" customFormat="1" customHeight="1" ht="18.75" hidden="1">
      <c r="A153" s="1781"/>
      <c r="B153" s="1781"/>
      <c r="C153" s="370" t="s">
        <v>1165</v>
      </c>
      <c r="D153" s="2463"/>
      <c r="E153" s="2205"/>
      <c r="F153" s="2384"/>
      <c r="G153" s="2428"/>
      <c r="H153" s="1501"/>
      <c r="I153" s="652" t="s">
        <v>1164</v>
      </c>
      <c r="J153" s="572"/>
      <c r="K153" s="1501"/>
      <c r="L153" s="215"/>
      <c r="M153" s="2171"/>
      <c r="N153" s="335"/>
      <c r="O153" s="1625"/>
      <c r="P153" s="1625"/>
      <c r="AH153" s="1632">
        <v>0</v>
      </c>
    </row>
    <row s="1636" customFormat="1" customHeight="1" ht="0.75" hidden="1">
      <c r="A154" s="1781"/>
      <c r="B154" s="1781"/>
      <c r="C154" s="370" t="s">
        <v>1172</v>
      </c>
      <c r="D154" s="2463"/>
      <c r="E154" s="2205"/>
      <c r="F154" s="2384"/>
      <c r="G154" s="401"/>
      <c r="H154" s="1501"/>
      <c r="I154" s="652"/>
      <c r="J154" s="572"/>
      <c r="K154" s="1501"/>
      <c r="L154" s="215"/>
      <c r="M154" s="2171"/>
      <c r="N154" s="335"/>
      <c r="O154" s="1625"/>
      <c r="P154" s="1625"/>
      <c r="AH154" s="1632">
        <v>0</v>
      </c>
    </row>
    <row s="1636" customFormat="1" customHeight="1" ht="45" hidden="1">
      <c r="A155" s="1781" t="s">
        <v>163</v>
      </c>
      <c r="B155" s="1781" t="s">
        <v>164</v>
      </c>
      <c r="C155" s="370"/>
      <c r="D155" s="2463"/>
      <c r="E155" s="2205"/>
      <c r="F155" s="2384" t="str">
        <f>INDEX(PT_DIFFERENTIATION_VTAR,MATCH(A155,PT_DIFFERENTIATION_VTAR_ID,0))</f>
        <v/>
      </c>
      <c r="G155" s="2428" t="str">
        <f>INDEX(PT_DIFFERENTIATION_NTAR,MATCH(B155,PT_DIFFERENTIATION_NTAR_ID,0))</f>
        <v/>
      </c>
      <c r="H155" s="1863"/>
      <c r="I155" s="1740"/>
      <c r="J155" s="1774"/>
      <c r="K155" s="1779"/>
      <c r="L155" s="1863" t="s">
        <v>318</v>
      </c>
      <c r="M155" s="2172"/>
      <c r="N155" s="335"/>
      <c r="O155" s="1625"/>
      <c r="P155" s="1625"/>
      <c r="AH155" s="1632">
        <v>0</v>
      </c>
    </row>
    <row s="1636" customFormat="1" customHeight="1" ht="18.75" hidden="1">
      <c r="A156" s="1781"/>
      <c r="B156" s="1781"/>
      <c r="C156" s="370" t="s">
        <v>1165</v>
      </c>
      <c r="D156" s="2463"/>
      <c r="E156" s="2205"/>
      <c r="F156" s="2384"/>
      <c r="G156" s="2428"/>
      <c r="H156" s="1501"/>
      <c r="I156" s="652" t="s">
        <v>1164</v>
      </c>
      <c r="J156" s="572"/>
      <c r="K156" s="1501"/>
      <c r="L156" s="215"/>
      <c r="M156" s="1862"/>
      <c r="N156" s="335"/>
      <c r="O156" s="1625"/>
      <c r="P156" s="1625"/>
      <c r="AH156" s="1632">
        <v>0</v>
      </c>
    </row>
    <row s="1636" customFormat="1" customHeight="1" ht="0.75" hidden="1">
      <c r="A157" s="1781"/>
      <c r="B157" s="1781"/>
      <c r="C157" s="370" t="s">
        <v>1172</v>
      </c>
      <c r="D157" s="2463"/>
      <c r="E157" s="2205"/>
      <c r="F157" s="2384"/>
      <c r="G157" s="401"/>
      <c r="H157" s="1501"/>
      <c r="I157" s="652"/>
      <c r="J157" s="572"/>
      <c r="K157" s="1501"/>
      <c r="L157" s="215"/>
      <c r="M157" s="342"/>
      <c r="N157" s="335"/>
      <c r="O157" s="1625"/>
      <c r="P157" s="1625"/>
      <c r="AH157" s="1632">
        <v>0</v>
      </c>
    </row>
    <row s="1636" customFormat="1" customHeight="1" ht="45" hidden="1">
      <c r="A158" s="1781" t="s">
        <v>170</v>
      </c>
      <c r="B158" s="1781" t="s">
        <v>171</v>
      </c>
      <c r="C158" s="370"/>
      <c r="D158" s="2463"/>
      <c r="E158" s="2205"/>
      <c r="F158" s="2384" t="str">
        <f>INDEX(PT_DIFFERENTIATION_VTAR,MATCH(A158,PT_DIFFERENTIATION_VTAR_ID,0))</f>
        <v>Тарифы на теплоноситель, поставляемый теплоснабжающими организациями потребителям, другим теплоснабжающим организациям</v>
      </c>
      <c r="G158" s="2428" t="str">
        <f>INDEX(PT_DIFFERENTIATION_NTAR,MATCH(B158,PT_DIFFERENTIATION_NTAR_ID,0))</f>
        <v/>
      </c>
      <c r="H158" s="1863"/>
      <c r="I158" s="1740"/>
      <c r="J158" s="1774"/>
      <c r="K158" s="1779"/>
      <c r="L158" s="1863" t="s">
        <v>318</v>
      </c>
      <c r="M158" s="342"/>
      <c r="N158" s="335"/>
      <c r="O158" s="1625"/>
      <c r="P158" s="1625"/>
      <c r="AH158" s="1632">
        <v>0</v>
      </c>
    </row>
    <row s="1636" customFormat="1" customHeight="1" ht="18.75" hidden="1">
      <c r="A159" s="1781"/>
      <c r="B159" s="1781"/>
      <c r="C159" s="370" t="s">
        <v>1165</v>
      </c>
      <c r="D159" s="2463"/>
      <c r="E159" s="2205"/>
      <c r="F159" s="2384"/>
      <c r="G159" s="2428"/>
      <c r="H159" s="1501"/>
      <c r="I159" s="652" t="s">
        <v>1164</v>
      </c>
      <c r="J159" s="572"/>
      <c r="K159" s="1501"/>
      <c r="L159" s="215"/>
      <c r="M159" s="342"/>
      <c r="N159" s="335"/>
      <c r="O159" s="1625"/>
      <c r="P159" s="1625"/>
      <c r="AH159" s="1632">
        <v>0</v>
      </c>
    </row>
    <row s="1636" customFormat="1" customHeight="1" ht="0.75" hidden="1">
      <c r="A160" s="1781"/>
      <c r="B160" s="1781"/>
      <c r="C160" s="370" t="s">
        <v>1172</v>
      </c>
      <c r="D160" s="2463"/>
      <c r="E160" s="2205"/>
      <c r="F160" s="2384"/>
      <c r="G160" s="401"/>
      <c r="H160" s="1501"/>
      <c r="I160" s="652"/>
      <c r="J160" s="572"/>
      <c r="K160" s="1501"/>
      <c r="L160" s="215"/>
      <c r="M160" s="342"/>
      <c r="N160" s="335"/>
      <c r="O160" s="1625"/>
      <c r="P160" s="1625"/>
      <c r="AH160" s="1632">
        <v>0</v>
      </c>
    </row>
    <row s="1636" customFormat="1" customHeight="1" ht="45" hidden="1">
      <c r="A161" s="1781" t="s">
        <v>176</v>
      </c>
      <c r="B161" s="1781" t="s">
        <v>177</v>
      </c>
      <c r="C161" s="370"/>
      <c r="D161" s="2463"/>
      <c r="E161" s="2205"/>
      <c r="F161" s="2384" t="str">
        <f>INDEX(PT_DIFFERENTIATION_VTAR,MATCH(A161,PT_DIFFERENTIATION_VTAR_ID,0))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61" s="2428" t="str">
        <f>INDEX(PT_DIFFERENTIATION_NTAR,MATCH(B161,PT_DIFFERENTIATION_NTAR_ID,0))</f>
        <v/>
      </c>
      <c r="H161" s="1863"/>
      <c r="I161" s="1740"/>
      <c r="J161" s="1774"/>
      <c r="K161" s="1779"/>
      <c r="L161" s="1863" t="s">
        <v>318</v>
      </c>
      <c r="M161" s="342"/>
      <c r="N161" s="335"/>
      <c r="O161" s="1625"/>
      <c r="P161" s="1625"/>
      <c r="AH161" s="1632">
        <v>0</v>
      </c>
    </row>
    <row s="1636" customFormat="1" customHeight="1" ht="18.75" hidden="1">
      <c r="A162" s="1781"/>
      <c r="B162" s="1781"/>
      <c r="C162" s="370" t="s">
        <v>1165</v>
      </c>
      <c r="D162" s="2463"/>
      <c r="E162" s="2205"/>
      <c r="F162" s="2384"/>
      <c r="G162" s="2428"/>
      <c r="H162" s="1501"/>
      <c r="I162" s="652" t="s">
        <v>1164</v>
      </c>
      <c r="J162" s="572"/>
      <c r="K162" s="1501"/>
      <c r="L162" s="215"/>
      <c r="M162" s="342"/>
      <c r="N162" s="335"/>
      <c r="O162" s="1625"/>
      <c r="P162" s="1625"/>
      <c r="AH162" s="1632">
        <v>0</v>
      </c>
    </row>
    <row s="1636" customFormat="1" customHeight="1" ht="0.75" hidden="1">
      <c r="A163" s="1781"/>
      <c r="B163" s="1781"/>
      <c r="C163" s="370" t="s">
        <v>1172</v>
      </c>
      <c r="D163" s="2463"/>
      <c r="E163" s="2205"/>
      <c r="F163" s="2384"/>
      <c r="G163" s="401"/>
      <c r="H163" s="1501"/>
      <c r="I163" s="652"/>
      <c r="J163" s="572"/>
      <c r="K163" s="1501"/>
      <c r="L163" s="215"/>
      <c r="M163" s="342"/>
      <c r="N163" s="335"/>
      <c r="O163" s="1625"/>
      <c r="P163" s="1625"/>
      <c r="AH163" s="1632">
        <v>0</v>
      </c>
    </row>
    <row s="1636" customFormat="1" customHeight="1" ht="18.75" hidden="1">
      <c r="A164" s="1781" t="s">
        <v>182</v>
      </c>
      <c r="B164" s="1781" t="s">
        <v>183</v>
      </c>
      <c r="C164" s="370"/>
      <c r="D164" s="2463"/>
      <c r="E164" s="2205"/>
      <c r="F164" s="2384" t="str">
        <f>INDEX(PT_DIFFERENTIATION_VTAR,MATCH(A164,PT_DIFFERENTIATION_VTAR_ID,0))</f>
        <v>Тарифы на услуги по передаче тепловой энергии</v>
      </c>
      <c r="G164" s="2428" t="str">
        <f>INDEX(PT_DIFFERENTIATION_NTAR,MATCH(B164,PT_DIFFERENTIATION_NTAR_ID,0))</f>
        <v/>
      </c>
      <c r="H164" s="1863"/>
      <c r="I164" s="1740"/>
      <c r="J164" s="1774"/>
      <c r="K164" s="1779"/>
      <c r="L164" s="1863" t="s">
        <v>318</v>
      </c>
      <c r="M164" s="342"/>
      <c r="N164" s="335"/>
      <c r="O164" s="1625"/>
      <c r="P164" s="1625"/>
      <c r="AH164" s="1632">
        <v>0</v>
      </c>
    </row>
    <row s="1636" customFormat="1" customHeight="1" ht="18.75" hidden="1">
      <c r="A165" s="1781"/>
      <c r="B165" s="1781"/>
      <c r="C165" s="370" t="s">
        <v>1165</v>
      </c>
      <c r="D165" s="2463"/>
      <c r="E165" s="2205"/>
      <c r="F165" s="2384"/>
      <c r="G165" s="2428"/>
      <c r="H165" s="1501"/>
      <c r="I165" s="652" t="s">
        <v>1164</v>
      </c>
      <c r="J165" s="572"/>
      <c r="K165" s="1501"/>
      <c r="L165" s="215"/>
      <c r="M165" s="342"/>
      <c r="N165" s="335"/>
      <c r="O165" s="1625"/>
      <c r="P165" s="1625"/>
      <c r="AH165" s="1632">
        <v>0</v>
      </c>
    </row>
    <row s="1636" customFormat="1" customHeight="1" ht="0.75" hidden="1">
      <c r="A166" s="1781"/>
      <c r="B166" s="1781"/>
      <c r="C166" s="370" t="s">
        <v>1172</v>
      </c>
      <c r="D166" s="2463"/>
      <c r="E166" s="2205"/>
      <c r="F166" s="2384"/>
      <c r="G166" s="401"/>
      <c r="H166" s="1501"/>
      <c r="I166" s="652"/>
      <c r="J166" s="572"/>
      <c r="K166" s="1501"/>
      <c r="L166" s="215"/>
      <c r="M166" s="342"/>
      <c r="N166" s="335"/>
      <c r="O166" s="1625"/>
      <c r="P166" s="1625"/>
      <c r="AH166" s="1632">
        <v>0</v>
      </c>
    </row>
    <row s="1636" customFormat="1" customHeight="1" ht="18.75" hidden="1">
      <c r="A167" s="1781" t="s">
        <v>188</v>
      </c>
      <c r="B167" s="1781" t="s">
        <v>189</v>
      </c>
      <c r="C167" s="370"/>
      <c r="D167" s="2463"/>
      <c r="E167" s="2205"/>
      <c r="F167" s="2384" t="str">
        <f>INDEX(PT_DIFFERENTIATION_VTAR,MATCH(A167,PT_DIFFERENTIATION_VTAR_ID,0))</f>
        <v>Тарифы на услуги по передаче теплоносителя</v>
      </c>
      <c r="G167" s="2428" t="str">
        <f>INDEX(PT_DIFFERENTIATION_NTAR,MATCH(B167,PT_DIFFERENTIATION_NTAR_ID,0))</f>
        <v/>
      </c>
      <c r="H167" s="1863"/>
      <c r="I167" s="1740"/>
      <c r="J167" s="1774"/>
      <c r="K167" s="1779"/>
      <c r="L167" s="1863" t="s">
        <v>318</v>
      </c>
      <c r="M167" s="342"/>
      <c r="N167" s="335"/>
      <c r="O167" s="1625"/>
      <c r="P167" s="1625"/>
      <c r="AH167" s="1632">
        <v>0</v>
      </c>
    </row>
    <row s="1636" customFormat="1" customHeight="1" ht="18.75" hidden="1">
      <c r="A168" s="1781"/>
      <c r="B168" s="1781"/>
      <c r="C168" s="370" t="s">
        <v>1165</v>
      </c>
      <c r="D168" s="2463"/>
      <c r="E168" s="2205"/>
      <c r="F168" s="2384"/>
      <c r="G168" s="2428"/>
      <c r="H168" s="1501"/>
      <c r="I168" s="652" t="s">
        <v>1164</v>
      </c>
      <c r="J168" s="572"/>
      <c r="K168" s="1501"/>
      <c r="L168" s="215"/>
      <c r="M168" s="342"/>
      <c r="N168" s="335"/>
      <c r="O168" s="1625"/>
      <c r="P168" s="1625"/>
      <c r="AH168" s="1632">
        <v>0</v>
      </c>
    </row>
    <row s="1636" customFormat="1" customHeight="1" ht="0.75" hidden="1">
      <c r="A169" s="1781"/>
      <c r="B169" s="1781"/>
      <c r="C169" s="370" t="s">
        <v>1172</v>
      </c>
      <c r="D169" s="2463"/>
      <c r="E169" s="2205"/>
      <c r="F169" s="2384"/>
      <c r="G169" s="401"/>
      <c r="H169" s="1501"/>
      <c r="I169" s="652"/>
      <c r="J169" s="572"/>
      <c r="K169" s="1501"/>
      <c r="L169" s="215"/>
      <c r="M169" s="342"/>
      <c r="N169" s="335"/>
      <c r="O169" s="1625"/>
      <c r="P169" s="1625"/>
      <c r="AH169" s="1632">
        <v>0</v>
      </c>
    </row>
    <row s="1636" customFormat="1" customHeight="1" ht="18.75" hidden="1">
      <c r="A170" s="1781" t="s">
        <v>194</v>
      </c>
      <c r="B170" s="1781" t="s">
        <v>195</v>
      </c>
      <c r="C170" s="370"/>
      <c r="D170" s="2463"/>
      <c r="E170" s="2205"/>
      <c r="F170" s="2384" t="str">
        <f>INDEX(PT_DIFFERENTIATION_VTAR,MATCH(A170,PT_DIFFERENTIATION_VTAR_ID,0))</f>
        <v>Плата за услуги по поддержанию резервной тепловой мощности при отсутствии потребления тепловой энергии</v>
      </c>
      <c r="G170" s="2428" t="str">
        <f>INDEX(PT_DIFFERENTIATION_NTAR,MATCH(B170,PT_DIFFERENTIATION_NTAR_ID,0))</f>
        <v/>
      </c>
      <c r="H170" s="1863"/>
      <c r="I170" s="1740"/>
      <c r="J170" s="1774"/>
      <c r="K170" s="1779"/>
      <c r="L170" s="1863" t="s">
        <v>318</v>
      </c>
      <c r="M170" s="342"/>
      <c r="N170" s="335"/>
      <c r="O170" s="1625"/>
      <c r="P170" s="1625"/>
      <c r="AH170" s="1632">
        <v>0</v>
      </c>
    </row>
    <row s="1636" customFormat="1" customHeight="1" ht="18.75" hidden="1">
      <c r="A171" s="1781"/>
      <c r="B171" s="1781"/>
      <c r="C171" s="370" t="s">
        <v>1165</v>
      </c>
      <c r="D171" s="2463"/>
      <c r="E171" s="2205"/>
      <c r="F171" s="2384"/>
      <c r="G171" s="2428"/>
      <c r="H171" s="1501"/>
      <c r="I171" s="652" t="s">
        <v>1164</v>
      </c>
      <c r="J171" s="572"/>
      <c r="K171" s="1501"/>
      <c r="L171" s="215"/>
      <c r="M171" s="342"/>
      <c r="N171" s="335"/>
      <c r="O171" s="1625"/>
      <c r="P171" s="1625"/>
      <c r="AH171" s="1632">
        <v>0</v>
      </c>
    </row>
    <row s="1636" customFormat="1" customHeight="1" ht="0.75" hidden="1">
      <c r="A172" s="1781"/>
      <c r="B172" s="1781"/>
      <c r="C172" s="370" t="s">
        <v>1172</v>
      </c>
      <c r="D172" s="2463"/>
      <c r="E172" s="2205"/>
      <c r="F172" s="2384"/>
      <c r="G172" s="401"/>
      <c r="H172" s="1501"/>
      <c r="I172" s="652"/>
      <c r="J172" s="572"/>
      <c r="K172" s="1501"/>
      <c r="L172" s="215"/>
      <c r="M172" s="342"/>
      <c r="N172" s="335"/>
      <c r="O172" s="1625"/>
      <c r="P172" s="1625"/>
      <c r="AH172" s="1632">
        <v>0</v>
      </c>
    </row>
    <row s="1636" customFormat="1" customHeight="1" ht="18.75" hidden="1">
      <c r="A173" s="1781" t="s">
        <v>200</v>
      </c>
      <c r="B173" s="1781" t="s">
        <v>201</v>
      </c>
      <c r="C173" s="370"/>
      <c r="D173" s="2463"/>
      <c r="E173" s="2205"/>
      <c r="F173" s="2384" t="str">
        <f>INDEX(PT_DIFFERENTIATION_VTAR,MATCH(A173,PT_DIFFERENTIATION_VTAR_ID,0))</f>
        <v>Плата за подключение (технологическое присоединение) к системе теплоснабжения</v>
      </c>
      <c r="G173" s="2428" t="str">
        <f>INDEX(PT_DIFFERENTIATION_NTAR,MATCH(B173,PT_DIFFERENTIATION_NTAR_ID,0))</f>
        <v/>
      </c>
      <c r="H173" s="1863"/>
      <c r="I173" s="1740"/>
      <c r="J173" s="1774"/>
      <c r="K173" s="1779"/>
      <c r="L173" s="1863" t="s">
        <v>318</v>
      </c>
      <c r="M173" s="342"/>
      <c r="N173" s="335"/>
      <c r="O173" s="1625"/>
      <c r="P173" s="1625"/>
      <c r="AH173" s="1632">
        <v>0</v>
      </c>
    </row>
    <row s="1636" customFormat="1" customHeight="1" ht="18.75" hidden="1">
      <c r="A174" s="1781"/>
      <c r="B174" s="1781"/>
      <c r="C174" s="370" t="s">
        <v>1165</v>
      </c>
      <c r="D174" s="2463"/>
      <c r="E174" s="2205"/>
      <c r="F174" s="2384"/>
      <c r="G174" s="2428"/>
      <c r="H174" s="1501"/>
      <c r="I174" s="652" t="s">
        <v>1164</v>
      </c>
      <c r="J174" s="572"/>
      <c r="K174" s="1501"/>
      <c r="L174" s="215"/>
      <c r="M174" s="342"/>
      <c r="N174" s="335"/>
      <c r="O174" s="1625"/>
      <c r="P174" s="1625"/>
      <c r="AH174" s="1632">
        <v>0</v>
      </c>
    </row>
    <row s="1636" customFormat="1" customHeight="1" ht="0.75" hidden="1">
      <c r="A175" s="1781"/>
      <c r="B175" s="1781"/>
      <c r="C175" s="370" t="s">
        <v>1172</v>
      </c>
      <c r="D175" s="2463"/>
      <c r="E175" s="2205"/>
      <c r="F175" s="2384"/>
      <c r="G175" s="401"/>
      <c r="H175" s="1501"/>
      <c r="I175" s="652"/>
      <c r="J175" s="572"/>
      <c r="K175" s="1501"/>
      <c r="L175" s="215"/>
      <c r="M175" s="342"/>
      <c r="N175" s="335"/>
      <c r="O175" s="1625"/>
      <c r="P175" s="1625"/>
      <c r="AH175" s="1632">
        <v>0</v>
      </c>
    </row>
    <row s="1636" customFormat="1" customHeight="1" ht="18.75" hidden="1">
      <c r="A176" s="1781" t="s">
        <v>206</v>
      </c>
      <c r="B176" s="1781" t="s">
        <v>207</v>
      </c>
      <c r="C176" s="370"/>
      <c r="D176" s="2463"/>
      <c r="E176" s="2205"/>
      <c r="F176" s="2384" t="str">
        <f>INDEX(PT_DIFFERENTIATION_VTAR,MATCH(A176,PT_DIFFERENTIATION_VTAR_ID,0))</f>
        <v>Плата за подключение (технологическое присоединение) к системе теплоснабжения (индивидуальная)</v>
      </c>
      <c r="G176" s="2428" t="str">
        <f>INDEX(PT_DIFFERENTIATION_NTAR,MATCH(B176,PT_DIFFERENTIATION_NTAR_ID,0))</f>
        <v/>
      </c>
      <c r="H176" s="1990"/>
      <c r="I176" s="1740"/>
      <c r="J176" s="1774"/>
      <c r="K176" s="1779"/>
      <c r="L176" s="1990" t="s">
        <v>318</v>
      </c>
      <c r="M176" s="342"/>
      <c r="N176" s="335"/>
      <c r="O176" s="1625"/>
      <c r="P176" s="1625"/>
      <c r="AH176" s="1632">
        <v>0</v>
      </c>
    </row>
    <row s="1636" customFormat="1" customHeight="1" ht="18.75" hidden="1">
      <c r="A177" s="1781"/>
      <c r="B177" s="1781"/>
      <c r="C177" s="370" t="s">
        <v>1165</v>
      </c>
      <c r="D177" s="2463"/>
      <c r="E177" s="2205"/>
      <c r="F177" s="2384"/>
      <c r="G177" s="2428"/>
      <c r="H177" s="1501"/>
      <c r="I177" s="652" t="s">
        <v>1164</v>
      </c>
      <c r="J177" s="572"/>
      <c r="K177" s="1501"/>
      <c r="L177" s="215"/>
      <c r="M177" s="342"/>
      <c r="N177" s="335"/>
      <c r="O177" s="1625"/>
      <c r="P177" s="1625"/>
      <c r="AH177" s="1632">
        <v>0</v>
      </c>
    </row>
    <row s="1636" customFormat="1" customHeight="1" ht="0.75" hidden="1">
      <c r="A178" s="1781"/>
      <c r="B178" s="1781"/>
      <c r="C178" s="370" t="s">
        <v>1172</v>
      </c>
      <c r="D178" s="2463"/>
      <c r="E178" s="2205"/>
      <c r="F178" s="2384"/>
      <c r="G178" s="401"/>
      <c r="H178" s="1501"/>
      <c r="I178" s="652"/>
      <c r="J178" s="572"/>
      <c r="K178" s="1501"/>
      <c r="L178" s="215"/>
      <c r="M178" s="342"/>
      <c r="N178" s="335"/>
      <c r="O178" s="1625"/>
      <c r="P178" s="1625"/>
      <c r="AH178" s="1632">
        <v>0</v>
      </c>
    </row>
    <row s="1636" customFormat="1" customHeight="1" ht="18.75" hidden="1">
      <c r="A179" s="1781" t="s">
        <v>228</v>
      </c>
      <c r="B179" s="1781" t="s">
        <v>229</v>
      </c>
      <c r="C179" s="370"/>
      <c r="D179" s="2463"/>
      <c r="E179" s="2205"/>
      <c r="F179" s="2384" t="str">
        <f>INDEX(PT_DIFFERENTIATION_VTAR,MATCH(A179,PT_DIFFERENTIATION_VTAR_ID,0))</f>
        <v>Тариф на питьевую воду (питьевое водоснабжение)</v>
      </c>
      <c r="G179" s="2428" t="str">
        <f>INDEX(PT_DIFFERENTIATION_NTAR,MATCH(B179,PT_DIFFERENTIATION_NTAR_ID,0))</f>
        <v>Тарифы на питьевую воду (питьевое водоснабжение), поставляемую потребителям ИМУП "Посжилкомсервис"
</v>
      </c>
      <c r="H179" s="1863"/>
      <c r="I179" s="1740"/>
      <c r="J179" s="1774"/>
      <c r="K179" s="1779"/>
      <c r="L179" s="1863" t="s">
        <v>318</v>
      </c>
      <c r="M179" s="342"/>
      <c r="N179" s="335"/>
      <c r="O179" s="1625"/>
      <c r="P179" s="1625"/>
      <c r="AH179" s="1632">
        <v>0</v>
      </c>
    </row>
    <row s="1636" customFormat="1" customHeight="1" ht="18.75" hidden="1">
      <c r="A180" s="1781"/>
      <c r="B180" s="1781"/>
      <c r="C180" s="370" t="s">
        <v>1165</v>
      </c>
      <c r="D180" s="2463"/>
      <c r="E180" s="2205"/>
      <c r="F180" s="2384"/>
      <c r="G180" s="2428"/>
      <c r="H180" s="1501"/>
      <c r="I180" s="652" t="s">
        <v>1164</v>
      </c>
      <c r="J180" s="572"/>
      <c r="K180" s="1501"/>
      <c r="L180" s="215"/>
      <c r="M180" s="342"/>
      <c r="N180" s="335"/>
      <c r="O180" s="1625"/>
      <c r="P180" s="1625"/>
      <c r="AH180" s="1632">
        <v>0</v>
      </c>
    </row>
    <row s="1636" customFormat="1" customHeight="1" ht="18.75">
      <c r="A181" s="1824" t="s">
        <v>228</v>
      </c>
      <c r="B181" s="1824" t="s">
        <v>236</v>
      </c>
      <c r="C181" s="1688"/>
      <c r="D181" s="345"/>
      <c r="E181" s="1032"/>
      <c r="F181" s="1032"/>
      <c r="G181" s="2428" t="str">
        <f>INDEX(PT_DIFFERENTIATION_NTAR,MATCH(B181,PT_DIFFERENTIATION_NTAR_ID,0))</f>
        <v>Льготные тарифы на питьевую воду (питьевое водоснабжение), поставляемую населению и потребителям, приравненным к населению ИМУП "Посжилкомсервис"
</v>
      </c>
      <c r="H181" s="2272"/>
      <c r="I181" s="1740"/>
      <c r="J181" s="1774"/>
      <c r="K181" s="1779"/>
      <c r="L181" s="2272" t="s">
        <v>318</v>
      </c>
      <c r="M181" s="2319"/>
      <c r="N181" s="619"/>
      <c r="O181" s="1625"/>
      <c r="P181" s="1625"/>
      <c r="Q181" s="1636"/>
      <c r="R181" s="1636"/>
      <c r="S181" s="1636"/>
      <c r="T181" s="1636"/>
      <c r="U181" s="1636"/>
      <c r="V181" s="1636"/>
      <c r="W181" s="1636"/>
      <c r="X181" s="1636"/>
      <c r="Y181" s="1636"/>
      <c r="Z181" s="1636"/>
      <c r="AA181" s="1636"/>
      <c r="AB181" s="1636"/>
      <c r="AC181" s="1636"/>
      <c r="AD181" s="1636"/>
      <c r="AE181" s="1636"/>
      <c r="AF181" s="1636"/>
      <c r="AG181" s="1636"/>
      <c r="AH181" s="1636">
        <v>0</v>
      </c>
    </row>
    <row s="1636" customFormat="1" customHeight="1" ht="18.75">
      <c r="A182" s="1824"/>
      <c r="B182" s="1824"/>
      <c r="C182" s="1688" t="s">
        <v>1165</v>
      </c>
      <c r="D182" s="345"/>
      <c r="E182" s="1032"/>
      <c r="F182" s="1032"/>
      <c r="G182" s="2428"/>
      <c r="H182" s="2803"/>
      <c r="I182" s="2804" t="s">
        <v>1164</v>
      </c>
      <c r="J182" s="2805"/>
      <c r="K182" s="2806"/>
      <c r="L182" s="2807"/>
      <c r="M182" s="2319"/>
      <c r="N182" s="619"/>
      <c r="O182" s="1625"/>
      <c r="P182" s="1625"/>
      <c r="Q182" s="1636"/>
      <c r="R182" s="1636"/>
      <c r="S182" s="1636"/>
      <c r="T182" s="1636"/>
      <c r="U182" s="1636"/>
      <c r="V182" s="1636"/>
      <c r="W182" s="1636"/>
      <c r="X182" s="1636"/>
      <c r="Y182" s="1636"/>
      <c r="Z182" s="1636"/>
      <c r="AA182" s="1636"/>
      <c r="AB182" s="1636"/>
      <c r="AC182" s="1636"/>
      <c r="AD182" s="1636"/>
      <c r="AE182" s="1636"/>
      <c r="AF182" s="1636"/>
      <c r="AG182" s="1636"/>
      <c r="AH182" s="1636">
        <v>0</v>
      </c>
    </row>
    <row s="1636" customFormat="1" customHeight="1" ht="0.75" hidden="1">
      <c r="A183" s="1781"/>
      <c r="B183" s="1781"/>
      <c r="C183" s="370" t="s">
        <v>1172</v>
      </c>
      <c r="D183" s="2463"/>
      <c r="E183" s="2205"/>
      <c r="F183" s="2384"/>
      <c r="G183" s="401"/>
      <c r="H183" s="1501"/>
      <c r="I183" s="652"/>
      <c r="J183" s="572"/>
      <c r="K183" s="1501"/>
      <c r="L183" s="215"/>
      <c r="M183" s="342"/>
      <c r="N183" s="335"/>
      <c r="O183" s="1625"/>
      <c r="P183" s="1625"/>
      <c r="AH183" s="1632">
        <v>0</v>
      </c>
    </row>
    <row s="1636" customFormat="1" customHeight="1" ht="18.75" hidden="1">
      <c r="A184" s="1781" t="s">
        <v>242</v>
      </c>
      <c r="B184" s="1781" t="s">
        <v>243</v>
      </c>
      <c r="C184" s="370"/>
      <c r="D184" s="2463"/>
      <c r="E184" s="2205"/>
      <c r="F184" s="2384" t="str">
        <f>INDEX(PT_DIFFERENTIATION_VTAR,MATCH(A184,PT_DIFFERENTIATION_VTAR_ID,0))</f>
        <v>Тариф на техническую воду</v>
      </c>
      <c r="G184" s="2428" t="str">
        <f>INDEX(PT_DIFFERENTIATION_NTAR,MATCH(B184,PT_DIFFERENTIATION_NTAR_ID,0))</f>
        <v/>
      </c>
      <c r="H184" s="1863"/>
      <c r="I184" s="1740"/>
      <c r="J184" s="1774"/>
      <c r="K184" s="1779"/>
      <c r="L184" s="1863" t="s">
        <v>318</v>
      </c>
      <c r="M184" s="342"/>
      <c r="N184" s="335"/>
      <c r="O184" s="1625"/>
      <c r="P184" s="1625"/>
      <c r="AH184" s="1632">
        <v>0</v>
      </c>
    </row>
    <row s="1636" customFormat="1" customHeight="1" ht="18.75" hidden="1">
      <c r="A185" s="1781"/>
      <c r="B185" s="1781"/>
      <c r="C185" s="370" t="s">
        <v>1165</v>
      </c>
      <c r="D185" s="2463"/>
      <c r="E185" s="2205"/>
      <c r="F185" s="2384"/>
      <c r="G185" s="2428"/>
      <c r="H185" s="1501"/>
      <c r="I185" s="652" t="s">
        <v>1164</v>
      </c>
      <c r="J185" s="572"/>
      <c r="K185" s="1501"/>
      <c r="L185" s="215"/>
      <c r="M185" s="342"/>
      <c r="N185" s="335"/>
      <c r="O185" s="1625"/>
      <c r="P185" s="1625"/>
      <c r="AH185" s="1632">
        <v>0</v>
      </c>
    </row>
    <row s="1636" customFormat="1" customHeight="1" ht="0.75" hidden="1">
      <c r="A186" s="1781"/>
      <c r="B186" s="1781"/>
      <c r="C186" s="370" t="s">
        <v>1172</v>
      </c>
      <c r="D186" s="2463"/>
      <c r="E186" s="2205"/>
      <c r="F186" s="2384"/>
      <c r="G186" s="401"/>
      <c r="H186" s="1501"/>
      <c r="I186" s="652"/>
      <c r="J186" s="572"/>
      <c r="K186" s="1501"/>
      <c r="L186" s="215"/>
      <c r="M186" s="342"/>
      <c r="N186" s="335"/>
      <c r="O186" s="1625"/>
      <c r="P186" s="1625"/>
      <c r="AH186" s="1632">
        <v>0</v>
      </c>
    </row>
    <row s="1636" customFormat="1" customHeight="1" ht="18.75" hidden="1">
      <c r="A187" s="1781" t="s">
        <v>247</v>
      </c>
      <c r="B187" s="1781" t="s">
        <v>248</v>
      </c>
      <c r="C187" s="370"/>
      <c r="D187" s="2463"/>
      <c r="E187" s="2205"/>
      <c r="F187" s="2384" t="str">
        <f>INDEX(PT_DIFFERENTIATION_VTAR,MATCH(A187,PT_DIFFERENTIATION_VTAR_ID,0))</f>
        <v>Тариф на транспортировку воды</v>
      </c>
      <c r="G187" s="2428" t="str">
        <f>INDEX(PT_DIFFERENTIATION_NTAR,MATCH(B187,PT_DIFFERENTIATION_NTAR_ID,0))</f>
        <v/>
      </c>
      <c r="H187" s="1863"/>
      <c r="I187" s="1740"/>
      <c r="J187" s="1774"/>
      <c r="K187" s="1779"/>
      <c r="L187" s="1863" t="s">
        <v>318</v>
      </c>
      <c r="M187" s="342"/>
      <c r="N187" s="335"/>
      <c r="O187" s="1625"/>
      <c r="P187" s="1625"/>
      <c r="AH187" s="1632">
        <v>0</v>
      </c>
    </row>
    <row s="1636" customFormat="1" customHeight="1" ht="18.75" hidden="1">
      <c r="A188" s="1781"/>
      <c r="B188" s="1781"/>
      <c r="C188" s="370" t="s">
        <v>1165</v>
      </c>
      <c r="D188" s="2463"/>
      <c r="E188" s="2205"/>
      <c r="F188" s="2384"/>
      <c r="G188" s="2428"/>
      <c r="H188" s="1501"/>
      <c r="I188" s="652" t="s">
        <v>1164</v>
      </c>
      <c r="J188" s="572"/>
      <c r="K188" s="1501"/>
      <c r="L188" s="215"/>
      <c r="M188" s="342"/>
      <c r="N188" s="335"/>
      <c r="O188" s="1625"/>
      <c r="P188" s="1625"/>
      <c r="AH188" s="1632">
        <v>0</v>
      </c>
    </row>
    <row s="1636" customFormat="1" customHeight="1" ht="0.75" hidden="1">
      <c r="A189" s="1781"/>
      <c r="B189" s="1781"/>
      <c r="C189" s="370" t="s">
        <v>1172</v>
      </c>
      <c r="D189" s="2463"/>
      <c r="E189" s="2205"/>
      <c r="F189" s="2384"/>
      <c r="G189" s="401"/>
      <c r="H189" s="1501"/>
      <c r="I189" s="652"/>
      <c r="J189" s="572"/>
      <c r="K189" s="1501"/>
      <c r="L189" s="215"/>
      <c r="M189" s="342"/>
      <c r="N189" s="335"/>
      <c r="O189" s="1625"/>
      <c r="P189" s="1625"/>
      <c r="AH189" s="1632">
        <v>0</v>
      </c>
    </row>
    <row s="1636" customFormat="1" customHeight="1" ht="18.75" hidden="1">
      <c r="A190" s="1781" t="s">
        <v>252</v>
      </c>
      <c r="B190" s="1781" t="s">
        <v>253</v>
      </c>
      <c r="C190" s="370"/>
      <c r="D190" s="2463"/>
      <c r="E190" s="2205"/>
      <c r="F190" s="2384" t="str">
        <f>INDEX(PT_DIFFERENTIATION_VTAR,MATCH(A190,PT_DIFFERENTIATION_VTAR_ID,0))</f>
        <v>Тариф на подвоз воды</v>
      </c>
      <c r="G190" s="2428" t="str">
        <f>INDEX(PT_DIFFERENTIATION_NTAR,MATCH(B190,PT_DIFFERENTIATION_NTAR_ID,0))</f>
        <v/>
      </c>
      <c r="H190" s="1863"/>
      <c r="I190" s="1740"/>
      <c r="J190" s="1774"/>
      <c r="K190" s="1779"/>
      <c r="L190" s="1863" t="s">
        <v>318</v>
      </c>
      <c r="M190" s="342"/>
      <c r="N190" s="335"/>
      <c r="O190" s="1625"/>
      <c r="P190" s="1625"/>
      <c r="AH190" s="1632">
        <v>0</v>
      </c>
    </row>
    <row s="1636" customFormat="1" customHeight="1" ht="18.75" hidden="1">
      <c r="A191" s="1781"/>
      <c r="B191" s="1781"/>
      <c r="C191" s="370" t="s">
        <v>1165</v>
      </c>
      <c r="D191" s="2463"/>
      <c r="E191" s="2205"/>
      <c r="F191" s="2384"/>
      <c r="G191" s="2428"/>
      <c r="H191" s="1501"/>
      <c r="I191" s="652" t="s">
        <v>1164</v>
      </c>
      <c r="J191" s="572"/>
      <c r="K191" s="1501"/>
      <c r="L191" s="215"/>
      <c r="M191" s="342"/>
      <c r="N191" s="335"/>
      <c r="O191" s="1625"/>
      <c r="P191" s="1625"/>
      <c r="AH191" s="1632">
        <v>0</v>
      </c>
    </row>
    <row s="1636" customFormat="1" customHeight="1" ht="0.75" hidden="1">
      <c r="A192" s="1781"/>
      <c r="B192" s="1781"/>
      <c r="C192" s="370" t="s">
        <v>1172</v>
      </c>
      <c r="D192" s="2463"/>
      <c r="E192" s="2205"/>
      <c r="F192" s="2384"/>
      <c r="G192" s="401"/>
      <c r="H192" s="1501"/>
      <c r="I192" s="652"/>
      <c r="J192" s="572"/>
      <c r="K192" s="1501"/>
      <c r="L192" s="215"/>
      <c r="M192" s="342"/>
      <c r="N192" s="335"/>
      <c r="O192" s="1625"/>
      <c r="P192" s="1625"/>
      <c r="AH192" s="1632">
        <v>0</v>
      </c>
    </row>
    <row s="1636" customFormat="1" customHeight="1" ht="18.75" hidden="1">
      <c r="A193" s="1781" t="s">
        <v>257</v>
      </c>
      <c r="B193" s="1781" t="s">
        <v>258</v>
      </c>
      <c r="C193" s="370"/>
      <c r="D193" s="2463"/>
      <c r="E193" s="2205"/>
      <c r="F193" s="2384" t="str">
        <f>INDEX(PT_DIFFERENTIATION_VTAR,MATCH(A193,PT_DIFFERENTIATION_VTAR_ID,0))</f>
        <v>Тариф на подключение (технологическое присоединение) к централизованной системе холодного водоснабжения</v>
      </c>
      <c r="G193" s="2428" t="str">
        <f>INDEX(PT_DIFFERENTIATION_NTAR,MATCH(B193,PT_DIFFERENTIATION_NTAR_ID,0))</f>
        <v/>
      </c>
      <c r="H193" s="1863"/>
      <c r="I193" s="1740"/>
      <c r="J193" s="1774"/>
      <c r="K193" s="1779"/>
      <c r="L193" s="1863" t="s">
        <v>318</v>
      </c>
      <c r="M193" s="342"/>
      <c r="N193" s="335"/>
      <c r="O193" s="1625"/>
      <c r="P193" s="1625"/>
      <c r="AH193" s="1632">
        <v>0</v>
      </c>
    </row>
    <row s="1636" customFormat="1" customHeight="1" ht="18.75" hidden="1">
      <c r="A194" s="1781"/>
      <c r="B194" s="1781"/>
      <c r="C194" s="370" t="s">
        <v>1165</v>
      </c>
      <c r="D194" s="2463"/>
      <c r="E194" s="2205"/>
      <c r="F194" s="2384"/>
      <c r="G194" s="2428"/>
      <c r="H194" s="1501"/>
      <c r="I194" s="652" t="s">
        <v>1164</v>
      </c>
      <c r="J194" s="572"/>
      <c r="K194" s="1501"/>
      <c r="L194" s="215"/>
      <c r="M194" s="342"/>
      <c r="N194" s="335"/>
      <c r="O194" s="1625"/>
      <c r="P194" s="1625"/>
      <c r="AH194" s="1632">
        <v>0</v>
      </c>
    </row>
    <row s="1636" customFormat="1" customHeight="1" ht="0.75" hidden="1">
      <c r="A195" s="1781"/>
      <c r="B195" s="1781"/>
      <c r="C195" s="370" t="s">
        <v>1172</v>
      </c>
      <c r="D195" s="2463"/>
      <c r="E195" s="2205"/>
      <c r="F195" s="2384"/>
      <c r="G195" s="401"/>
      <c r="H195" s="1501"/>
      <c r="I195" s="652"/>
      <c r="J195" s="572"/>
      <c r="K195" s="1501"/>
      <c r="L195" s="215"/>
      <c r="M195" s="342"/>
      <c r="N195" s="335"/>
      <c r="O195" s="1625"/>
      <c r="P195" s="1625"/>
      <c r="AH195" s="1632">
        <v>0</v>
      </c>
    </row>
    <row s="1636" customFormat="1" customHeight="1" ht="18.75" hidden="1">
      <c r="A196" s="1781" t="s">
        <v>262</v>
      </c>
      <c r="B196" s="1781" t="s">
        <v>263</v>
      </c>
      <c r="C196" s="370"/>
      <c r="D196" s="2463"/>
      <c r="E196" s="2205"/>
      <c r="F196" s="2384" t="str">
        <f>INDEX(PT_DIFFERENTIATION_VTAR,MATCH(A196,PT_DIFFERENTIATION_VTAR_ID,0))</f>
        <v>Тариф на горячую воду (горячее водоснабжение)</v>
      </c>
      <c r="G196" s="2428" t="str">
        <f>INDEX(PT_DIFFERENTIATION_NTAR,MATCH(B196,PT_DIFFERENTIATION_NTAR_ID,0))</f>
        <v/>
      </c>
      <c r="H196" s="1863"/>
      <c r="I196" s="1740"/>
      <c r="J196" s="1774"/>
      <c r="K196" s="1779"/>
      <c r="L196" s="1863" t="s">
        <v>318</v>
      </c>
      <c r="M196" s="342"/>
      <c r="N196" s="335"/>
      <c r="O196" s="1625"/>
      <c r="P196" s="1625"/>
      <c r="AH196" s="1632">
        <v>0</v>
      </c>
    </row>
    <row s="1636" customFormat="1" customHeight="1" ht="18.75" hidden="1">
      <c r="A197" s="1781"/>
      <c r="B197" s="1781"/>
      <c r="C197" s="370" t="s">
        <v>1165</v>
      </c>
      <c r="D197" s="2463"/>
      <c r="E197" s="2205"/>
      <c r="F197" s="2384"/>
      <c r="G197" s="2428"/>
      <c r="H197" s="1501"/>
      <c r="I197" s="652" t="s">
        <v>1164</v>
      </c>
      <c r="J197" s="572"/>
      <c r="K197" s="1501"/>
      <c r="L197" s="215"/>
      <c r="M197" s="342"/>
      <c r="N197" s="335"/>
      <c r="O197" s="1625"/>
      <c r="P197" s="1625"/>
      <c r="AH197" s="1632">
        <v>0</v>
      </c>
    </row>
    <row s="1636" customFormat="1" customHeight="1" ht="0.75" hidden="1">
      <c r="A198" s="1781"/>
      <c r="B198" s="1781"/>
      <c r="C198" s="370" t="s">
        <v>1172</v>
      </c>
      <c r="D198" s="2463"/>
      <c r="E198" s="2205"/>
      <c r="F198" s="2384"/>
      <c r="G198" s="401"/>
      <c r="H198" s="1501"/>
      <c r="I198" s="652"/>
      <c r="J198" s="572"/>
      <c r="K198" s="1501"/>
      <c r="L198" s="215"/>
      <c r="M198" s="342"/>
      <c r="N198" s="335"/>
      <c r="O198" s="1625"/>
      <c r="P198" s="1625"/>
      <c r="AH198" s="1632">
        <v>0</v>
      </c>
    </row>
    <row s="1636" customFormat="1" customHeight="1" ht="18.75" hidden="1">
      <c r="A199" s="1781" t="s">
        <v>267</v>
      </c>
      <c r="B199" s="1781" t="s">
        <v>268</v>
      </c>
      <c r="C199" s="370"/>
      <c r="D199" s="2463"/>
      <c r="E199" s="2205"/>
      <c r="F199" s="2384" t="str">
        <f>INDEX(PT_DIFFERENTIATION_VTAR,MATCH(A199,PT_DIFFERENTIATION_VTAR_ID,0))</f>
        <v>Тариф на транспортировку горячей воды</v>
      </c>
      <c r="G199" s="2428" t="str">
        <f>INDEX(PT_DIFFERENTIATION_NTAR,MATCH(B199,PT_DIFFERENTIATION_NTAR_ID,0))</f>
        <v/>
      </c>
      <c r="H199" s="1863"/>
      <c r="I199" s="1740"/>
      <c r="J199" s="1774"/>
      <c r="K199" s="1779"/>
      <c r="L199" s="1863" t="s">
        <v>318</v>
      </c>
      <c r="M199" s="342"/>
      <c r="N199" s="335"/>
      <c r="O199" s="1625"/>
      <c r="P199" s="1625"/>
      <c r="AH199" s="1632">
        <v>0</v>
      </c>
    </row>
    <row s="1636" customFormat="1" customHeight="1" ht="18.75" hidden="1">
      <c r="A200" s="1781"/>
      <c r="B200" s="1781"/>
      <c r="C200" s="370" t="s">
        <v>1165</v>
      </c>
      <c r="D200" s="2463"/>
      <c r="E200" s="2205"/>
      <c r="F200" s="2384"/>
      <c r="G200" s="2428"/>
      <c r="H200" s="1501"/>
      <c r="I200" s="652" t="s">
        <v>1164</v>
      </c>
      <c r="J200" s="572"/>
      <c r="K200" s="1501"/>
      <c r="L200" s="215"/>
      <c r="M200" s="342"/>
      <c r="N200" s="335"/>
      <c r="O200" s="1625"/>
      <c r="P200" s="1625"/>
      <c r="AH200" s="1632">
        <v>0</v>
      </c>
    </row>
    <row s="1636" customFormat="1" customHeight="1" ht="0.75" hidden="1">
      <c r="A201" s="1781"/>
      <c r="B201" s="1781"/>
      <c r="C201" s="370" t="s">
        <v>1172</v>
      </c>
      <c r="D201" s="2463"/>
      <c r="E201" s="2205"/>
      <c r="F201" s="2384"/>
      <c r="G201" s="401"/>
      <c r="H201" s="1501"/>
      <c r="I201" s="652"/>
      <c r="J201" s="572"/>
      <c r="K201" s="1501"/>
      <c r="L201" s="215"/>
      <c r="M201" s="342"/>
      <c r="N201" s="335"/>
      <c r="O201" s="1625"/>
      <c r="P201" s="1625"/>
      <c r="AH201" s="1632">
        <v>0</v>
      </c>
    </row>
    <row s="1636" customFormat="1" customHeight="1" ht="18.75" hidden="1">
      <c r="A202" s="1781" t="s">
        <v>272</v>
      </c>
      <c r="B202" s="1781" t="s">
        <v>273</v>
      </c>
      <c r="C202" s="370"/>
      <c r="D202" s="2463"/>
      <c r="E202" s="2205"/>
      <c r="F202" s="2384" t="str">
        <f>INDEX(PT_DIFFERENTIATION_VTAR,MATCH(A202,PT_DIFFERENTIATION_VTAR_ID,0))</f>
        <v>Тариф на подключение (технологическое присоединение) к централизованной системе горячего водоснабжения</v>
      </c>
      <c r="G202" s="2428" t="str">
        <f>INDEX(PT_DIFFERENTIATION_NTAR,MATCH(B202,PT_DIFFERENTIATION_NTAR_ID,0))</f>
        <v/>
      </c>
      <c r="H202" s="1863"/>
      <c r="I202" s="1740"/>
      <c r="J202" s="1774"/>
      <c r="K202" s="1779"/>
      <c r="L202" s="1863" t="s">
        <v>318</v>
      </c>
      <c r="M202" s="342"/>
      <c r="N202" s="335"/>
      <c r="O202" s="1625"/>
      <c r="P202" s="1625"/>
      <c r="AH202" s="1632">
        <v>0</v>
      </c>
    </row>
    <row s="1636" customFormat="1" customHeight="1" ht="18.75" hidden="1">
      <c r="A203" s="1781"/>
      <c r="B203" s="1781"/>
      <c r="C203" s="370" t="s">
        <v>1165</v>
      </c>
      <c r="D203" s="2463"/>
      <c r="E203" s="2205"/>
      <c r="F203" s="2384"/>
      <c r="G203" s="2428"/>
      <c r="H203" s="1501"/>
      <c r="I203" s="652" t="s">
        <v>1164</v>
      </c>
      <c r="J203" s="572"/>
      <c r="K203" s="1501"/>
      <c r="L203" s="215"/>
      <c r="M203" s="342"/>
      <c r="N203" s="335"/>
      <c r="O203" s="1625"/>
      <c r="P203" s="1625"/>
      <c r="AH203" s="1632">
        <v>0</v>
      </c>
    </row>
    <row s="1636" customFormat="1" customHeight="1" ht="0.75" hidden="1">
      <c r="A204" s="1781"/>
      <c r="B204" s="1781"/>
      <c r="C204" s="370" t="s">
        <v>1172</v>
      </c>
      <c r="D204" s="2463"/>
      <c r="E204" s="2205"/>
      <c r="F204" s="2384"/>
      <c r="G204" s="401"/>
      <c r="H204" s="1501"/>
      <c r="I204" s="652"/>
      <c r="J204" s="572"/>
      <c r="K204" s="1501"/>
      <c r="L204" s="215"/>
      <c r="M204" s="342"/>
      <c r="N204" s="335"/>
      <c r="O204" s="1625"/>
      <c r="P204" s="1625"/>
      <c r="AH204" s="1632">
        <v>0</v>
      </c>
    </row>
    <row s="1636" customFormat="1" customHeight="1" ht="18.75" hidden="1">
      <c r="A205" s="1781" t="s">
        <v>277</v>
      </c>
      <c r="B205" s="1781" t="s">
        <v>278</v>
      </c>
      <c r="C205" s="370"/>
      <c r="D205" s="2463"/>
      <c r="E205" s="2205"/>
      <c r="F205" s="2384" t="str">
        <f>INDEX(PT_DIFFERENTIATION_VTAR,MATCH(A205,PT_DIFFERENTIATION_VTAR_ID,0))</f>
        <v>Тариф на водоотведение</v>
      </c>
      <c r="G205" s="2428" t="str">
        <f>INDEX(PT_DIFFERENTIATION_NTAR,MATCH(B205,PT_DIFFERENTIATION_NTAR_ID,0))</f>
        <v/>
      </c>
      <c r="H205" s="1863"/>
      <c r="I205" s="1740"/>
      <c r="J205" s="1774"/>
      <c r="K205" s="1779"/>
      <c r="L205" s="1863" t="s">
        <v>318</v>
      </c>
      <c r="M205" s="342"/>
      <c r="N205" s="335"/>
      <c r="O205" s="1625"/>
      <c r="P205" s="1625"/>
      <c r="AH205" s="1632">
        <v>0</v>
      </c>
    </row>
    <row s="1636" customFormat="1" customHeight="1" ht="18.75" hidden="1">
      <c r="A206" s="1781"/>
      <c r="B206" s="1781"/>
      <c r="C206" s="370" t="s">
        <v>1165</v>
      </c>
      <c r="D206" s="2463"/>
      <c r="E206" s="2205"/>
      <c r="F206" s="2384"/>
      <c r="G206" s="2428"/>
      <c r="H206" s="1501"/>
      <c r="I206" s="652" t="s">
        <v>1164</v>
      </c>
      <c r="J206" s="572"/>
      <c r="K206" s="1501"/>
      <c r="L206" s="215"/>
      <c r="M206" s="342"/>
      <c r="N206" s="335"/>
      <c r="O206" s="1625"/>
      <c r="P206" s="1625"/>
      <c r="AH206" s="1632">
        <v>0</v>
      </c>
    </row>
    <row s="1636" customFormat="1" customHeight="1" ht="0.75" hidden="1">
      <c r="A207" s="1781"/>
      <c r="B207" s="1781"/>
      <c r="C207" s="370" t="s">
        <v>1172</v>
      </c>
      <c r="D207" s="2463"/>
      <c r="E207" s="2205"/>
      <c r="F207" s="2384"/>
      <c r="G207" s="401"/>
      <c r="H207" s="1501"/>
      <c r="I207" s="652"/>
      <c r="J207" s="572"/>
      <c r="K207" s="1501"/>
      <c r="L207" s="215"/>
      <c r="M207" s="342"/>
      <c r="N207" s="335"/>
      <c r="O207" s="1625"/>
      <c r="P207" s="1625"/>
      <c r="AH207" s="1632">
        <v>0</v>
      </c>
    </row>
    <row s="1636" customFormat="1" customHeight="1" ht="18.75" hidden="1">
      <c r="A208" s="1781" t="s">
        <v>282</v>
      </c>
      <c r="B208" s="1781" t="s">
        <v>283</v>
      </c>
      <c r="C208" s="370"/>
      <c r="D208" s="2463"/>
      <c r="E208" s="2205"/>
      <c r="F208" s="2384" t="str">
        <f>INDEX(PT_DIFFERENTIATION_VTAR,MATCH(A208,PT_DIFFERENTIATION_VTAR_ID,0))</f>
        <v>Тариф на транспортировку сточных вод</v>
      </c>
      <c r="G208" s="2428" t="str">
        <f>INDEX(PT_DIFFERENTIATION_NTAR,MATCH(B208,PT_DIFFERENTIATION_NTAR_ID,0))</f>
        <v/>
      </c>
      <c r="H208" s="1863"/>
      <c r="I208" s="1740"/>
      <c r="J208" s="1774"/>
      <c r="K208" s="1779"/>
      <c r="L208" s="1863" t="s">
        <v>318</v>
      </c>
      <c r="M208" s="342"/>
      <c r="N208" s="335"/>
      <c r="O208" s="1625"/>
      <c r="P208" s="1625"/>
      <c r="AH208" s="1632">
        <v>0</v>
      </c>
    </row>
    <row s="1636" customFormat="1" customHeight="1" ht="18.75" hidden="1">
      <c r="A209" s="1781"/>
      <c r="B209" s="1781"/>
      <c r="C209" s="370" t="s">
        <v>1165</v>
      </c>
      <c r="D209" s="2463"/>
      <c r="E209" s="2205"/>
      <c r="F209" s="2384"/>
      <c r="G209" s="2428"/>
      <c r="H209" s="1501"/>
      <c r="I209" s="652" t="s">
        <v>1164</v>
      </c>
      <c r="J209" s="572"/>
      <c r="K209" s="1501"/>
      <c r="L209" s="215"/>
      <c r="M209" s="342"/>
      <c r="N209" s="335"/>
      <c r="O209" s="1625"/>
      <c r="P209" s="1625"/>
      <c r="AH209" s="1632">
        <v>0</v>
      </c>
    </row>
    <row s="1636" customFormat="1" customHeight="1" ht="0.75" hidden="1">
      <c r="A210" s="1781"/>
      <c r="B210" s="1781"/>
      <c r="C210" s="370" t="s">
        <v>1172</v>
      </c>
      <c r="D210" s="2463"/>
      <c r="E210" s="2205"/>
      <c r="F210" s="2384"/>
      <c r="G210" s="401"/>
      <c r="H210" s="1501"/>
      <c r="I210" s="652"/>
      <c r="J210" s="572"/>
      <c r="K210" s="1501"/>
      <c r="L210" s="215"/>
      <c r="M210" s="342"/>
      <c r="N210" s="335"/>
      <c r="O210" s="1625"/>
      <c r="P210" s="1625"/>
      <c r="AH210" s="1632">
        <v>0</v>
      </c>
    </row>
    <row s="1636" customFormat="1" customHeight="1" ht="18.75" hidden="1">
      <c r="A211" s="1781" t="s">
        <v>287</v>
      </c>
      <c r="B211" s="1781" t="s">
        <v>288</v>
      </c>
      <c r="C211" s="370"/>
      <c r="D211" s="2463"/>
      <c r="E211" s="2205"/>
      <c r="F211" s="2384" t="str">
        <f>INDEX(PT_DIFFERENTIATION_VTAR,MATCH(A211,PT_DIFFERENTIATION_VTAR_ID,0))</f>
        <v>Тариф на подключение (технологическое присоединение) к централизованной системе водоотведения</v>
      </c>
      <c r="G211" s="2428" t="str">
        <f>INDEX(PT_DIFFERENTIATION_NTAR,MATCH(B211,PT_DIFFERENTIATION_NTAR_ID,0))</f>
        <v/>
      </c>
      <c r="H211" s="1863"/>
      <c r="I211" s="1740"/>
      <c r="J211" s="1774"/>
      <c r="K211" s="1779"/>
      <c r="L211" s="1863" t="s">
        <v>318</v>
      </c>
      <c r="M211" s="342"/>
      <c r="N211" s="335"/>
      <c r="O211" s="1625"/>
      <c r="P211" s="1625"/>
      <c r="AH211" s="1632">
        <v>0</v>
      </c>
    </row>
    <row s="1636" customFormat="1" customHeight="1" ht="18.75" hidden="1">
      <c r="A212" s="1781"/>
      <c r="B212" s="1781"/>
      <c r="C212" s="370" t="s">
        <v>1165</v>
      </c>
      <c r="D212" s="2463"/>
      <c r="E212" s="2205"/>
      <c r="F212" s="2384"/>
      <c r="G212" s="2428"/>
      <c r="H212" s="1501"/>
      <c r="I212" s="652" t="s">
        <v>1164</v>
      </c>
      <c r="J212" s="572"/>
      <c r="K212" s="1501"/>
      <c r="L212" s="215"/>
      <c r="M212" s="342"/>
      <c r="N212" s="335"/>
      <c r="O212" s="1625"/>
      <c r="P212" s="1625"/>
      <c r="AH212" s="1632">
        <v>0</v>
      </c>
    </row>
    <row s="1636" customFormat="1" customHeight="1" ht="1.05">
      <c r="A213" s="1781"/>
      <c r="B213" s="1781"/>
      <c r="C213" s="370" t="s">
        <v>1172</v>
      </c>
      <c r="D213" s="2463"/>
      <c r="E213" s="2205"/>
      <c r="F213" s="2384"/>
      <c r="G213" s="401"/>
      <c r="H213" s="1501"/>
      <c r="I213" s="652"/>
      <c r="J213" s="572"/>
      <c r="K213" s="1501"/>
      <c r="L213" s="215"/>
      <c r="M213" s="342"/>
      <c r="N213" s="335"/>
      <c r="O213" s="1625"/>
      <c r="P213" s="1625"/>
      <c r="AH213" s="1632">
        <v>1</v>
      </c>
    </row>
    <row customHeight="1" ht="27.299999999999997">
      <c r="A214" s="1781"/>
      <c r="B214" s="1781"/>
      <c r="D214" s="377"/>
      <c r="E214" s="148" t="s">
        <v>114</v>
      </c>
      <c r="F214" s="2461"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14" s="2461"/>
      <c r="H214" s="2461"/>
      <c r="I214" s="2461"/>
      <c r="J214" s="2461"/>
      <c r="K214" s="2461"/>
      <c r="L214" s="2461"/>
      <c r="M214" s="298"/>
      <c r="N214" s="335"/>
      <c r="AH214" s="375">
        <v>26</v>
      </c>
    </row>
    <row s="1636" customFormat="1" customHeight="1" ht="60.75" hidden="1">
      <c r="A215" s="1781" t="s">
        <v>158</v>
      </c>
      <c r="B215" s="1781" t="s">
        <v>159</v>
      </c>
      <c r="C215" s="370"/>
      <c r="D215" s="2463"/>
      <c r="E215" s="2205"/>
      <c r="F215" s="2384" t="str">
        <f>INDEX(PT_DIFFERENTIATION_VTAR,MATCH(A215,PT_DIFFERENTIATION_VTAR_ID,0))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15" s="2428" t="str">
        <f>INDEX(PT_DIFFERENTIATION_NTAR,MATCH(B215,PT_DIFFERENTIATION_NTAR_ID,0))</f>
        <v/>
      </c>
      <c r="H215" s="1863"/>
      <c r="I215" s="1740"/>
      <c r="J215" s="1774"/>
      <c r="K215" s="1779"/>
      <c r="L215" s="1863" t="s">
        <v>318</v>
      </c>
      <c r="M215"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холодного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холодного водоснабжения по видам тарифов и/или по срокам действия тарифов информация указывается в отдельных строках.</v>
      </c>
      <c r="N215" s="335"/>
      <c r="O215" s="1625"/>
      <c r="P215" s="1625"/>
      <c r="AH215" s="1632">
        <v>0</v>
      </c>
    </row>
    <row s="1636" customFormat="1" customHeight="1" ht="18.75" hidden="1">
      <c r="A216" s="1781"/>
      <c r="B216" s="1781"/>
      <c r="C216" s="370" t="s">
        <v>1165</v>
      </c>
      <c r="D216" s="2463"/>
      <c r="E216" s="2205"/>
      <c r="F216" s="2384"/>
      <c r="G216" s="2428"/>
      <c r="H216" s="1501"/>
      <c r="I216" s="652" t="s">
        <v>1164</v>
      </c>
      <c r="J216" s="572"/>
      <c r="K216" s="1501"/>
      <c r="L216" s="215"/>
      <c r="M216" s="2171"/>
      <c r="N216" s="335"/>
      <c r="O216" s="1625"/>
      <c r="P216" s="1625"/>
      <c r="AH216" s="1632">
        <v>0</v>
      </c>
    </row>
    <row s="1636" customFormat="1" customHeight="1" ht="0.75" hidden="1">
      <c r="A217" s="1781"/>
      <c r="B217" s="1781"/>
      <c r="C217" s="370" t="s">
        <v>1172</v>
      </c>
      <c r="D217" s="2463"/>
      <c r="E217" s="2205"/>
      <c r="F217" s="2384"/>
      <c r="G217" s="401"/>
      <c r="H217" s="1501"/>
      <c r="I217" s="652"/>
      <c r="J217" s="572"/>
      <c r="K217" s="1501"/>
      <c r="L217" s="215"/>
      <c r="M217" s="2171"/>
      <c r="N217" s="335"/>
      <c r="O217" s="1625"/>
      <c r="P217" s="1625"/>
      <c r="AH217" s="1632">
        <v>0</v>
      </c>
    </row>
    <row s="1636" customFormat="1" customHeight="1" ht="45" hidden="1">
      <c r="A218" s="1781" t="s">
        <v>163</v>
      </c>
      <c r="B218" s="1781" t="s">
        <v>164</v>
      </c>
      <c r="C218" s="370"/>
      <c r="D218" s="2463"/>
      <c r="E218" s="2205"/>
      <c r="F218" s="2384" t="str">
        <f>INDEX(PT_DIFFERENTIATION_VTAR,MATCH(A218,PT_DIFFERENTIATION_VTAR_ID,0))</f>
        <v/>
      </c>
      <c r="G218" s="2428" t="str">
        <f>INDEX(PT_DIFFERENTIATION_NTAR,MATCH(B218,PT_DIFFERENTIATION_NTAR_ID,0))</f>
        <v/>
      </c>
      <c r="H218" s="1863"/>
      <c r="I218" s="1740"/>
      <c r="J218" s="1774"/>
      <c r="K218" s="1779"/>
      <c r="L218" s="1863" t="s">
        <v>318</v>
      </c>
      <c r="M218" s="2172"/>
      <c r="N218" s="335"/>
      <c r="O218" s="1625"/>
      <c r="P218" s="1625"/>
      <c r="AH218" s="1632">
        <v>0</v>
      </c>
    </row>
    <row s="1636" customFormat="1" customHeight="1" ht="18.75" hidden="1">
      <c r="A219" s="1781"/>
      <c r="B219" s="1781"/>
      <c r="C219" s="370" t="s">
        <v>1165</v>
      </c>
      <c r="D219" s="2463"/>
      <c r="E219" s="2205"/>
      <c r="F219" s="2384"/>
      <c r="G219" s="2428"/>
      <c r="H219" s="1501"/>
      <c r="I219" s="652" t="s">
        <v>1164</v>
      </c>
      <c r="J219" s="572"/>
      <c r="K219" s="1501"/>
      <c r="L219" s="215"/>
      <c r="M219" s="1862"/>
      <c r="N219" s="335"/>
      <c r="O219" s="1625"/>
      <c r="P219" s="1625"/>
      <c r="AH219" s="1632">
        <v>0</v>
      </c>
    </row>
    <row s="1636" customFormat="1" customHeight="1" ht="0.75" hidden="1">
      <c r="A220" s="1781"/>
      <c r="B220" s="1781"/>
      <c r="C220" s="370" t="s">
        <v>1172</v>
      </c>
      <c r="D220" s="2463"/>
      <c r="E220" s="2205"/>
      <c r="F220" s="2384"/>
      <c r="G220" s="401"/>
      <c r="H220" s="1501"/>
      <c r="I220" s="652"/>
      <c r="J220" s="572"/>
      <c r="K220" s="1501"/>
      <c r="L220" s="215"/>
      <c r="M220" s="342"/>
      <c r="N220" s="335"/>
      <c r="O220" s="1625"/>
      <c r="P220" s="1625"/>
      <c r="AH220" s="1632">
        <v>0</v>
      </c>
    </row>
    <row s="1636" customFormat="1" customHeight="1" ht="45" hidden="1">
      <c r="A221" s="1781" t="s">
        <v>170</v>
      </c>
      <c r="B221" s="1781" t="s">
        <v>171</v>
      </c>
      <c r="C221" s="370"/>
      <c r="D221" s="2463"/>
      <c r="E221" s="2205"/>
      <c r="F221" s="2384" t="str">
        <f>INDEX(PT_DIFFERENTIATION_VTAR,MATCH(A221,PT_DIFFERENTIATION_VTAR_ID,0))</f>
        <v>Тарифы на теплоноситель, поставляемый теплоснабжающими организациями потребителям, другим теплоснабжающим организациям</v>
      </c>
      <c r="G221" s="2428" t="str">
        <f>INDEX(PT_DIFFERENTIATION_NTAR,MATCH(B221,PT_DIFFERENTIATION_NTAR_ID,0))</f>
        <v/>
      </c>
      <c r="H221" s="1863"/>
      <c r="I221" s="1740"/>
      <c r="J221" s="1774"/>
      <c r="K221" s="1779"/>
      <c r="L221" s="1863" t="s">
        <v>318</v>
      </c>
      <c r="M221" s="342"/>
      <c r="N221" s="335"/>
      <c r="O221" s="1625"/>
      <c r="P221" s="1625"/>
      <c r="AH221" s="1632">
        <v>0</v>
      </c>
    </row>
    <row s="1636" customFormat="1" customHeight="1" ht="18.75" hidden="1">
      <c r="A222" s="1781"/>
      <c r="B222" s="1781"/>
      <c r="C222" s="370" t="s">
        <v>1165</v>
      </c>
      <c r="D222" s="2463"/>
      <c r="E222" s="2205"/>
      <c r="F222" s="2384"/>
      <c r="G222" s="2428"/>
      <c r="H222" s="1501"/>
      <c r="I222" s="652" t="s">
        <v>1164</v>
      </c>
      <c r="J222" s="572"/>
      <c r="K222" s="1501"/>
      <c r="L222" s="215"/>
      <c r="M222" s="342"/>
      <c r="N222" s="335"/>
      <c r="O222" s="1625"/>
      <c r="P222" s="1625"/>
      <c r="AH222" s="1632">
        <v>0</v>
      </c>
    </row>
    <row s="1636" customFormat="1" customHeight="1" ht="0.75" hidden="1">
      <c r="A223" s="1781"/>
      <c r="B223" s="1781"/>
      <c r="C223" s="370" t="s">
        <v>1172</v>
      </c>
      <c r="D223" s="2463"/>
      <c r="E223" s="2205"/>
      <c r="F223" s="2384"/>
      <c r="G223" s="401"/>
      <c r="H223" s="1501"/>
      <c r="I223" s="652"/>
      <c r="J223" s="572"/>
      <c r="K223" s="1501"/>
      <c r="L223" s="215"/>
      <c r="M223" s="342"/>
      <c r="N223" s="335"/>
      <c r="O223" s="1625"/>
      <c r="P223" s="1625"/>
      <c r="AH223" s="1632">
        <v>0</v>
      </c>
    </row>
    <row s="1636" customFormat="1" customHeight="1" ht="45" hidden="1">
      <c r="A224" s="1781" t="s">
        <v>176</v>
      </c>
      <c r="B224" s="1781" t="s">
        <v>177</v>
      </c>
      <c r="C224" s="370"/>
      <c r="D224" s="2463"/>
      <c r="E224" s="2205"/>
      <c r="F224" s="2384" t="str">
        <f>INDEX(PT_DIFFERENTIATION_VTAR,MATCH(A224,PT_DIFFERENTIATION_VTAR_ID,0))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24" s="2428" t="str">
        <f>INDEX(PT_DIFFERENTIATION_NTAR,MATCH(B224,PT_DIFFERENTIATION_NTAR_ID,0))</f>
        <v/>
      </c>
      <c r="H224" s="1863"/>
      <c r="I224" s="1740"/>
      <c r="J224" s="1774"/>
      <c r="K224" s="1779"/>
      <c r="L224" s="1863" t="s">
        <v>318</v>
      </c>
      <c r="M224" s="342"/>
      <c r="N224" s="335"/>
      <c r="O224" s="1625"/>
      <c r="P224" s="1625"/>
      <c r="AH224" s="1632">
        <v>0</v>
      </c>
    </row>
    <row s="1636" customFormat="1" customHeight="1" ht="18.75" hidden="1">
      <c r="A225" s="1781"/>
      <c r="B225" s="1781"/>
      <c r="C225" s="370" t="s">
        <v>1165</v>
      </c>
      <c r="D225" s="2463"/>
      <c r="E225" s="2205"/>
      <c r="F225" s="2384"/>
      <c r="G225" s="2428"/>
      <c r="H225" s="1501"/>
      <c r="I225" s="652" t="s">
        <v>1164</v>
      </c>
      <c r="J225" s="572"/>
      <c r="K225" s="1501"/>
      <c r="L225" s="215"/>
      <c r="M225" s="342"/>
      <c r="N225" s="335"/>
      <c r="O225" s="1625"/>
      <c r="P225" s="1625"/>
      <c r="AH225" s="1632">
        <v>0</v>
      </c>
    </row>
    <row s="1636" customFormat="1" customHeight="1" ht="0.75" hidden="1">
      <c r="A226" s="1781"/>
      <c r="B226" s="1781"/>
      <c r="C226" s="370" t="s">
        <v>1172</v>
      </c>
      <c r="D226" s="2463"/>
      <c r="E226" s="2205"/>
      <c r="F226" s="2384"/>
      <c r="G226" s="401"/>
      <c r="H226" s="1501"/>
      <c r="I226" s="652"/>
      <c r="J226" s="572"/>
      <c r="K226" s="1501"/>
      <c r="L226" s="215"/>
      <c r="M226" s="342"/>
      <c r="N226" s="335"/>
      <c r="O226" s="1625"/>
      <c r="P226" s="1625"/>
      <c r="AH226" s="1632">
        <v>0</v>
      </c>
    </row>
    <row s="1636" customFormat="1" customHeight="1" ht="18.75" hidden="1">
      <c r="A227" s="1781" t="s">
        <v>182</v>
      </c>
      <c r="B227" s="1781" t="s">
        <v>183</v>
      </c>
      <c r="C227" s="370"/>
      <c r="D227" s="2463"/>
      <c r="E227" s="2205"/>
      <c r="F227" s="2384" t="str">
        <f>INDEX(PT_DIFFERENTIATION_VTAR,MATCH(A227,PT_DIFFERENTIATION_VTAR_ID,0))</f>
        <v>Тарифы на услуги по передаче тепловой энергии</v>
      </c>
      <c r="G227" s="2428" t="str">
        <f>INDEX(PT_DIFFERENTIATION_NTAR,MATCH(B227,PT_DIFFERENTIATION_NTAR_ID,0))</f>
        <v/>
      </c>
      <c r="H227" s="1863"/>
      <c r="I227" s="1740"/>
      <c r="J227" s="1774"/>
      <c r="K227" s="1779"/>
      <c r="L227" s="1863" t="s">
        <v>318</v>
      </c>
      <c r="M227" s="342"/>
      <c r="N227" s="335"/>
      <c r="O227" s="1625"/>
      <c r="P227" s="1625"/>
      <c r="AH227" s="1632">
        <v>0</v>
      </c>
    </row>
    <row s="1636" customFormat="1" customHeight="1" ht="18.75" hidden="1">
      <c r="A228" s="1781"/>
      <c r="B228" s="1781"/>
      <c r="C228" s="370" t="s">
        <v>1165</v>
      </c>
      <c r="D228" s="2463"/>
      <c r="E228" s="2205"/>
      <c r="F228" s="2384"/>
      <c r="G228" s="2428"/>
      <c r="H228" s="1501"/>
      <c r="I228" s="652" t="s">
        <v>1164</v>
      </c>
      <c r="J228" s="572"/>
      <c r="K228" s="1501"/>
      <c r="L228" s="215"/>
      <c r="M228" s="342"/>
      <c r="N228" s="335"/>
      <c r="O228" s="1625"/>
      <c r="P228" s="1625"/>
      <c r="AH228" s="1632">
        <v>0</v>
      </c>
    </row>
    <row s="1636" customFormat="1" customHeight="1" ht="0.75" hidden="1">
      <c r="A229" s="1781"/>
      <c r="B229" s="1781"/>
      <c r="C229" s="370" t="s">
        <v>1172</v>
      </c>
      <c r="D229" s="2463"/>
      <c r="E229" s="2205"/>
      <c r="F229" s="2384"/>
      <c r="G229" s="401"/>
      <c r="H229" s="1501"/>
      <c r="I229" s="652"/>
      <c r="J229" s="572"/>
      <c r="K229" s="1501"/>
      <c r="L229" s="215"/>
      <c r="M229" s="342"/>
      <c r="N229" s="335"/>
      <c r="O229" s="1625"/>
      <c r="P229" s="1625"/>
      <c r="AH229" s="1632">
        <v>0</v>
      </c>
    </row>
    <row s="1636" customFormat="1" customHeight="1" ht="18.75" hidden="1">
      <c r="A230" s="1781" t="s">
        <v>188</v>
      </c>
      <c r="B230" s="1781" t="s">
        <v>189</v>
      </c>
      <c r="C230" s="370"/>
      <c r="D230" s="2463"/>
      <c r="E230" s="2205"/>
      <c r="F230" s="2384" t="str">
        <f>INDEX(PT_DIFFERENTIATION_VTAR,MATCH(A230,PT_DIFFERENTIATION_VTAR_ID,0))</f>
        <v>Тарифы на услуги по передаче теплоносителя</v>
      </c>
      <c r="G230" s="2428" t="str">
        <f>INDEX(PT_DIFFERENTIATION_NTAR,MATCH(B230,PT_DIFFERENTIATION_NTAR_ID,0))</f>
        <v/>
      </c>
      <c r="H230" s="1863"/>
      <c r="I230" s="1740"/>
      <c r="J230" s="1774"/>
      <c r="K230" s="1779"/>
      <c r="L230" s="1863" t="s">
        <v>318</v>
      </c>
      <c r="M230" s="342"/>
      <c r="N230" s="335"/>
      <c r="O230" s="1625"/>
      <c r="P230" s="1625"/>
      <c r="AH230" s="1632">
        <v>0</v>
      </c>
    </row>
    <row s="1636" customFormat="1" customHeight="1" ht="18.75" hidden="1">
      <c r="A231" s="1781"/>
      <c r="B231" s="1781"/>
      <c r="C231" s="370" t="s">
        <v>1165</v>
      </c>
      <c r="D231" s="2463"/>
      <c r="E231" s="2205"/>
      <c r="F231" s="2384"/>
      <c r="G231" s="2428"/>
      <c r="H231" s="1501"/>
      <c r="I231" s="652" t="s">
        <v>1164</v>
      </c>
      <c r="J231" s="572"/>
      <c r="K231" s="1501"/>
      <c r="L231" s="215"/>
      <c r="M231" s="342"/>
      <c r="N231" s="335"/>
      <c r="O231" s="1625"/>
      <c r="P231" s="1625"/>
      <c r="AH231" s="1632">
        <v>0</v>
      </c>
    </row>
    <row s="1636" customFormat="1" customHeight="1" ht="0.75" hidden="1">
      <c r="A232" s="1781"/>
      <c r="B232" s="1781"/>
      <c r="C232" s="370" t="s">
        <v>1172</v>
      </c>
      <c r="D232" s="2463"/>
      <c r="E232" s="2205"/>
      <c r="F232" s="2384"/>
      <c r="G232" s="401"/>
      <c r="H232" s="1501"/>
      <c r="I232" s="652"/>
      <c r="J232" s="572"/>
      <c r="K232" s="1501"/>
      <c r="L232" s="215"/>
      <c r="M232" s="342"/>
      <c r="N232" s="335"/>
      <c r="O232" s="1625"/>
      <c r="P232" s="1625"/>
      <c r="AH232" s="1632">
        <v>0</v>
      </c>
    </row>
    <row s="1636" customFormat="1" customHeight="1" ht="18.75" hidden="1">
      <c r="A233" s="1781" t="s">
        <v>194</v>
      </c>
      <c r="B233" s="1781" t="s">
        <v>195</v>
      </c>
      <c r="C233" s="370"/>
      <c r="D233" s="2463"/>
      <c r="E233" s="2205"/>
      <c r="F233" s="2384" t="str">
        <f>INDEX(PT_DIFFERENTIATION_VTAR,MATCH(A233,PT_DIFFERENTIATION_VTAR_ID,0))</f>
        <v>Плата за услуги по поддержанию резервной тепловой мощности при отсутствии потребления тепловой энергии</v>
      </c>
      <c r="G233" s="2428" t="str">
        <f>INDEX(PT_DIFFERENTIATION_NTAR,MATCH(B233,PT_DIFFERENTIATION_NTAR_ID,0))</f>
        <v/>
      </c>
      <c r="H233" s="1863"/>
      <c r="I233" s="1740"/>
      <c r="J233" s="1774"/>
      <c r="K233" s="1779"/>
      <c r="L233" s="1863" t="s">
        <v>318</v>
      </c>
      <c r="M233" s="342"/>
      <c r="N233" s="335"/>
      <c r="O233" s="1625"/>
      <c r="P233" s="1625"/>
      <c r="AH233" s="1632">
        <v>0</v>
      </c>
    </row>
    <row s="1636" customFormat="1" customHeight="1" ht="18.75" hidden="1">
      <c r="A234" s="1781"/>
      <c r="B234" s="1781"/>
      <c r="C234" s="370" t="s">
        <v>1165</v>
      </c>
      <c r="D234" s="2463"/>
      <c r="E234" s="2205"/>
      <c r="F234" s="2384"/>
      <c r="G234" s="2428"/>
      <c r="H234" s="1501"/>
      <c r="I234" s="652" t="s">
        <v>1164</v>
      </c>
      <c r="J234" s="572"/>
      <c r="K234" s="1501"/>
      <c r="L234" s="215"/>
      <c r="M234" s="342"/>
      <c r="N234" s="335"/>
      <c r="O234" s="1625"/>
      <c r="P234" s="1625"/>
      <c r="AH234" s="1632">
        <v>0</v>
      </c>
    </row>
    <row s="1636" customFormat="1" customHeight="1" ht="0.75" hidden="1">
      <c r="A235" s="1781"/>
      <c r="B235" s="1781"/>
      <c r="C235" s="370" t="s">
        <v>1172</v>
      </c>
      <c r="D235" s="2463"/>
      <c r="E235" s="2205"/>
      <c r="F235" s="2384"/>
      <c r="G235" s="401"/>
      <c r="H235" s="1501"/>
      <c r="I235" s="652"/>
      <c r="J235" s="572"/>
      <c r="K235" s="1501"/>
      <c r="L235" s="215"/>
      <c r="M235" s="342"/>
      <c r="N235" s="335"/>
      <c r="O235" s="1625"/>
      <c r="P235" s="1625"/>
      <c r="AH235" s="1632">
        <v>0</v>
      </c>
    </row>
    <row s="1636" customFormat="1" customHeight="1" ht="18.75" hidden="1">
      <c r="A236" s="1781" t="s">
        <v>200</v>
      </c>
      <c r="B236" s="1781" t="s">
        <v>201</v>
      </c>
      <c r="C236" s="370"/>
      <c r="D236" s="2463"/>
      <c r="E236" s="2205"/>
      <c r="F236" s="2384" t="str">
        <f>INDEX(PT_DIFFERENTIATION_VTAR,MATCH(A236,PT_DIFFERENTIATION_VTAR_ID,0))</f>
        <v>Плата за подключение (технологическое присоединение) к системе теплоснабжения</v>
      </c>
      <c r="G236" s="2428" t="str">
        <f>INDEX(PT_DIFFERENTIATION_NTAR,MATCH(B236,PT_DIFFERENTIATION_NTAR_ID,0))</f>
        <v/>
      </c>
      <c r="H236" s="1863"/>
      <c r="I236" s="1740"/>
      <c r="J236" s="1774"/>
      <c r="K236" s="1779"/>
      <c r="L236" s="1863" t="s">
        <v>318</v>
      </c>
      <c r="M236" s="342"/>
      <c r="N236" s="335"/>
      <c r="O236" s="1625"/>
      <c r="P236" s="1625"/>
      <c r="AH236" s="1632">
        <v>0</v>
      </c>
    </row>
    <row s="1636" customFormat="1" customHeight="1" ht="18.75" hidden="1">
      <c r="A237" s="1781"/>
      <c r="B237" s="1781"/>
      <c r="C237" s="370" t="s">
        <v>1165</v>
      </c>
      <c r="D237" s="2463"/>
      <c r="E237" s="2205"/>
      <c r="F237" s="2384"/>
      <c r="G237" s="2428"/>
      <c r="H237" s="1501"/>
      <c r="I237" s="652" t="s">
        <v>1164</v>
      </c>
      <c r="J237" s="572"/>
      <c r="K237" s="1501"/>
      <c r="L237" s="215"/>
      <c r="M237" s="342"/>
      <c r="N237" s="335"/>
      <c r="O237" s="1625"/>
      <c r="P237" s="1625"/>
      <c r="AH237" s="1632">
        <v>0</v>
      </c>
    </row>
    <row s="1636" customFormat="1" customHeight="1" ht="0.75" hidden="1">
      <c r="A238" s="1781"/>
      <c r="B238" s="1781"/>
      <c r="C238" s="370" t="s">
        <v>1172</v>
      </c>
      <c r="D238" s="2463"/>
      <c r="E238" s="2205"/>
      <c r="F238" s="2384"/>
      <c r="G238" s="401"/>
      <c r="H238" s="1501"/>
      <c r="I238" s="652"/>
      <c r="J238" s="572"/>
      <c r="K238" s="1501"/>
      <c r="L238" s="215"/>
      <c r="M238" s="342"/>
      <c r="N238" s="335"/>
      <c r="O238" s="1625"/>
      <c r="P238" s="1625"/>
      <c r="AH238" s="1632">
        <v>0</v>
      </c>
    </row>
    <row s="1636" customFormat="1" customHeight="1" ht="18.75" hidden="1">
      <c r="A239" s="1781" t="s">
        <v>206</v>
      </c>
      <c r="B239" s="1781" t="s">
        <v>207</v>
      </c>
      <c r="C239" s="370"/>
      <c r="D239" s="2463"/>
      <c r="E239" s="2205"/>
      <c r="F239" s="2384" t="str">
        <f>INDEX(PT_DIFFERENTIATION_VTAR,MATCH(A239,PT_DIFFERENTIATION_VTAR_ID,0))</f>
        <v>Плата за подключение (технологическое присоединение) к системе теплоснабжения (индивидуальная)</v>
      </c>
      <c r="G239" s="2428" t="str">
        <f>INDEX(PT_DIFFERENTIATION_NTAR,MATCH(B239,PT_DIFFERENTIATION_NTAR_ID,0))</f>
        <v/>
      </c>
      <c r="H239" s="1990"/>
      <c r="I239" s="1740"/>
      <c r="J239" s="1774"/>
      <c r="K239" s="1779"/>
      <c r="L239" s="1990" t="s">
        <v>318</v>
      </c>
      <c r="M239" s="342"/>
      <c r="N239" s="335"/>
      <c r="O239" s="1625"/>
      <c r="P239" s="1625"/>
      <c r="AH239" s="1632">
        <v>0</v>
      </c>
    </row>
    <row s="1636" customFormat="1" customHeight="1" ht="18.75" hidden="1">
      <c r="A240" s="1781"/>
      <c r="B240" s="1781"/>
      <c r="C240" s="370" t="s">
        <v>1165</v>
      </c>
      <c r="D240" s="2463"/>
      <c r="E240" s="2205"/>
      <c r="F240" s="2384"/>
      <c r="G240" s="2428"/>
      <c r="H240" s="1501"/>
      <c r="I240" s="652" t="s">
        <v>1164</v>
      </c>
      <c r="J240" s="572"/>
      <c r="K240" s="1501"/>
      <c r="L240" s="215"/>
      <c r="M240" s="342"/>
      <c r="N240" s="335"/>
      <c r="O240" s="1625"/>
      <c r="P240" s="1625"/>
      <c r="AH240" s="1632">
        <v>0</v>
      </c>
    </row>
    <row s="1636" customFormat="1" customHeight="1" ht="0.75" hidden="1">
      <c r="A241" s="1781"/>
      <c r="B241" s="1781"/>
      <c r="C241" s="370" t="s">
        <v>1172</v>
      </c>
      <c r="D241" s="2463"/>
      <c r="E241" s="2205"/>
      <c r="F241" s="2384"/>
      <c r="G241" s="401"/>
      <c r="H241" s="1501"/>
      <c r="I241" s="652"/>
      <c r="J241" s="572"/>
      <c r="K241" s="1501"/>
      <c r="L241" s="215"/>
      <c r="M241" s="342"/>
      <c r="N241" s="335"/>
      <c r="O241" s="1625"/>
      <c r="P241" s="1625"/>
      <c r="AH241" s="1632">
        <v>0</v>
      </c>
    </row>
    <row s="1636" customFormat="1" customHeight="1" ht="18.75" hidden="1">
      <c r="A242" s="1781" t="s">
        <v>228</v>
      </c>
      <c r="B242" s="1781" t="s">
        <v>229</v>
      </c>
      <c r="C242" s="370"/>
      <c r="D242" s="2463"/>
      <c r="E242" s="2205"/>
      <c r="F242" s="2384" t="str">
        <f>INDEX(PT_DIFFERENTIATION_VTAR,MATCH(A242,PT_DIFFERENTIATION_VTAR_ID,0))</f>
        <v>Тариф на питьевую воду (питьевое водоснабжение)</v>
      </c>
      <c r="G242" s="2428" t="str">
        <f>INDEX(PT_DIFFERENTIATION_NTAR,MATCH(B242,PT_DIFFERENTIATION_NTAR_ID,0))</f>
        <v>Тарифы на питьевую воду (питьевое водоснабжение), поставляемую потребителям ИМУП "Посжилкомсервис"
</v>
      </c>
      <c r="H242" s="1863"/>
      <c r="I242" s="1740"/>
      <c r="J242" s="1774"/>
      <c r="K242" s="1779"/>
      <c r="L242" s="1863" t="s">
        <v>318</v>
      </c>
      <c r="M242" s="342"/>
      <c r="N242" s="335"/>
      <c r="O242" s="1625"/>
      <c r="P242" s="1625"/>
      <c r="AH242" s="1632">
        <v>0</v>
      </c>
    </row>
    <row s="1636" customFormat="1" customHeight="1" ht="18.75" hidden="1">
      <c r="A243" s="1781"/>
      <c r="B243" s="1781"/>
      <c r="C243" s="370" t="s">
        <v>1165</v>
      </c>
      <c r="D243" s="2463"/>
      <c r="E243" s="2205"/>
      <c r="F243" s="2384"/>
      <c r="G243" s="2428"/>
      <c r="H243" s="1501"/>
      <c r="I243" s="652" t="s">
        <v>1164</v>
      </c>
      <c r="J243" s="572"/>
      <c r="K243" s="1501"/>
      <c r="L243" s="215"/>
      <c r="M243" s="342"/>
      <c r="N243" s="335"/>
      <c r="O243" s="1625"/>
      <c r="P243" s="1625"/>
      <c r="AH243" s="1632">
        <v>0</v>
      </c>
    </row>
    <row s="1636" customFormat="1" customHeight="1" ht="18.75">
      <c r="A244" s="1824" t="s">
        <v>228</v>
      </c>
      <c r="B244" s="1824" t="s">
        <v>236</v>
      </c>
      <c r="C244" s="1688"/>
      <c r="D244" s="345"/>
      <c r="E244" s="1032"/>
      <c r="F244" s="1032"/>
      <c r="G244" s="2428" t="str">
        <f>INDEX(PT_DIFFERENTIATION_NTAR,MATCH(B244,PT_DIFFERENTIATION_NTAR_ID,0))</f>
        <v>Льготные тарифы на питьевую воду (питьевое водоснабжение), поставляемую населению и потребителям, приравненным к населению ИМУП "Посжилкомсервис"
</v>
      </c>
      <c r="H244" s="2272"/>
      <c r="I244" s="1740"/>
      <c r="J244" s="1774"/>
      <c r="K244" s="1779"/>
      <c r="L244" s="2272" t="s">
        <v>318</v>
      </c>
      <c r="M244" s="2319"/>
      <c r="N244" s="619"/>
      <c r="O244" s="1625"/>
      <c r="P244" s="1625"/>
      <c r="Q244" s="1636"/>
      <c r="R244" s="1636"/>
      <c r="S244" s="1636"/>
      <c r="T244" s="1636"/>
      <c r="U244" s="1636"/>
      <c r="V244" s="1636"/>
      <c r="W244" s="1636"/>
      <c r="X244" s="1636"/>
      <c r="Y244" s="1636"/>
      <c r="Z244" s="1636"/>
      <c r="AA244" s="1636"/>
      <c r="AB244" s="1636"/>
      <c r="AC244" s="1636"/>
      <c r="AD244" s="1636"/>
      <c r="AE244" s="1636"/>
      <c r="AF244" s="1636"/>
      <c r="AG244" s="1636"/>
      <c r="AH244" s="1636">
        <v>0</v>
      </c>
    </row>
    <row s="1636" customFormat="1" customHeight="1" ht="18.75">
      <c r="A245" s="1824"/>
      <c r="B245" s="1824"/>
      <c r="C245" s="1688" t="s">
        <v>1165</v>
      </c>
      <c r="D245" s="345"/>
      <c r="E245" s="1032"/>
      <c r="F245" s="1032"/>
      <c r="G245" s="2428"/>
      <c r="H245" s="2808"/>
      <c r="I245" s="2809" t="s">
        <v>1164</v>
      </c>
      <c r="J245" s="2810"/>
      <c r="K245" s="2811"/>
      <c r="L245" s="2812"/>
      <c r="M245" s="2319"/>
      <c r="N245" s="619"/>
      <c r="O245" s="1625"/>
      <c r="P245" s="1625"/>
      <c r="Q245" s="1636"/>
      <c r="R245" s="1636"/>
      <c r="S245" s="1636"/>
      <c r="T245" s="1636"/>
      <c r="U245" s="1636"/>
      <c r="V245" s="1636"/>
      <c r="W245" s="1636"/>
      <c r="X245" s="1636"/>
      <c r="Y245" s="1636"/>
      <c r="Z245" s="1636"/>
      <c r="AA245" s="1636"/>
      <c r="AB245" s="1636"/>
      <c r="AC245" s="1636"/>
      <c r="AD245" s="1636"/>
      <c r="AE245" s="1636"/>
      <c r="AF245" s="1636"/>
      <c r="AG245" s="1636"/>
      <c r="AH245" s="1636">
        <v>0</v>
      </c>
    </row>
    <row s="1636" customFormat="1" customHeight="1" ht="0.75" hidden="1">
      <c r="A246" s="1781"/>
      <c r="B246" s="1781"/>
      <c r="C246" s="370" t="s">
        <v>1172</v>
      </c>
      <c r="D246" s="2463"/>
      <c r="E246" s="2205"/>
      <c r="F246" s="2384"/>
      <c r="G246" s="401"/>
      <c r="H246" s="1501"/>
      <c r="I246" s="652"/>
      <c r="J246" s="572"/>
      <c r="K246" s="1501"/>
      <c r="L246" s="215"/>
      <c r="M246" s="342"/>
      <c r="N246" s="335"/>
      <c r="O246" s="1625"/>
      <c r="P246" s="1625"/>
      <c r="AH246" s="1632">
        <v>0</v>
      </c>
    </row>
    <row s="1636" customFormat="1" customHeight="1" ht="18.75" hidden="1">
      <c r="A247" s="1781" t="s">
        <v>242</v>
      </c>
      <c r="B247" s="1781" t="s">
        <v>243</v>
      </c>
      <c r="C247" s="370"/>
      <c r="D247" s="2463"/>
      <c r="E247" s="2205"/>
      <c r="F247" s="2384" t="str">
        <f>INDEX(PT_DIFFERENTIATION_VTAR,MATCH(A247,PT_DIFFERENTIATION_VTAR_ID,0))</f>
        <v>Тариф на техническую воду</v>
      </c>
      <c r="G247" s="2428" t="str">
        <f>INDEX(PT_DIFFERENTIATION_NTAR,MATCH(B247,PT_DIFFERENTIATION_NTAR_ID,0))</f>
        <v/>
      </c>
      <c r="H247" s="1863"/>
      <c r="I247" s="1740"/>
      <c r="J247" s="1774"/>
      <c r="K247" s="1779"/>
      <c r="L247" s="1863" t="s">
        <v>318</v>
      </c>
      <c r="M247" s="342"/>
      <c r="N247" s="335"/>
      <c r="O247" s="1625"/>
      <c r="P247" s="1625"/>
      <c r="AH247" s="1632">
        <v>0</v>
      </c>
    </row>
    <row s="1636" customFormat="1" customHeight="1" ht="18.75" hidden="1">
      <c r="A248" s="1781"/>
      <c r="B248" s="1781"/>
      <c r="C248" s="370" t="s">
        <v>1165</v>
      </c>
      <c r="D248" s="2463"/>
      <c r="E248" s="2205"/>
      <c r="F248" s="2384"/>
      <c r="G248" s="2428"/>
      <c r="H248" s="1501"/>
      <c r="I248" s="652" t="s">
        <v>1164</v>
      </c>
      <c r="J248" s="572"/>
      <c r="K248" s="1501"/>
      <c r="L248" s="215"/>
      <c r="M248" s="342"/>
      <c r="N248" s="335"/>
      <c r="O248" s="1625"/>
      <c r="P248" s="1625"/>
      <c r="AH248" s="1632">
        <v>0</v>
      </c>
    </row>
    <row s="1636" customFormat="1" customHeight="1" ht="0.75" hidden="1">
      <c r="A249" s="1781"/>
      <c r="B249" s="1781"/>
      <c r="C249" s="370" t="s">
        <v>1172</v>
      </c>
      <c r="D249" s="2463"/>
      <c r="E249" s="2205"/>
      <c r="F249" s="2384"/>
      <c r="G249" s="401"/>
      <c r="H249" s="1501"/>
      <c r="I249" s="652"/>
      <c r="J249" s="572"/>
      <c r="K249" s="1501"/>
      <c r="L249" s="215"/>
      <c r="M249" s="342"/>
      <c r="N249" s="335"/>
      <c r="O249" s="1625"/>
      <c r="P249" s="1625"/>
      <c r="AH249" s="1632">
        <v>0</v>
      </c>
    </row>
    <row s="1636" customFormat="1" customHeight="1" ht="18.75" hidden="1">
      <c r="A250" s="1781" t="s">
        <v>247</v>
      </c>
      <c r="B250" s="1781" t="s">
        <v>248</v>
      </c>
      <c r="C250" s="370"/>
      <c r="D250" s="2463"/>
      <c r="E250" s="2205"/>
      <c r="F250" s="2384" t="str">
        <f>INDEX(PT_DIFFERENTIATION_VTAR,MATCH(A250,PT_DIFFERENTIATION_VTAR_ID,0))</f>
        <v>Тариф на транспортировку воды</v>
      </c>
      <c r="G250" s="2428" t="str">
        <f>INDEX(PT_DIFFERENTIATION_NTAR,MATCH(B250,PT_DIFFERENTIATION_NTAR_ID,0))</f>
        <v/>
      </c>
      <c r="H250" s="1863"/>
      <c r="I250" s="1740"/>
      <c r="J250" s="1774"/>
      <c r="K250" s="1779"/>
      <c r="L250" s="1863" t="s">
        <v>318</v>
      </c>
      <c r="M250" s="342"/>
      <c r="N250" s="335"/>
      <c r="O250" s="1625"/>
      <c r="P250" s="1625"/>
      <c r="AH250" s="1632">
        <v>0</v>
      </c>
    </row>
    <row s="1636" customFormat="1" customHeight="1" ht="18.75" hidden="1">
      <c r="A251" s="1781"/>
      <c r="B251" s="1781"/>
      <c r="C251" s="370" t="s">
        <v>1165</v>
      </c>
      <c r="D251" s="2463"/>
      <c r="E251" s="2205"/>
      <c r="F251" s="2384"/>
      <c r="G251" s="2428"/>
      <c r="H251" s="1501"/>
      <c r="I251" s="652" t="s">
        <v>1164</v>
      </c>
      <c r="J251" s="572"/>
      <c r="K251" s="1501"/>
      <c r="L251" s="215"/>
      <c r="M251" s="342"/>
      <c r="N251" s="335"/>
      <c r="O251" s="1625"/>
      <c r="P251" s="1625"/>
      <c r="AH251" s="1632">
        <v>0</v>
      </c>
    </row>
    <row s="1636" customFormat="1" customHeight="1" ht="0.75" hidden="1">
      <c r="A252" s="1781"/>
      <c r="B252" s="1781"/>
      <c r="C252" s="370" t="s">
        <v>1172</v>
      </c>
      <c r="D252" s="2463"/>
      <c r="E252" s="2205"/>
      <c r="F252" s="2384"/>
      <c r="G252" s="401"/>
      <c r="H252" s="1501"/>
      <c r="I252" s="652"/>
      <c r="J252" s="572"/>
      <c r="K252" s="1501"/>
      <c r="L252" s="215"/>
      <c r="M252" s="342"/>
      <c r="N252" s="335"/>
      <c r="O252" s="1625"/>
      <c r="P252" s="1625"/>
      <c r="AH252" s="1632">
        <v>0</v>
      </c>
    </row>
    <row s="1636" customFormat="1" customHeight="1" ht="18.75" hidden="1">
      <c r="A253" s="1781" t="s">
        <v>252</v>
      </c>
      <c r="B253" s="1781" t="s">
        <v>253</v>
      </c>
      <c r="C253" s="370"/>
      <c r="D253" s="2463"/>
      <c r="E253" s="2205"/>
      <c r="F253" s="2384" t="str">
        <f>INDEX(PT_DIFFERENTIATION_VTAR,MATCH(A253,PT_DIFFERENTIATION_VTAR_ID,0))</f>
        <v>Тариф на подвоз воды</v>
      </c>
      <c r="G253" s="2428" t="str">
        <f>INDEX(PT_DIFFERENTIATION_NTAR,MATCH(B253,PT_DIFFERENTIATION_NTAR_ID,0))</f>
        <v/>
      </c>
      <c r="H253" s="1863"/>
      <c r="I253" s="1740"/>
      <c r="J253" s="1774"/>
      <c r="K253" s="1779"/>
      <c r="L253" s="1863" t="s">
        <v>318</v>
      </c>
      <c r="M253" s="342"/>
      <c r="N253" s="335"/>
      <c r="O253" s="1625"/>
      <c r="P253" s="1625"/>
      <c r="AH253" s="1632">
        <v>0</v>
      </c>
    </row>
    <row s="1636" customFormat="1" customHeight="1" ht="18.75" hidden="1">
      <c r="A254" s="1781"/>
      <c r="B254" s="1781"/>
      <c r="C254" s="370" t="s">
        <v>1165</v>
      </c>
      <c r="D254" s="2463"/>
      <c r="E254" s="2205"/>
      <c r="F254" s="2384"/>
      <c r="G254" s="2428"/>
      <c r="H254" s="1501"/>
      <c r="I254" s="652" t="s">
        <v>1164</v>
      </c>
      <c r="J254" s="572"/>
      <c r="K254" s="1501"/>
      <c r="L254" s="215"/>
      <c r="M254" s="342"/>
      <c r="N254" s="335"/>
      <c r="O254" s="1625"/>
      <c r="P254" s="1625"/>
      <c r="AH254" s="1632">
        <v>0</v>
      </c>
    </row>
    <row s="1636" customFormat="1" customHeight="1" ht="0.75" hidden="1">
      <c r="A255" s="1781"/>
      <c r="B255" s="1781"/>
      <c r="C255" s="370" t="s">
        <v>1172</v>
      </c>
      <c r="D255" s="2463"/>
      <c r="E255" s="2205"/>
      <c r="F255" s="2384"/>
      <c r="G255" s="401"/>
      <c r="H255" s="1501"/>
      <c r="I255" s="652"/>
      <c r="J255" s="572"/>
      <c r="K255" s="1501"/>
      <c r="L255" s="215"/>
      <c r="M255" s="342"/>
      <c r="N255" s="335"/>
      <c r="O255" s="1625"/>
      <c r="P255" s="1625"/>
      <c r="AH255" s="1632">
        <v>0</v>
      </c>
    </row>
    <row s="1636" customFormat="1" customHeight="1" ht="18.75" hidden="1">
      <c r="A256" s="1781" t="s">
        <v>257</v>
      </c>
      <c r="B256" s="1781" t="s">
        <v>258</v>
      </c>
      <c r="C256" s="370"/>
      <c r="D256" s="2463"/>
      <c r="E256" s="2205"/>
      <c r="F256" s="2384" t="str">
        <f>INDEX(PT_DIFFERENTIATION_VTAR,MATCH(A256,PT_DIFFERENTIATION_VTAR_ID,0))</f>
        <v>Тариф на подключение (технологическое присоединение) к централизованной системе холодного водоснабжения</v>
      </c>
      <c r="G256" s="2428" t="str">
        <f>INDEX(PT_DIFFERENTIATION_NTAR,MATCH(B256,PT_DIFFERENTIATION_NTAR_ID,0))</f>
        <v/>
      </c>
      <c r="H256" s="1863"/>
      <c r="I256" s="1740"/>
      <c r="J256" s="1774"/>
      <c r="K256" s="1779"/>
      <c r="L256" s="1863" t="s">
        <v>318</v>
      </c>
      <c r="M256" s="342"/>
      <c r="N256" s="335"/>
      <c r="O256" s="1625"/>
      <c r="P256" s="1625"/>
      <c r="AH256" s="1632">
        <v>0</v>
      </c>
    </row>
    <row s="1636" customFormat="1" customHeight="1" ht="18.75" hidden="1">
      <c r="A257" s="1781"/>
      <c r="B257" s="1781"/>
      <c r="C257" s="370" t="s">
        <v>1165</v>
      </c>
      <c r="D257" s="2463"/>
      <c r="E257" s="2205"/>
      <c r="F257" s="2384"/>
      <c r="G257" s="2428"/>
      <c r="H257" s="1501"/>
      <c r="I257" s="652" t="s">
        <v>1164</v>
      </c>
      <c r="J257" s="572"/>
      <c r="K257" s="1501"/>
      <c r="L257" s="215"/>
      <c r="M257" s="342"/>
      <c r="N257" s="335"/>
      <c r="O257" s="1625"/>
      <c r="P257" s="1625"/>
      <c r="AH257" s="1632">
        <v>0</v>
      </c>
    </row>
    <row s="1636" customFormat="1" customHeight="1" ht="0.75" hidden="1">
      <c r="A258" s="1781"/>
      <c r="B258" s="1781"/>
      <c r="C258" s="370" t="s">
        <v>1172</v>
      </c>
      <c r="D258" s="2463"/>
      <c r="E258" s="2205"/>
      <c r="F258" s="2384"/>
      <c r="G258" s="401"/>
      <c r="H258" s="1501"/>
      <c r="I258" s="652"/>
      <c r="J258" s="572"/>
      <c r="K258" s="1501"/>
      <c r="L258" s="215"/>
      <c r="M258" s="342"/>
      <c r="N258" s="335"/>
      <c r="O258" s="1625"/>
      <c r="P258" s="1625"/>
      <c r="AH258" s="1632">
        <v>0</v>
      </c>
    </row>
    <row s="1636" customFormat="1" customHeight="1" ht="18.75" hidden="1">
      <c r="A259" s="1781" t="s">
        <v>262</v>
      </c>
      <c r="B259" s="1781" t="s">
        <v>263</v>
      </c>
      <c r="C259" s="370"/>
      <c r="D259" s="2463"/>
      <c r="E259" s="2205"/>
      <c r="F259" s="2384" t="str">
        <f>INDEX(PT_DIFFERENTIATION_VTAR,MATCH(A259,PT_DIFFERENTIATION_VTAR_ID,0))</f>
        <v>Тариф на горячую воду (горячее водоснабжение)</v>
      </c>
      <c r="G259" s="2428" t="str">
        <f>INDEX(PT_DIFFERENTIATION_NTAR,MATCH(B259,PT_DIFFERENTIATION_NTAR_ID,0))</f>
        <v/>
      </c>
      <c r="H259" s="1863"/>
      <c r="I259" s="1740"/>
      <c r="J259" s="1774"/>
      <c r="K259" s="1779"/>
      <c r="L259" s="1863" t="s">
        <v>318</v>
      </c>
      <c r="M259" s="342"/>
      <c r="N259" s="335"/>
      <c r="O259" s="1625"/>
      <c r="P259" s="1625"/>
      <c r="AH259" s="1632">
        <v>0</v>
      </c>
    </row>
    <row s="1636" customFormat="1" customHeight="1" ht="18.75" hidden="1">
      <c r="A260" s="1781"/>
      <c r="B260" s="1781"/>
      <c r="C260" s="370" t="s">
        <v>1165</v>
      </c>
      <c r="D260" s="2463"/>
      <c r="E260" s="2205"/>
      <c r="F260" s="2384"/>
      <c r="G260" s="2428"/>
      <c r="H260" s="1501"/>
      <c r="I260" s="652" t="s">
        <v>1164</v>
      </c>
      <c r="J260" s="572"/>
      <c r="K260" s="1501"/>
      <c r="L260" s="215"/>
      <c r="M260" s="342"/>
      <c r="N260" s="335"/>
      <c r="O260" s="1625"/>
      <c r="P260" s="1625"/>
      <c r="AH260" s="1632">
        <v>0</v>
      </c>
    </row>
    <row s="1636" customFormat="1" customHeight="1" ht="0.75" hidden="1">
      <c r="A261" s="1781"/>
      <c r="B261" s="1781"/>
      <c r="C261" s="370" t="s">
        <v>1172</v>
      </c>
      <c r="D261" s="2463"/>
      <c r="E261" s="2205"/>
      <c r="F261" s="2384"/>
      <c r="G261" s="401"/>
      <c r="H261" s="1501"/>
      <c r="I261" s="652"/>
      <c r="J261" s="572"/>
      <c r="K261" s="1501"/>
      <c r="L261" s="215"/>
      <c r="M261" s="342"/>
      <c r="N261" s="335"/>
      <c r="O261" s="1625"/>
      <c r="P261" s="1625"/>
      <c r="AH261" s="1632">
        <v>0</v>
      </c>
    </row>
    <row s="1636" customFormat="1" customHeight="1" ht="18.75" hidden="1">
      <c r="A262" s="1781" t="s">
        <v>267</v>
      </c>
      <c r="B262" s="1781" t="s">
        <v>268</v>
      </c>
      <c r="C262" s="370"/>
      <c r="D262" s="2463"/>
      <c r="E262" s="2205"/>
      <c r="F262" s="2384" t="str">
        <f>INDEX(PT_DIFFERENTIATION_VTAR,MATCH(A262,PT_DIFFERENTIATION_VTAR_ID,0))</f>
        <v>Тариф на транспортировку горячей воды</v>
      </c>
      <c r="G262" s="2428" t="str">
        <f>INDEX(PT_DIFFERENTIATION_NTAR,MATCH(B262,PT_DIFFERENTIATION_NTAR_ID,0))</f>
        <v/>
      </c>
      <c r="H262" s="1863"/>
      <c r="I262" s="1740"/>
      <c r="J262" s="1774"/>
      <c r="K262" s="1779"/>
      <c r="L262" s="1863" t="s">
        <v>318</v>
      </c>
      <c r="M262" s="342"/>
      <c r="N262" s="335"/>
      <c r="O262" s="1625"/>
      <c r="P262" s="1625"/>
      <c r="AH262" s="1632">
        <v>0</v>
      </c>
    </row>
    <row s="1636" customFormat="1" customHeight="1" ht="18.75" hidden="1">
      <c r="A263" s="1781"/>
      <c r="B263" s="1781"/>
      <c r="C263" s="370" t="s">
        <v>1165</v>
      </c>
      <c r="D263" s="2463"/>
      <c r="E263" s="2205"/>
      <c r="F263" s="2384"/>
      <c r="G263" s="2428"/>
      <c r="H263" s="1501"/>
      <c r="I263" s="652" t="s">
        <v>1164</v>
      </c>
      <c r="J263" s="572"/>
      <c r="K263" s="1501"/>
      <c r="L263" s="215"/>
      <c r="M263" s="342"/>
      <c r="N263" s="335"/>
      <c r="O263" s="1625"/>
      <c r="P263" s="1625"/>
      <c r="AH263" s="1632">
        <v>0</v>
      </c>
    </row>
    <row s="1636" customFormat="1" customHeight="1" ht="0.75" hidden="1">
      <c r="A264" s="1781"/>
      <c r="B264" s="1781"/>
      <c r="C264" s="370" t="s">
        <v>1172</v>
      </c>
      <c r="D264" s="2463"/>
      <c r="E264" s="2205"/>
      <c r="F264" s="2384"/>
      <c r="G264" s="401"/>
      <c r="H264" s="1501"/>
      <c r="I264" s="652"/>
      <c r="J264" s="572"/>
      <c r="K264" s="1501"/>
      <c r="L264" s="215"/>
      <c r="M264" s="342"/>
      <c r="N264" s="335"/>
      <c r="O264" s="1625"/>
      <c r="P264" s="1625"/>
      <c r="AH264" s="1632">
        <v>0</v>
      </c>
    </row>
    <row s="1636" customFormat="1" customHeight="1" ht="18.75" hidden="1">
      <c r="A265" s="1781" t="s">
        <v>272</v>
      </c>
      <c r="B265" s="1781" t="s">
        <v>273</v>
      </c>
      <c r="C265" s="370"/>
      <c r="D265" s="2463"/>
      <c r="E265" s="2205"/>
      <c r="F265" s="2384" t="str">
        <f>INDEX(PT_DIFFERENTIATION_VTAR,MATCH(A265,PT_DIFFERENTIATION_VTAR_ID,0))</f>
        <v>Тариф на подключение (технологическое присоединение) к централизованной системе горячего водоснабжения</v>
      </c>
      <c r="G265" s="2428" t="str">
        <f>INDEX(PT_DIFFERENTIATION_NTAR,MATCH(B265,PT_DIFFERENTIATION_NTAR_ID,0))</f>
        <v/>
      </c>
      <c r="H265" s="1863"/>
      <c r="I265" s="1740"/>
      <c r="J265" s="1774"/>
      <c r="K265" s="1779"/>
      <c r="L265" s="1863" t="s">
        <v>318</v>
      </c>
      <c r="M265" s="342"/>
      <c r="N265" s="335"/>
      <c r="O265" s="1625"/>
      <c r="P265" s="1625"/>
      <c r="AH265" s="1632">
        <v>0</v>
      </c>
    </row>
    <row s="1636" customFormat="1" customHeight="1" ht="18.75" hidden="1">
      <c r="A266" s="1781"/>
      <c r="B266" s="1781"/>
      <c r="C266" s="370" t="s">
        <v>1165</v>
      </c>
      <c r="D266" s="2463"/>
      <c r="E266" s="2205"/>
      <c r="F266" s="2384"/>
      <c r="G266" s="2428"/>
      <c r="H266" s="1501"/>
      <c r="I266" s="652" t="s">
        <v>1164</v>
      </c>
      <c r="J266" s="572"/>
      <c r="K266" s="1501"/>
      <c r="L266" s="215"/>
      <c r="M266" s="342"/>
      <c r="N266" s="335"/>
      <c r="O266" s="1625"/>
      <c r="P266" s="1625"/>
      <c r="AH266" s="1632">
        <v>0</v>
      </c>
    </row>
    <row s="1636" customFormat="1" customHeight="1" ht="0.75" hidden="1">
      <c r="A267" s="1781"/>
      <c r="B267" s="1781"/>
      <c r="C267" s="370" t="s">
        <v>1172</v>
      </c>
      <c r="D267" s="2463"/>
      <c r="E267" s="2205"/>
      <c r="F267" s="2384"/>
      <c r="G267" s="401"/>
      <c r="H267" s="1501"/>
      <c r="I267" s="652"/>
      <c r="J267" s="572"/>
      <c r="K267" s="1501"/>
      <c r="L267" s="215"/>
      <c r="M267" s="342"/>
      <c r="N267" s="335"/>
      <c r="O267" s="1625"/>
      <c r="P267" s="1625"/>
      <c r="AH267" s="1632">
        <v>0</v>
      </c>
    </row>
    <row s="1636" customFormat="1" customHeight="1" ht="18.75" hidden="1">
      <c r="A268" s="1781" t="s">
        <v>277</v>
      </c>
      <c r="B268" s="1781" t="s">
        <v>278</v>
      </c>
      <c r="C268" s="370"/>
      <c r="D268" s="2463"/>
      <c r="E268" s="2205"/>
      <c r="F268" s="2384" t="str">
        <f>INDEX(PT_DIFFERENTIATION_VTAR,MATCH(A268,PT_DIFFERENTIATION_VTAR_ID,0))</f>
        <v>Тариф на водоотведение</v>
      </c>
      <c r="G268" s="2428" t="str">
        <f>INDEX(PT_DIFFERENTIATION_NTAR,MATCH(B268,PT_DIFFERENTIATION_NTAR_ID,0))</f>
        <v/>
      </c>
      <c r="H268" s="1863"/>
      <c r="I268" s="1740"/>
      <c r="J268" s="1774"/>
      <c r="K268" s="1779"/>
      <c r="L268" s="1863" t="s">
        <v>318</v>
      </c>
      <c r="M268" s="342"/>
      <c r="N268" s="335"/>
      <c r="O268" s="1625"/>
      <c r="P268" s="1625"/>
      <c r="AH268" s="1632">
        <v>0</v>
      </c>
    </row>
    <row s="1636" customFormat="1" customHeight="1" ht="18.75" hidden="1">
      <c r="A269" s="1781"/>
      <c r="B269" s="1781"/>
      <c r="C269" s="370" t="s">
        <v>1165</v>
      </c>
      <c r="D269" s="2463"/>
      <c r="E269" s="2205"/>
      <c r="F269" s="2384"/>
      <c r="G269" s="2428"/>
      <c r="H269" s="1501"/>
      <c r="I269" s="652" t="s">
        <v>1164</v>
      </c>
      <c r="J269" s="572"/>
      <c r="K269" s="1501"/>
      <c r="L269" s="215"/>
      <c r="M269" s="342"/>
      <c r="N269" s="335"/>
      <c r="O269" s="1625"/>
      <c r="P269" s="1625"/>
      <c r="AH269" s="1632">
        <v>0</v>
      </c>
    </row>
    <row s="1636" customFormat="1" customHeight="1" ht="0.75" hidden="1">
      <c r="A270" s="1781"/>
      <c r="B270" s="1781"/>
      <c r="C270" s="370" t="s">
        <v>1172</v>
      </c>
      <c r="D270" s="2463"/>
      <c r="E270" s="2205"/>
      <c r="F270" s="2384"/>
      <c r="G270" s="401"/>
      <c r="H270" s="1501"/>
      <c r="I270" s="652"/>
      <c r="J270" s="572"/>
      <c r="K270" s="1501"/>
      <c r="L270" s="215"/>
      <c r="M270" s="342"/>
      <c r="N270" s="335"/>
      <c r="O270" s="1625"/>
      <c r="P270" s="1625"/>
      <c r="AH270" s="1632">
        <v>0</v>
      </c>
    </row>
    <row s="1636" customFormat="1" customHeight="1" ht="18.75" hidden="1">
      <c r="A271" s="1781" t="s">
        <v>282</v>
      </c>
      <c r="B271" s="1781" t="s">
        <v>283</v>
      </c>
      <c r="C271" s="370"/>
      <c r="D271" s="2463"/>
      <c r="E271" s="2205"/>
      <c r="F271" s="2384" t="str">
        <f>INDEX(PT_DIFFERENTIATION_VTAR,MATCH(A271,PT_DIFFERENTIATION_VTAR_ID,0))</f>
        <v>Тариф на транспортировку сточных вод</v>
      </c>
      <c r="G271" s="2428" t="str">
        <f>INDEX(PT_DIFFERENTIATION_NTAR,MATCH(B271,PT_DIFFERENTIATION_NTAR_ID,0))</f>
        <v/>
      </c>
      <c r="H271" s="1863"/>
      <c r="I271" s="1740"/>
      <c r="J271" s="1774"/>
      <c r="K271" s="1779"/>
      <c r="L271" s="1863" t="s">
        <v>318</v>
      </c>
      <c r="M271" s="342"/>
      <c r="N271" s="335"/>
      <c r="O271" s="1625"/>
      <c r="P271" s="1625"/>
      <c r="AH271" s="1632">
        <v>0</v>
      </c>
    </row>
    <row s="1636" customFormat="1" customHeight="1" ht="18.75" hidden="1">
      <c r="A272" s="1781"/>
      <c r="B272" s="1781"/>
      <c r="C272" s="370" t="s">
        <v>1165</v>
      </c>
      <c r="D272" s="2463"/>
      <c r="E272" s="2205"/>
      <c r="F272" s="2384"/>
      <c r="G272" s="2428"/>
      <c r="H272" s="1501"/>
      <c r="I272" s="652" t="s">
        <v>1164</v>
      </c>
      <c r="J272" s="572"/>
      <c r="K272" s="1501"/>
      <c r="L272" s="215"/>
      <c r="M272" s="342"/>
      <c r="N272" s="335"/>
      <c r="O272" s="1625"/>
      <c r="P272" s="1625"/>
      <c r="AH272" s="1632">
        <v>0</v>
      </c>
    </row>
    <row s="1636" customFormat="1" customHeight="1" ht="0.75" hidden="1">
      <c r="A273" s="1781"/>
      <c r="B273" s="1781"/>
      <c r="C273" s="370" t="s">
        <v>1172</v>
      </c>
      <c r="D273" s="2463"/>
      <c r="E273" s="2205"/>
      <c r="F273" s="2384"/>
      <c r="G273" s="401"/>
      <c r="H273" s="1501"/>
      <c r="I273" s="652"/>
      <c r="J273" s="572"/>
      <c r="K273" s="1501"/>
      <c r="L273" s="215"/>
      <c r="M273" s="342"/>
      <c r="N273" s="335"/>
      <c r="O273" s="1625"/>
      <c r="P273" s="1625"/>
      <c r="AH273" s="1632">
        <v>0</v>
      </c>
    </row>
    <row s="1636" customFormat="1" customHeight="1" ht="18.75" hidden="1">
      <c r="A274" s="1781" t="s">
        <v>287</v>
      </c>
      <c r="B274" s="1781" t="s">
        <v>288</v>
      </c>
      <c r="C274" s="370"/>
      <c r="D274" s="2463"/>
      <c r="E274" s="2205"/>
      <c r="F274" s="2384" t="str">
        <f>INDEX(PT_DIFFERENTIATION_VTAR,MATCH(A274,PT_DIFFERENTIATION_VTAR_ID,0))</f>
        <v>Тариф на подключение (технологическое присоединение) к централизованной системе водоотведения</v>
      </c>
      <c r="G274" s="2428" t="str">
        <f>INDEX(PT_DIFFERENTIATION_NTAR,MATCH(B274,PT_DIFFERENTIATION_NTAR_ID,0))</f>
        <v/>
      </c>
      <c r="H274" s="1863"/>
      <c r="I274" s="1740"/>
      <c r="J274" s="1774"/>
      <c r="K274" s="1779"/>
      <c r="L274" s="1863" t="s">
        <v>318</v>
      </c>
      <c r="M274" s="342"/>
      <c r="N274" s="335"/>
      <c r="O274" s="1625"/>
      <c r="P274" s="1625"/>
      <c r="AH274" s="1632">
        <v>0</v>
      </c>
    </row>
    <row s="1636" customFormat="1" customHeight="1" ht="18.75" hidden="1">
      <c r="A275" s="1781"/>
      <c r="B275" s="1781"/>
      <c r="C275" s="370" t="s">
        <v>1165</v>
      </c>
      <c r="D275" s="2463"/>
      <c r="E275" s="2205"/>
      <c r="F275" s="2384"/>
      <c r="G275" s="2428"/>
      <c r="H275" s="1501"/>
      <c r="I275" s="652" t="s">
        <v>1164</v>
      </c>
      <c r="J275" s="572"/>
      <c r="K275" s="1501"/>
      <c r="L275" s="215"/>
      <c r="M275" s="342"/>
      <c r="N275" s="335"/>
      <c r="O275" s="1625"/>
      <c r="P275" s="1625"/>
      <c r="AH275" s="1632">
        <v>0</v>
      </c>
    </row>
    <row s="1636" customFormat="1" customHeight="1" ht="1.05">
      <c r="A276" s="1781"/>
      <c r="B276" s="1781"/>
      <c r="C276" s="370" t="s">
        <v>1172</v>
      </c>
      <c r="D276" s="2463"/>
      <c r="E276" s="2205"/>
      <c r="F276" s="2384"/>
      <c r="G276" s="401"/>
      <c r="H276" s="1501"/>
      <c r="I276" s="652"/>
      <c r="J276" s="572"/>
      <c r="K276" s="1501"/>
      <c r="L276" s="215"/>
      <c r="M276" s="342"/>
      <c r="N276" s="335"/>
      <c r="O276" s="1625"/>
      <c r="P276" s="1625"/>
      <c r="AH276" s="1632">
        <v>1</v>
      </c>
    </row>
    <row customHeight="1" ht="27.299999999999997">
      <c r="A277" s="1781"/>
      <c r="B277" s="1781"/>
      <c r="D277" s="377"/>
      <c r="E277" s="148" t="s">
        <v>94</v>
      </c>
      <c r="F277" s="2461"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77" s="2461"/>
      <c r="H277" s="2461"/>
      <c r="I277" s="2461"/>
      <c r="J277" s="2461"/>
      <c r="K277" s="2461"/>
      <c r="L277" s="2461"/>
      <c r="M277" s="298"/>
      <c r="N277" s="335"/>
      <c r="AH277" s="375">
        <v>26</v>
      </c>
    </row>
    <row s="1636" customFormat="1" customHeight="1" ht="60.75" hidden="1">
      <c r="A278" s="1781" t="s">
        <v>158</v>
      </c>
      <c r="B278" s="1781" t="s">
        <v>159</v>
      </c>
      <c r="C278" s="370"/>
      <c r="D278" s="2463"/>
      <c r="E278" s="2205"/>
      <c r="F278" s="2384" t="str">
        <f>INDEX(PT_DIFFERENTIATION_VTAR,MATCH(A278,PT_DIFFERENTIATION_VTAR_ID,0))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8" s="2428" t="str">
        <f>INDEX(PT_DIFFERENTIATION_NTAR,MATCH(B278,PT_DIFFERENTIATION_NTAR_ID,0))</f>
        <v/>
      </c>
      <c r="H278" s="1863"/>
      <c r="I278" s="1740"/>
      <c r="J278" s="1774"/>
      <c r="K278" s="1779"/>
      <c r="L278" s="1863" t="s">
        <v>318</v>
      </c>
      <c r="M278"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8" s="335"/>
      <c r="O278" s="1625"/>
      <c r="P278" s="1625"/>
      <c r="AH278" s="1632">
        <v>0</v>
      </c>
    </row>
    <row s="1636" customFormat="1" customHeight="1" ht="18.75" hidden="1">
      <c r="A279" s="1781"/>
      <c r="B279" s="1781"/>
      <c r="C279" s="370" t="s">
        <v>1165</v>
      </c>
      <c r="D279" s="2463"/>
      <c r="E279" s="2205"/>
      <c r="F279" s="2384"/>
      <c r="G279" s="2428"/>
      <c r="H279" s="1501"/>
      <c r="I279" s="652" t="s">
        <v>1164</v>
      </c>
      <c r="J279" s="572"/>
      <c r="K279" s="1501"/>
      <c r="L279" s="215"/>
      <c r="M279" s="2171"/>
      <c r="N279" s="335"/>
      <c r="O279" s="1625"/>
      <c r="P279" s="1625"/>
      <c r="AH279" s="1632">
        <v>0</v>
      </c>
    </row>
    <row s="1636" customFormat="1" customHeight="1" ht="0.75" hidden="1">
      <c r="A280" s="1781"/>
      <c r="B280" s="1781"/>
      <c r="C280" s="370" t="s">
        <v>1172</v>
      </c>
      <c r="D280" s="2463"/>
      <c r="E280" s="2205"/>
      <c r="F280" s="2384"/>
      <c r="G280" s="401"/>
      <c r="H280" s="1501"/>
      <c r="I280" s="652"/>
      <c r="J280" s="572"/>
      <c r="K280" s="1501"/>
      <c r="L280" s="215"/>
      <c r="M280" s="2171"/>
      <c r="N280" s="335"/>
      <c r="O280" s="1625"/>
      <c r="P280" s="1625"/>
      <c r="AH280" s="1632">
        <v>0</v>
      </c>
    </row>
    <row s="1636" customFormat="1" customHeight="1" ht="45" hidden="1">
      <c r="A281" s="1781" t="s">
        <v>163</v>
      </c>
      <c r="B281" s="1781" t="s">
        <v>164</v>
      </c>
      <c r="C281" s="370"/>
      <c r="D281" s="2463"/>
      <c r="E281" s="2205"/>
      <c r="F281" s="2384" t="str">
        <f>INDEX(PT_DIFFERENTIATION_VTAR,MATCH(A281,PT_DIFFERENTIATION_VTAR_ID,0))</f>
        <v/>
      </c>
      <c r="G281" s="2428" t="str">
        <f>INDEX(PT_DIFFERENTIATION_NTAR,MATCH(B281,PT_DIFFERENTIATION_NTAR_ID,0))</f>
        <v/>
      </c>
      <c r="H281" s="1863"/>
      <c r="I281" s="1740"/>
      <c r="J281" s="1774"/>
      <c r="K281" s="1779"/>
      <c r="L281" s="1863" t="s">
        <v>318</v>
      </c>
      <c r="M281" s="2172"/>
      <c r="N281" s="335"/>
      <c r="O281" s="1625"/>
      <c r="P281" s="1625"/>
      <c r="AH281" s="1632">
        <v>0</v>
      </c>
    </row>
    <row s="1636" customFormat="1" customHeight="1" ht="18.75" hidden="1">
      <c r="A282" s="1781"/>
      <c r="B282" s="1781"/>
      <c r="C282" s="370" t="s">
        <v>1165</v>
      </c>
      <c r="D282" s="2463"/>
      <c r="E282" s="2205"/>
      <c r="F282" s="2384"/>
      <c r="G282" s="2428"/>
      <c r="H282" s="1501"/>
      <c r="I282" s="652" t="s">
        <v>1164</v>
      </c>
      <c r="J282" s="572"/>
      <c r="K282" s="1501"/>
      <c r="L282" s="215"/>
      <c r="M282" s="1862"/>
      <c r="N282" s="335"/>
      <c r="O282" s="1625"/>
      <c r="P282" s="1625"/>
      <c r="AH282" s="1632">
        <v>0</v>
      </c>
    </row>
    <row s="1636" customFormat="1" customHeight="1" ht="0.75" hidden="1">
      <c r="A283" s="1781"/>
      <c r="B283" s="1781"/>
      <c r="C283" s="370" t="s">
        <v>1172</v>
      </c>
      <c r="D283" s="2463"/>
      <c r="E283" s="2205"/>
      <c r="F283" s="2384"/>
      <c r="G283" s="401"/>
      <c r="H283" s="1501"/>
      <c r="I283" s="652"/>
      <c r="J283" s="572"/>
      <c r="K283" s="1501"/>
      <c r="L283" s="215"/>
      <c r="M283" s="342"/>
      <c r="N283" s="335"/>
      <c r="O283" s="1625"/>
      <c r="P283" s="1625"/>
      <c r="AH283" s="1632">
        <v>0</v>
      </c>
    </row>
    <row s="1636" customFormat="1" customHeight="1" ht="45" hidden="1">
      <c r="A284" s="1781" t="s">
        <v>170</v>
      </c>
      <c r="B284" s="1781" t="s">
        <v>171</v>
      </c>
      <c r="C284" s="370"/>
      <c r="D284" s="2463"/>
      <c r="E284" s="2205"/>
      <c r="F284" s="2384" t="str">
        <f>INDEX(PT_DIFFERENTIATION_VTAR,MATCH(A284,PT_DIFFERENTIATION_VTAR_ID,0))</f>
        <v>Тарифы на теплоноситель, поставляемый теплоснабжающими организациями потребителям, другим теплоснабжающим организациям</v>
      </c>
      <c r="G284" s="2428" t="str">
        <f>INDEX(PT_DIFFERENTIATION_NTAR,MATCH(B284,PT_DIFFERENTIATION_NTAR_ID,0))</f>
        <v/>
      </c>
      <c r="H284" s="1863"/>
      <c r="I284" s="1740"/>
      <c r="J284" s="1774"/>
      <c r="K284" s="1779"/>
      <c r="L284" s="1863" t="s">
        <v>318</v>
      </c>
      <c r="M284" s="342"/>
      <c r="N284" s="335"/>
      <c r="O284" s="1625"/>
      <c r="P284" s="1625"/>
      <c r="AH284" s="1632">
        <v>0</v>
      </c>
    </row>
    <row s="1636" customFormat="1" customHeight="1" ht="18.75" hidden="1">
      <c r="A285" s="1781"/>
      <c r="B285" s="1781"/>
      <c r="C285" s="370" t="s">
        <v>1165</v>
      </c>
      <c r="D285" s="2463"/>
      <c r="E285" s="2205"/>
      <c r="F285" s="2384"/>
      <c r="G285" s="2428"/>
      <c r="H285" s="1501"/>
      <c r="I285" s="652" t="s">
        <v>1164</v>
      </c>
      <c r="J285" s="572"/>
      <c r="K285" s="1501"/>
      <c r="L285" s="215"/>
      <c r="M285" s="342"/>
      <c r="N285" s="335"/>
      <c r="O285" s="1625"/>
      <c r="P285" s="1625"/>
      <c r="AH285" s="1632">
        <v>0</v>
      </c>
    </row>
    <row s="1636" customFormat="1" customHeight="1" ht="0.75" hidden="1">
      <c r="A286" s="1781"/>
      <c r="B286" s="1781"/>
      <c r="C286" s="370" t="s">
        <v>1172</v>
      </c>
      <c r="D286" s="2463"/>
      <c r="E286" s="2205"/>
      <c r="F286" s="2384"/>
      <c r="G286" s="401"/>
      <c r="H286" s="1501"/>
      <c r="I286" s="652"/>
      <c r="J286" s="572"/>
      <c r="K286" s="1501"/>
      <c r="L286" s="215"/>
      <c r="M286" s="342"/>
      <c r="N286" s="335"/>
      <c r="O286" s="1625"/>
      <c r="P286" s="1625"/>
      <c r="AH286" s="1632">
        <v>0</v>
      </c>
    </row>
    <row s="1636" customFormat="1" customHeight="1" ht="45" hidden="1">
      <c r="A287" s="1781" t="s">
        <v>176</v>
      </c>
      <c r="B287" s="1781" t="s">
        <v>177</v>
      </c>
      <c r="C287" s="370"/>
      <c r="D287" s="2463"/>
      <c r="E287" s="2205"/>
      <c r="F287" s="2384" t="str">
        <f>INDEX(PT_DIFFERENTIATION_VTAR,MATCH(A287,PT_DIFFERENTIATION_VTAR_ID,0))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87" s="2428" t="str">
        <f>INDEX(PT_DIFFERENTIATION_NTAR,MATCH(B287,PT_DIFFERENTIATION_NTAR_ID,0))</f>
        <v/>
      </c>
      <c r="H287" s="1863"/>
      <c r="I287" s="1740"/>
      <c r="J287" s="1774"/>
      <c r="K287" s="1779"/>
      <c r="L287" s="1863" t="s">
        <v>318</v>
      </c>
      <c r="M287" s="342"/>
      <c r="N287" s="335"/>
      <c r="O287" s="1625"/>
      <c r="P287" s="1625"/>
      <c r="AH287" s="1632">
        <v>0</v>
      </c>
    </row>
    <row s="1636" customFormat="1" customHeight="1" ht="18.75" hidden="1">
      <c r="A288" s="1781"/>
      <c r="B288" s="1781"/>
      <c r="C288" s="370" t="s">
        <v>1165</v>
      </c>
      <c r="D288" s="2463"/>
      <c r="E288" s="2205"/>
      <c r="F288" s="2384"/>
      <c r="G288" s="2428"/>
      <c r="H288" s="1501"/>
      <c r="I288" s="652" t="s">
        <v>1164</v>
      </c>
      <c r="J288" s="572"/>
      <c r="K288" s="1501"/>
      <c r="L288" s="215"/>
      <c r="M288" s="342"/>
      <c r="N288" s="335"/>
      <c r="O288" s="1625"/>
      <c r="P288" s="1625"/>
      <c r="AH288" s="1632">
        <v>0</v>
      </c>
    </row>
    <row s="1636" customFormat="1" customHeight="1" ht="0.75" hidden="1">
      <c r="A289" s="1781"/>
      <c r="B289" s="1781"/>
      <c r="C289" s="370" t="s">
        <v>1172</v>
      </c>
      <c r="D289" s="2463"/>
      <c r="E289" s="2205"/>
      <c r="F289" s="2384"/>
      <c r="G289" s="401"/>
      <c r="H289" s="1501"/>
      <c r="I289" s="652"/>
      <c r="J289" s="572"/>
      <c r="K289" s="1501"/>
      <c r="L289" s="215"/>
      <c r="M289" s="342"/>
      <c r="N289" s="335"/>
      <c r="O289" s="1625"/>
      <c r="P289" s="1625"/>
      <c r="AH289" s="1632">
        <v>0</v>
      </c>
    </row>
    <row s="1636" customFormat="1" customHeight="1" ht="18.75" hidden="1">
      <c r="A290" s="1781" t="s">
        <v>182</v>
      </c>
      <c r="B290" s="1781" t="s">
        <v>183</v>
      </c>
      <c r="C290" s="370"/>
      <c r="D290" s="2463"/>
      <c r="E290" s="2205"/>
      <c r="F290" s="2384" t="str">
        <f>INDEX(PT_DIFFERENTIATION_VTAR,MATCH(A290,PT_DIFFERENTIATION_VTAR_ID,0))</f>
        <v>Тарифы на услуги по передаче тепловой энергии</v>
      </c>
      <c r="G290" s="2428" t="str">
        <f>INDEX(PT_DIFFERENTIATION_NTAR,MATCH(B290,PT_DIFFERENTIATION_NTAR_ID,0))</f>
        <v/>
      </c>
      <c r="H290" s="1863"/>
      <c r="I290" s="1740"/>
      <c r="J290" s="1774"/>
      <c r="K290" s="1779"/>
      <c r="L290" s="1863" t="s">
        <v>318</v>
      </c>
      <c r="M290" s="342"/>
      <c r="N290" s="335"/>
      <c r="O290" s="1625"/>
      <c r="P290" s="1625"/>
      <c r="AH290" s="1632">
        <v>0</v>
      </c>
    </row>
    <row s="1636" customFormat="1" customHeight="1" ht="18.75" hidden="1">
      <c r="A291" s="1781"/>
      <c r="B291" s="1781"/>
      <c r="C291" s="370" t="s">
        <v>1165</v>
      </c>
      <c r="D291" s="2463"/>
      <c r="E291" s="2205"/>
      <c r="F291" s="2384"/>
      <c r="G291" s="2428"/>
      <c r="H291" s="1501"/>
      <c r="I291" s="652" t="s">
        <v>1164</v>
      </c>
      <c r="J291" s="572"/>
      <c r="K291" s="1501"/>
      <c r="L291" s="215"/>
      <c r="M291" s="342"/>
      <c r="N291" s="335"/>
      <c r="O291" s="1625"/>
      <c r="P291" s="1625"/>
      <c r="AH291" s="1632">
        <v>0</v>
      </c>
    </row>
    <row s="1636" customFormat="1" customHeight="1" ht="0.75" hidden="1">
      <c r="A292" s="1781"/>
      <c r="B292" s="1781"/>
      <c r="C292" s="370" t="s">
        <v>1172</v>
      </c>
      <c r="D292" s="2463"/>
      <c r="E292" s="2205"/>
      <c r="F292" s="2384"/>
      <c r="G292" s="401"/>
      <c r="H292" s="1501"/>
      <c r="I292" s="652"/>
      <c r="J292" s="572"/>
      <c r="K292" s="1501"/>
      <c r="L292" s="215"/>
      <c r="M292" s="342"/>
      <c r="N292" s="335"/>
      <c r="O292" s="1625"/>
      <c r="P292" s="1625"/>
      <c r="AH292" s="1632">
        <v>0</v>
      </c>
    </row>
    <row s="1636" customFormat="1" customHeight="1" ht="18.75" hidden="1">
      <c r="A293" s="1781" t="s">
        <v>188</v>
      </c>
      <c r="B293" s="1781" t="s">
        <v>189</v>
      </c>
      <c r="C293" s="370"/>
      <c r="D293" s="2463"/>
      <c r="E293" s="2205"/>
      <c r="F293" s="2384" t="str">
        <f>INDEX(PT_DIFFERENTIATION_VTAR,MATCH(A293,PT_DIFFERENTIATION_VTAR_ID,0))</f>
        <v>Тарифы на услуги по передаче теплоносителя</v>
      </c>
      <c r="G293" s="2428" t="str">
        <f>INDEX(PT_DIFFERENTIATION_NTAR,MATCH(B293,PT_DIFFERENTIATION_NTAR_ID,0))</f>
        <v/>
      </c>
      <c r="H293" s="1863"/>
      <c r="I293" s="1740"/>
      <c r="J293" s="1774"/>
      <c r="K293" s="1779"/>
      <c r="L293" s="1863" t="s">
        <v>318</v>
      </c>
      <c r="M293" s="342"/>
      <c r="N293" s="335"/>
      <c r="O293" s="1625"/>
      <c r="P293" s="1625"/>
      <c r="AH293" s="1632">
        <v>0</v>
      </c>
    </row>
    <row s="1636" customFormat="1" customHeight="1" ht="18.75" hidden="1">
      <c r="A294" s="1781"/>
      <c r="B294" s="1781"/>
      <c r="C294" s="370" t="s">
        <v>1165</v>
      </c>
      <c r="D294" s="2463"/>
      <c r="E294" s="2205"/>
      <c r="F294" s="2384"/>
      <c r="G294" s="2428"/>
      <c r="H294" s="1501"/>
      <c r="I294" s="652" t="s">
        <v>1164</v>
      </c>
      <c r="J294" s="572"/>
      <c r="K294" s="1501"/>
      <c r="L294" s="215"/>
      <c r="M294" s="342"/>
      <c r="N294" s="335"/>
      <c r="O294" s="1625"/>
      <c r="P294" s="1625"/>
      <c r="AH294" s="1632">
        <v>0</v>
      </c>
    </row>
    <row s="1636" customFormat="1" customHeight="1" ht="0.75" hidden="1">
      <c r="A295" s="1781"/>
      <c r="B295" s="1781"/>
      <c r="C295" s="370" t="s">
        <v>1172</v>
      </c>
      <c r="D295" s="2463"/>
      <c r="E295" s="2205"/>
      <c r="F295" s="2384"/>
      <c r="G295" s="401"/>
      <c r="H295" s="1501"/>
      <c r="I295" s="652"/>
      <c r="J295" s="572"/>
      <c r="K295" s="1501"/>
      <c r="L295" s="215"/>
      <c r="M295" s="342"/>
      <c r="N295" s="335"/>
      <c r="O295" s="1625"/>
      <c r="P295" s="1625"/>
      <c r="AH295" s="1632">
        <v>0</v>
      </c>
    </row>
    <row s="1636" customFormat="1" customHeight="1" ht="18.75" hidden="1">
      <c r="A296" s="1781" t="s">
        <v>194</v>
      </c>
      <c r="B296" s="1781" t="s">
        <v>195</v>
      </c>
      <c r="C296" s="370"/>
      <c r="D296" s="2463"/>
      <c r="E296" s="2205"/>
      <c r="F296" s="2384" t="str">
        <f>INDEX(PT_DIFFERENTIATION_VTAR,MATCH(A296,PT_DIFFERENTIATION_VTAR_ID,0))</f>
        <v>Плата за услуги по поддержанию резервной тепловой мощности при отсутствии потребления тепловой энергии</v>
      </c>
      <c r="G296" s="2428" t="str">
        <f>INDEX(PT_DIFFERENTIATION_NTAR,MATCH(B296,PT_DIFFERENTIATION_NTAR_ID,0))</f>
        <v/>
      </c>
      <c r="H296" s="1863"/>
      <c r="I296" s="1740"/>
      <c r="J296" s="1774"/>
      <c r="K296" s="1779"/>
      <c r="L296" s="1863" t="s">
        <v>318</v>
      </c>
      <c r="M296" s="342"/>
      <c r="N296" s="335"/>
      <c r="O296" s="1625"/>
      <c r="P296" s="1625"/>
      <c r="AH296" s="1632">
        <v>0</v>
      </c>
    </row>
    <row s="1636" customFormat="1" customHeight="1" ht="18.75" hidden="1">
      <c r="A297" s="1781"/>
      <c r="B297" s="1781"/>
      <c r="C297" s="370" t="s">
        <v>1165</v>
      </c>
      <c r="D297" s="2463"/>
      <c r="E297" s="2205"/>
      <c r="F297" s="2384"/>
      <c r="G297" s="2428"/>
      <c r="H297" s="1501"/>
      <c r="I297" s="652" t="s">
        <v>1164</v>
      </c>
      <c r="J297" s="572"/>
      <c r="K297" s="1501"/>
      <c r="L297" s="215"/>
      <c r="M297" s="342"/>
      <c r="N297" s="335"/>
      <c r="O297" s="1625"/>
      <c r="P297" s="1625"/>
      <c r="AH297" s="1632">
        <v>0</v>
      </c>
    </row>
    <row s="1636" customFormat="1" customHeight="1" ht="0.75" hidden="1">
      <c r="A298" s="1781"/>
      <c r="B298" s="1781"/>
      <c r="C298" s="370" t="s">
        <v>1172</v>
      </c>
      <c r="D298" s="2463"/>
      <c r="E298" s="2205"/>
      <c r="F298" s="2384"/>
      <c r="G298" s="401"/>
      <c r="H298" s="1501"/>
      <c r="I298" s="652"/>
      <c r="J298" s="572"/>
      <c r="K298" s="1501"/>
      <c r="L298" s="215"/>
      <c r="M298" s="342"/>
      <c r="N298" s="335"/>
      <c r="O298" s="1625"/>
      <c r="P298" s="1625"/>
      <c r="AH298" s="1632">
        <v>0</v>
      </c>
    </row>
    <row s="1636" customFormat="1" customHeight="1" ht="18.75" hidden="1">
      <c r="A299" s="1781" t="s">
        <v>200</v>
      </c>
      <c r="B299" s="1781" t="s">
        <v>201</v>
      </c>
      <c r="C299" s="370"/>
      <c r="D299" s="2463"/>
      <c r="E299" s="2205"/>
      <c r="F299" s="2384" t="str">
        <f>INDEX(PT_DIFFERENTIATION_VTAR,MATCH(A299,PT_DIFFERENTIATION_VTAR_ID,0))</f>
        <v>Плата за подключение (технологическое присоединение) к системе теплоснабжения</v>
      </c>
      <c r="G299" s="2428" t="str">
        <f>INDEX(PT_DIFFERENTIATION_NTAR,MATCH(B299,PT_DIFFERENTIATION_NTAR_ID,0))</f>
        <v/>
      </c>
      <c r="H299" s="1863"/>
      <c r="I299" s="1740"/>
      <c r="J299" s="1774"/>
      <c r="K299" s="1779"/>
      <c r="L299" s="1863" t="s">
        <v>318</v>
      </c>
      <c r="M299" s="342"/>
      <c r="N299" s="335"/>
      <c r="O299" s="1625"/>
      <c r="P299" s="1625"/>
      <c r="AH299" s="1632">
        <v>0</v>
      </c>
    </row>
    <row s="1636" customFormat="1" customHeight="1" ht="18.75" hidden="1">
      <c r="A300" s="1781"/>
      <c r="B300" s="1781"/>
      <c r="C300" s="370" t="s">
        <v>1165</v>
      </c>
      <c r="D300" s="2463"/>
      <c r="E300" s="2205"/>
      <c r="F300" s="2384"/>
      <c r="G300" s="2428"/>
      <c r="H300" s="1501"/>
      <c r="I300" s="652" t="s">
        <v>1164</v>
      </c>
      <c r="J300" s="572"/>
      <c r="K300" s="1501"/>
      <c r="L300" s="215"/>
      <c r="M300" s="342"/>
      <c r="N300" s="335"/>
      <c r="O300" s="1625"/>
      <c r="P300" s="1625"/>
      <c r="AH300" s="1632">
        <v>0</v>
      </c>
    </row>
    <row s="1636" customFormat="1" customHeight="1" ht="0.75" hidden="1">
      <c r="A301" s="1781"/>
      <c r="B301" s="1781"/>
      <c r="C301" s="370" t="s">
        <v>1172</v>
      </c>
      <c r="D301" s="2463"/>
      <c r="E301" s="2205"/>
      <c r="F301" s="2384"/>
      <c r="G301" s="401"/>
      <c r="H301" s="1501"/>
      <c r="I301" s="652"/>
      <c r="J301" s="572"/>
      <c r="K301" s="1501"/>
      <c r="L301" s="215"/>
      <c r="M301" s="342"/>
      <c r="N301" s="335"/>
      <c r="O301" s="1625"/>
      <c r="P301" s="1625"/>
      <c r="AH301" s="1632">
        <v>0</v>
      </c>
    </row>
    <row s="1636" customFormat="1" customHeight="1" ht="18.75" hidden="1">
      <c r="A302" s="1781" t="s">
        <v>206</v>
      </c>
      <c r="B302" s="1781" t="s">
        <v>207</v>
      </c>
      <c r="C302" s="370"/>
      <c r="D302" s="2463"/>
      <c r="E302" s="2205"/>
      <c r="F302" s="2384" t="str">
        <f>INDEX(PT_DIFFERENTIATION_VTAR,MATCH(A302,PT_DIFFERENTIATION_VTAR_ID,0))</f>
        <v>Плата за подключение (технологическое присоединение) к системе теплоснабжения (индивидуальная)</v>
      </c>
      <c r="G302" s="2428" t="str">
        <f>INDEX(PT_DIFFERENTIATION_NTAR,MATCH(B302,PT_DIFFERENTIATION_NTAR_ID,0))</f>
        <v/>
      </c>
      <c r="H302" s="1990"/>
      <c r="I302" s="1740"/>
      <c r="J302" s="1774"/>
      <c r="K302" s="1779"/>
      <c r="L302" s="1990" t="s">
        <v>318</v>
      </c>
      <c r="M302" s="342"/>
      <c r="N302" s="335"/>
      <c r="O302" s="1625"/>
      <c r="P302" s="1625"/>
      <c r="AH302" s="1632">
        <v>0</v>
      </c>
    </row>
    <row s="1636" customFormat="1" customHeight="1" ht="18.75" hidden="1">
      <c r="A303" s="1781"/>
      <c r="B303" s="1781"/>
      <c r="C303" s="370" t="s">
        <v>1165</v>
      </c>
      <c r="D303" s="2463"/>
      <c r="E303" s="2205"/>
      <c r="F303" s="2384"/>
      <c r="G303" s="2428"/>
      <c r="H303" s="1501"/>
      <c r="I303" s="652" t="s">
        <v>1164</v>
      </c>
      <c r="J303" s="572"/>
      <c r="K303" s="1501"/>
      <c r="L303" s="215"/>
      <c r="M303" s="342"/>
      <c r="N303" s="335"/>
      <c r="O303" s="1625"/>
      <c r="P303" s="1625"/>
      <c r="AH303" s="1632">
        <v>0</v>
      </c>
    </row>
    <row s="1636" customFormat="1" customHeight="1" ht="0.75" hidden="1">
      <c r="A304" s="1781"/>
      <c r="B304" s="1781"/>
      <c r="C304" s="370" t="s">
        <v>1172</v>
      </c>
      <c r="D304" s="2463"/>
      <c r="E304" s="2205"/>
      <c r="F304" s="2384"/>
      <c r="G304" s="401"/>
      <c r="H304" s="1501"/>
      <c r="I304" s="652"/>
      <c r="J304" s="572"/>
      <c r="K304" s="1501"/>
      <c r="L304" s="215"/>
      <c r="M304" s="342"/>
      <c r="N304" s="335"/>
      <c r="O304" s="1625"/>
      <c r="P304" s="1625"/>
      <c r="AH304" s="1632">
        <v>0</v>
      </c>
    </row>
    <row s="1636" customFormat="1" customHeight="1" ht="18.75" hidden="1">
      <c r="A305" s="1781" t="s">
        <v>228</v>
      </c>
      <c r="B305" s="1781" t="s">
        <v>229</v>
      </c>
      <c r="C305" s="370"/>
      <c r="D305" s="2463"/>
      <c r="E305" s="2205"/>
      <c r="F305" s="2384" t="str">
        <f>INDEX(PT_DIFFERENTIATION_VTAR,MATCH(A305,PT_DIFFERENTIATION_VTAR_ID,0))</f>
        <v>Тариф на питьевую воду (питьевое водоснабжение)</v>
      </c>
      <c r="G305" s="2428" t="str">
        <f>INDEX(PT_DIFFERENTIATION_NTAR,MATCH(B305,PT_DIFFERENTIATION_NTAR_ID,0))</f>
        <v>Тарифы на питьевую воду (питьевое водоснабжение), поставляемую потребителям ИМУП "Посжилкомсервис"
</v>
      </c>
      <c r="H305" s="1863"/>
      <c r="I305" s="1740"/>
      <c r="J305" s="1774"/>
      <c r="K305" s="1779"/>
      <c r="L305" s="1863" t="s">
        <v>318</v>
      </c>
      <c r="M305" s="342"/>
      <c r="N305" s="335"/>
      <c r="O305" s="1625"/>
      <c r="P305" s="1625"/>
      <c r="AH305" s="1632">
        <v>0</v>
      </c>
    </row>
    <row s="1636" customFormat="1" customHeight="1" ht="18.75" hidden="1">
      <c r="A306" s="1781"/>
      <c r="B306" s="1781"/>
      <c r="C306" s="370" t="s">
        <v>1165</v>
      </c>
      <c r="D306" s="2463"/>
      <c r="E306" s="2205"/>
      <c r="F306" s="2384"/>
      <c r="G306" s="2428"/>
      <c r="H306" s="1501"/>
      <c r="I306" s="652" t="s">
        <v>1164</v>
      </c>
      <c r="J306" s="572"/>
      <c r="K306" s="1501"/>
      <c r="L306" s="215"/>
      <c r="M306" s="342"/>
      <c r="N306" s="335"/>
      <c r="O306" s="1625"/>
      <c r="P306" s="1625"/>
      <c r="AH306" s="1632">
        <v>0</v>
      </c>
    </row>
    <row s="1636" customFormat="1" customHeight="1" ht="18.75">
      <c r="A307" s="1824" t="s">
        <v>228</v>
      </c>
      <c r="B307" s="1824" t="s">
        <v>236</v>
      </c>
      <c r="C307" s="1688"/>
      <c r="D307" s="345"/>
      <c r="E307" s="1032"/>
      <c r="F307" s="1032"/>
      <c r="G307" s="2428" t="str">
        <f>INDEX(PT_DIFFERENTIATION_NTAR,MATCH(B307,PT_DIFFERENTIATION_NTAR_ID,0))</f>
        <v>Льготные тарифы на питьевую воду (питьевое водоснабжение), поставляемую населению и потребителям, приравненным к населению ИМУП "Посжилкомсервис"
</v>
      </c>
      <c r="H307" s="2272"/>
      <c r="I307" s="1740"/>
      <c r="J307" s="1774"/>
      <c r="K307" s="1779"/>
      <c r="L307" s="2272" t="s">
        <v>318</v>
      </c>
      <c r="M307" s="2319"/>
      <c r="N307" s="619"/>
      <c r="O307" s="1625"/>
      <c r="P307" s="1625"/>
      <c r="Q307" s="1636"/>
      <c r="R307" s="1636"/>
      <c r="S307" s="1636"/>
      <c r="T307" s="1636"/>
      <c r="U307" s="1636"/>
      <c r="V307" s="1636"/>
      <c r="W307" s="1636"/>
      <c r="X307" s="1636"/>
      <c r="Y307" s="1636"/>
      <c r="Z307" s="1636"/>
      <c r="AA307" s="1636"/>
      <c r="AB307" s="1636"/>
      <c r="AC307" s="1636"/>
      <c r="AD307" s="1636"/>
      <c r="AE307" s="1636"/>
      <c r="AF307" s="1636"/>
      <c r="AG307" s="1636"/>
      <c r="AH307" s="1636">
        <v>0</v>
      </c>
    </row>
    <row s="1636" customFormat="1" customHeight="1" ht="18.75">
      <c r="A308" s="1824"/>
      <c r="B308" s="1824"/>
      <c r="C308" s="1688" t="s">
        <v>1165</v>
      </c>
      <c r="D308" s="345"/>
      <c r="E308" s="1032"/>
      <c r="F308" s="1032"/>
      <c r="G308" s="2428"/>
      <c r="H308" s="2813"/>
      <c r="I308" s="2814" t="s">
        <v>1164</v>
      </c>
      <c r="J308" s="2815"/>
      <c r="K308" s="2816"/>
      <c r="L308" s="2817"/>
      <c r="M308" s="2319"/>
      <c r="N308" s="619"/>
      <c r="O308" s="1625"/>
      <c r="P308" s="1625"/>
      <c r="Q308" s="1636"/>
      <c r="R308" s="1636"/>
      <c r="S308" s="1636"/>
      <c r="T308" s="1636"/>
      <c r="U308" s="1636"/>
      <c r="V308" s="1636"/>
      <c r="W308" s="1636"/>
      <c r="X308" s="1636"/>
      <c r="Y308" s="1636"/>
      <c r="Z308" s="1636"/>
      <c r="AA308" s="1636"/>
      <c r="AB308" s="1636"/>
      <c r="AC308" s="1636"/>
      <c r="AD308" s="1636"/>
      <c r="AE308" s="1636"/>
      <c r="AF308" s="1636"/>
      <c r="AG308" s="1636"/>
      <c r="AH308" s="1636">
        <v>0</v>
      </c>
    </row>
    <row s="1636" customFormat="1" customHeight="1" ht="0.75" hidden="1">
      <c r="A309" s="1781"/>
      <c r="B309" s="1781"/>
      <c r="C309" s="370" t="s">
        <v>1172</v>
      </c>
      <c r="D309" s="2463"/>
      <c r="E309" s="2205"/>
      <c r="F309" s="2384"/>
      <c r="G309" s="401"/>
      <c r="H309" s="1501"/>
      <c r="I309" s="652"/>
      <c r="J309" s="572"/>
      <c r="K309" s="1501"/>
      <c r="L309" s="215"/>
      <c r="M309" s="342"/>
      <c r="N309" s="335"/>
      <c r="O309" s="1625"/>
      <c r="P309" s="1625"/>
      <c r="AH309" s="1632">
        <v>0</v>
      </c>
    </row>
    <row s="1636" customFormat="1" customHeight="1" ht="18.75" hidden="1">
      <c r="A310" s="1781" t="s">
        <v>242</v>
      </c>
      <c r="B310" s="1781" t="s">
        <v>243</v>
      </c>
      <c r="C310" s="370"/>
      <c r="D310" s="2463"/>
      <c r="E310" s="2205"/>
      <c r="F310" s="2384" t="str">
        <f>INDEX(PT_DIFFERENTIATION_VTAR,MATCH(A310,PT_DIFFERENTIATION_VTAR_ID,0))</f>
        <v>Тариф на техническую воду</v>
      </c>
      <c r="G310" s="2428" t="str">
        <f>INDEX(PT_DIFFERENTIATION_NTAR,MATCH(B310,PT_DIFFERENTIATION_NTAR_ID,0))</f>
        <v/>
      </c>
      <c r="H310" s="1863"/>
      <c r="I310" s="1740"/>
      <c r="J310" s="1774"/>
      <c r="K310" s="1779"/>
      <c r="L310" s="1863" t="s">
        <v>318</v>
      </c>
      <c r="M310" s="342"/>
      <c r="N310" s="335"/>
      <c r="O310" s="1625"/>
      <c r="P310" s="1625"/>
      <c r="AH310" s="1632">
        <v>0</v>
      </c>
    </row>
    <row s="1636" customFormat="1" customHeight="1" ht="18.75" hidden="1">
      <c r="A311" s="1781"/>
      <c r="B311" s="1781"/>
      <c r="C311" s="370" t="s">
        <v>1165</v>
      </c>
      <c r="D311" s="2463"/>
      <c r="E311" s="2205"/>
      <c r="F311" s="2384"/>
      <c r="G311" s="2428"/>
      <c r="H311" s="1501"/>
      <c r="I311" s="652" t="s">
        <v>1164</v>
      </c>
      <c r="J311" s="572"/>
      <c r="K311" s="1501"/>
      <c r="L311" s="215"/>
      <c r="M311" s="342"/>
      <c r="N311" s="335"/>
      <c r="O311" s="1625"/>
      <c r="P311" s="1625"/>
      <c r="AH311" s="1632">
        <v>0</v>
      </c>
    </row>
    <row s="1636" customFormat="1" customHeight="1" ht="0.75" hidden="1">
      <c r="A312" s="1781"/>
      <c r="B312" s="1781"/>
      <c r="C312" s="370" t="s">
        <v>1172</v>
      </c>
      <c r="D312" s="2463"/>
      <c r="E312" s="2205"/>
      <c r="F312" s="2384"/>
      <c r="G312" s="401"/>
      <c r="H312" s="1501"/>
      <c r="I312" s="652"/>
      <c r="J312" s="572"/>
      <c r="K312" s="1501"/>
      <c r="L312" s="215"/>
      <c r="M312" s="342"/>
      <c r="N312" s="335"/>
      <c r="O312" s="1625"/>
      <c r="P312" s="1625"/>
      <c r="AH312" s="1632">
        <v>0</v>
      </c>
    </row>
    <row s="1636" customFormat="1" customHeight="1" ht="18.75" hidden="1">
      <c r="A313" s="1781" t="s">
        <v>247</v>
      </c>
      <c r="B313" s="1781" t="s">
        <v>248</v>
      </c>
      <c r="C313" s="370"/>
      <c r="D313" s="2463"/>
      <c r="E313" s="2205"/>
      <c r="F313" s="2384" t="str">
        <f>INDEX(PT_DIFFERENTIATION_VTAR,MATCH(A313,PT_DIFFERENTIATION_VTAR_ID,0))</f>
        <v>Тариф на транспортировку воды</v>
      </c>
      <c r="G313" s="2428" t="str">
        <f>INDEX(PT_DIFFERENTIATION_NTAR,MATCH(B313,PT_DIFFERENTIATION_NTAR_ID,0))</f>
        <v/>
      </c>
      <c r="H313" s="1863"/>
      <c r="I313" s="1740"/>
      <c r="J313" s="1774"/>
      <c r="K313" s="1779"/>
      <c r="L313" s="1863" t="s">
        <v>318</v>
      </c>
      <c r="M313" s="342"/>
      <c r="N313" s="335"/>
      <c r="O313" s="1625"/>
      <c r="P313" s="1625"/>
      <c r="AH313" s="1632">
        <v>0</v>
      </c>
    </row>
    <row s="1636" customFormat="1" customHeight="1" ht="18.75" hidden="1">
      <c r="A314" s="1781"/>
      <c r="B314" s="1781"/>
      <c r="C314" s="370" t="s">
        <v>1165</v>
      </c>
      <c r="D314" s="2463"/>
      <c r="E314" s="2205"/>
      <c r="F314" s="2384"/>
      <c r="G314" s="2428"/>
      <c r="H314" s="1501"/>
      <c r="I314" s="652" t="s">
        <v>1164</v>
      </c>
      <c r="J314" s="572"/>
      <c r="K314" s="1501"/>
      <c r="L314" s="215"/>
      <c r="M314" s="342"/>
      <c r="N314" s="335"/>
      <c r="O314" s="1625"/>
      <c r="P314" s="1625"/>
      <c r="AH314" s="1632">
        <v>0</v>
      </c>
    </row>
    <row s="1636" customFormat="1" customHeight="1" ht="0.75" hidden="1">
      <c r="A315" s="1781"/>
      <c r="B315" s="1781"/>
      <c r="C315" s="370" t="s">
        <v>1172</v>
      </c>
      <c r="D315" s="2463"/>
      <c r="E315" s="2205"/>
      <c r="F315" s="2384"/>
      <c r="G315" s="401"/>
      <c r="H315" s="1501"/>
      <c r="I315" s="652"/>
      <c r="J315" s="572"/>
      <c r="K315" s="1501"/>
      <c r="L315" s="215"/>
      <c r="M315" s="342"/>
      <c r="N315" s="335"/>
      <c r="O315" s="1625"/>
      <c r="P315" s="1625"/>
      <c r="AH315" s="1632">
        <v>0</v>
      </c>
    </row>
    <row s="1636" customFormat="1" customHeight="1" ht="18.75" hidden="1">
      <c r="A316" s="1781" t="s">
        <v>252</v>
      </c>
      <c r="B316" s="1781" t="s">
        <v>253</v>
      </c>
      <c r="C316" s="370"/>
      <c r="D316" s="2463"/>
      <c r="E316" s="2205"/>
      <c r="F316" s="2384" t="str">
        <f>INDEX(PT_DIFFERENTIATION_VTAR,MATCH(A316,PT_DIFFERENTIATION_VTAR_ID,0))</f>
        <v>Тариф на подвоз воды</v>
      </c>
      <c r="G316" s="2428" t="str">
        <f>INDEX(PT_DIFFERENTIATION_NTAR,MATCH(B316,PT_DIFFERENTIATION_NTAR_ID,0))</f>
        <v/>
      </c>
      <c r="H316" s="1863"/>
      <c r="I316" s="1740"/>
      <c r="J316" s="1774"/>
      <c r="K316" s="1779"/>
      <c r="L316" s="1863" t="s">
        <v>318</v>
      </c>
      <c r="M316" s="342"/>
      <c r="N316" s="335"/>
      <c r="O316" s="1625"/>
      <c r="P316" s="1625"/>
      <c r="AH316" s="1632">
        <v>0</v>
      </c>
    </row>
    <row s="1636" customFormat="1" customHeight="1" ht="18.75" hidden="1">
      <c r="A317" s="1781"/>
      <c r="B317" s="1781"/>
      <c r="C317" s="370" t="s">
        <v>1165</v>
      </c>
      <c r="D317" s="2463"/>
      <c r="E317" s="2205"/>
      <c r="F317" s="2384"/>
      <c r="G317" s="2428"/>
      <c r="H317" s="1501"/>
      <c r="I317" s="652" t="s">
        <v>1164</v>
      </c>
      <c r="J317" s="572"/>
      <c r="K317" s="1501"/>
      <c r="L317" s="215"/>
      <c r="M317" s="342"/>
      <c r="N317" s="335"/>
      <c r="O317" s="1625"/>
      <c r="P317" s="1625"/>
      <c r="AH317" s="1632">
        <v>0</v>
      </c>
    </row>
    <row s="1636" customFormat="1" customHeight="1" ht="0.75" hidden="1">
      <c r="A318" s="1781"/>
      <c r="B318" s="1781"/>
      <c r="C318" s="370" t="s">
        <v>1172</v>
      </c>
      <c r="D318" s="2463"/>
      <c r="E318" s="2205"/>
      <c r="F318" s="2384"/>
      <c r="G318" s="401"/>
      <c r="H318" s="1501"/>
      <c r="I318" s="652"/>
      <c r="J318" s="572"/>
      <c r="K318" s="1501"/>
      <c r="L318" s="215"/>
      <c r="M318" s="342"/>
      <c r="N318" s="335"/>
      <c r="O318" s="1625"/>
      <c r="P318" s="1625"/>
      <c r="AH318" s="1632">
        <v>0</v>
      </c>
    </row>
    <row s="1636" customFormat="1" customHeight="1" ht="18.75" hidden="1">
      <c r="A319" s="1781" t="s">
        <v>257</v>
      </c>
      <c r="B319" s="1781" t="s">
        <v>258</v>
      </c>
      <c r="C319" s="370"/>
      <c r="D319" s="2463"/>
      <c r="E319" s="2205"/>
      <c r="F319" s="2384" t="str">
        <f>INDEX(PT_DIFFERENTIATION_VTAR,MATCH(A319,PT_DIFFERENTIATION_VTAR_ID,0))</f>
        <v>Тариф на подключение (технологическое присоединение) к централизованной системе холодного водоснабжения</v>
      </c>
      <c r="G319" s="2428" t="str">
        <f>INDEX(PT_DIFFERENTIATION_NTAR,MATCH(B319,PT_DIFFERENTIATION_NTAR_ID,0))</f>
        <v/>
      </c>
      <c r="H319" s="1863"/>
      <c r="I319" s="1740"/>
      <c r="J319" s="1774"/>
      <c r="K319" s="1779"/>
      <c r="L319" s="1863" t="s">
        <v>318</v>
      </c>
      <c r="M319" s="342"/>
      <c r="N319" s="335"/>
      <c r="O319" s="1625"/>
      <c r="P319" s="1625"/>
      <c r="AH319" s="1632">
        <v>0</v>
      </c>
    </row>
    <row s="1636" customFormat="1" customHeight="1" ht="18.75" hidden="1">
      <c r="A320" s="1781"/>
      <c r="B320" s="1781"/>
      <c r="C320" s="370" t="s">
        <v>1165</v>
      </c>
      <c r="D320" s="2463"/>
      <c r="E320" s="2205"/>
      <c r="F320" s="2384"/>
      <c r="G320" s="2428"/>
      <c r="H320" s="1501"/>
      <c r="I320" s="652" t="s">
        <v>1164</v>
      </c>
      <c r="J320" s="572"/>
      <c r="K320" s="1501"/>
      <c r="L320" s="215"/>
      <c r="M320" s="342"/>
      <c r="N320" s="335"/>
      <c r="O320" s="1625"/>
      <c r="P320" s="1625"/>
      <c r="AH320" s="1632">
        <v>0</v>
      </c>
    </row>
    <row s="1636" customFormat="1" customHeight="1" ht="0.75" hidden="1">
      <c r="A321" s="1781"/>
      <c r="B321" s="1781"/>
      <c r="C321" s="370" t="s">
        <v>1172</v>
      </c>
      <c r="D321" s="2463"/>
      <c r="E321" s="2205"/>
      <c r="F321" s="2384"/>
      <c r="G321" s="401"/>
      <c r="H321" s="1501"/>
      <c r="I321" s="652"/>
      <c r="J321" s="572"/>
      <c r="K321" s="1501"/>
      <c r="L321" s="215"/>
      <c r="M321" s="342"/>
      <c r="N321" s="335"/>
      <c r="O321" s="1625"/>
      <c r="P321" s="1625"/>
      <c r="AH321" s="1632">
        <v>0</v>
      </c>
    </row>
    <row s="1636" customFormat="1" customHeight="1" ht="18.75" hidden="1">
      <c r="A322" s="1781" t="s">
        <v>262</v>
      </c>
      <c r="B322" s="1781" t="s">
        <v>263</v>
      </c>
      <c r="C322" s="370"/>
      <c r="D322" s="2463"/>
      <c r="E322" s="2205"/>
      <c r="F322" s="2384" t="str">
        <f>INDEX(PT_DIFFERENTIATION_VTAR,MATCH(A322,PT_DIFFERENTIATION_VTAR_ID,0))</f>
        <v>Тариф на горячую воду (горячее водоснабжение)</v>
      </c>
      <c r="G322" s="2428" t="str">
        <f>INDEX(PT_DIFFERENTIATION_NTAR,MATCH(B322,PT_DIFFERENTIATION_NTAR_ID,0))</f>
        <v/>
      </c>
      <c r="H322" s="1863"/>
      <c r="I322" s="1740"/>
      <c r="J322" s="1774"/>
      <c r="K322" s="1779"/>
      <c r="L322" s="1863" t="s">
        <v>318</v>
      </c>
      <c r="M322" s="342"/>
      <c r="N322" s="335"/>
      <c r="O322" s="1625"/>
      <c r="P322" s="1625"/>
      <c r="AH322" s="1632">
        <v>0</v>
      </c>
    </row>
    <row s="1636" customFormat="1" customHeight="1" ht="18.75" hidden="1">
      <c r="A323" s="1781"/>
      <c r="B323" s="1781"/>
      <c r="C323" s="370" t="s">
        <v>1165</v>
      </c>
      <c r="D323" s="2463"/>
      <c r="E323" s="2205"/>
      <c r="F323" s="2384"/>
      <c r="G323" s="2428"/>
      <c r="H323" s="1501"/>
      <c r="I323" s="652" t="s">
        <v>1164</v>
      </c>
      <c r="J323" s="572"/>
      <c r="K323" s="1501"/>
      <c r="L323" s="215"/>
      <c r="M323" s="342"/>
      <c r="N323" s="335"/>
      <c r="O323" s="1625"/>
      <c r="P323" s="1625"/>
      <c r="AH323" s="1632">
        <v>0</v>
      </c>
    </row>
    <row s="1636" customFormat="1" customHeight="1" ht="0.75" hidden="1">
      <c r="A324" s="1781"/>
      <c r="B324" s="1781"/>
      <c r="C324" s="370" t="s">
        <v>1172</v>
      </c>
      <c r="D324" s="2463"/>
      <c r="E324" s="2205"/>
      <c r="F324" s="2384"/>
      <c r="G324" s="401"/>
      <c r="H324" s="1501"/>
      <c r="I324" s="652"/>
      <c r="J324" s="572"/>
      <c r="K324" s="1501"/>
      <c r="L324" s="215"/>
      <c r="M324" s="342"/>
      <c r="N324" s="335"/>
      <c r="O324" s="1625"/>
      <c r="P324" s="1625"/>
      <c r="AH324" s="1632">
        <v>0</v>
      </c>
    </row>
    <row s="1636" customFormat="1" customHeight="1" ht="18.75" hidden="1">
      <c r="A325" s="1781" t="s">
        <v>267</v>
      </c>
      <c r="B325" s="1781" t="s">
        <v>268</v>
      </c>
      <c r="C325" s="370"/>
      <c r="D325" s="2463"/>
      <c r="E325" s="2205"/>
      <c r="F325" s="2384" t="str">
        <f>INDEX(PT_DIFFERENTIATION_VTAR,MATCH(A325,PT_DIFFERENTIATION_VTAR_ID,0))</f>
        <v>Тариф на транспортировку горячей воды</v>
      </c>
      <c r="G325" s="2428" t="str">
        <f>INDEX(PT_DIFFERENTIATION_NTAR,MATCH(B325,PT_DIFFERENTIATION_NTAR_ID,0))</f>
        <v/>
      </c>
      <c r="H325" s="1863"/>
      <c r="I325" s="1740"/>
      <c r="J325" s="1774"/>
      <c r="K325" s="1779"/>
      <c r="L325" s="1863" t="s">
        <v>318</v>
      </c>
      <c r="M325" s="342"/>
      <c r="N325" s="335"/>
      <c r="O325" s="1625"/>
      <c r="P325" s="1625"/>
      <c r="AH325" s="1632">
        <v>0</v>
      </c>
    </row>
    <row s="1636" customFormat="1" customHeight="1" ht="18.75" hidden="1">
      <c r="A326" s="1781"/>
      <c r="B326" s="1781"/>
      <c r="C326" s="370" t="s">
        <v>1165</v>
      </c>
      <c r="D326" s="2463"/>
      <c r="E326" s="2205"/>
      <c r="F326" s="2384"/>
      <c r="G326" s="2428"/>
      <c r="H326" s="1501"/>
      <c r="I326" s="652" t="s">
        <v>1164</v>
      </c>
      <c r="J326" s="572"/>
      <c r="K326" s="1501"/>
      <c r="L326" s="215"/>
      <c r="M326" s="342"/>
      <c r="N326" s="335"/>
      <c r="O326" s="1625"/>
      <c r="P326" s="1625"/>
      <c r="AH326" s="1632">
        <v>0</v>
      </c>
    </row>
    <row s="1636" customFormat="1" customHeight="1" ht="0.75" hidden="1">
      <c r="A327" s="1781"/>
      <c r="B327" s="1781"/>
      <c r="C327" s="370" t="s">
        <v>1172</v>
      </c>
      <c r="D327" s="2463"/>
      <c r="E327" s="2205"/>
      <c r="F327" s="2384"/>
      <c r="G327" s="401"/>
      <c r="H327" s="1501"/>
      <c r="I327" s="652"/>
      <c r="J327" s="572"/>
      <c r="K327" s="1501"/>
      <c r="L327" s="215"/>
      <c r="M327" s="342"/>
      <c r="N327" s="335"/>
      <c r="O327" s="1625"/>
      <c r="P327" s="1625"/>
      <c r="AH327" s="1632">
        <v>0</v>
      </c>
    </row>
    <row s="1636" customFormat="1" customHeight="1" ht="18.75" hidden="1">
      <c r="A328" s="1781" t="s">
        <v>272</v>
      </c>
      <c r="B328" s="1781" t="s">
        <v>273</v>
      </c>
      <c r="C328" s="370"/>
      <c r="D328" s="2463"/>
      <c r="E328" s="2205"/>
      <c r="F328" s="2384" t="str">
        <f>INDEX(PT_DIFFERENTIATION_VTAR,MATCH(A328,PT_DIFFERENTIATION_VTAR_ID,0))</f>
        <v>Тариф на подключение (технологическое присоединение) к централизованной системе горячего водоснабжения</v>
      </c>
      <c r="G328" s="2428" t="str">
        <f>INDEX(PT_DIFFERENTIATION_NTAR,MATCH(B328,PT_DIFFERENTIATION_NTAR_ID,0))</f>
        <v/>
      </c>
      <c r="H328" s="1863"/>
      <c r="I328" s="1740"/>
      <c r="J328" s="1774"/>
      <c r="K328" s="1779"/>
      <c r="L328" s="1863" t="s">
        <v>318</v>
      </c>
      <c r="M328" s="342"/>
      <c r="N328" s="335"/>
      <c r="O328" s="1625"/>
      <c r="P328" s="1625"/>
      <c r="AH328" s="1632">
        <v>0</v>
      </c>
    </row>
    <row s="1636" customFormat="1" customHeight="1" ht="18.75" hidden="1">
      <c r="A329" s="1781"/>
      <c r="B329" s="1781"/>
      <c r="C329" s="370" t="s">
        <v>1165</v>
      </c>
      <c r="D329" s="2463"/>
      <c r="E329" s="2205"/>
      <c r="F329" s="2384"/>
      <c r="G329" s="2428"/>
      <c r="H329" s="1501"/>
      <c r="I329" s="652" t="s">
        <v>1164</v>
      </c>
      <c r="J329" s="572"/>
      <c r="K329" s="1501"/>
      <c r="L329" s="215"/>
      <c r="M329" s="342"/>
      <c r="N329" s="335"/>
      <c r="O329" s="1625"/>
      <c r="P329" s="1625"/>
      <c r="AH329" s="1632">
        <v>0</v>
      </c>
    </row>
    <row s="1636" customFormat="1" customHeight="1" ht="0.75" hidden="1">
      <c r="A330" s="1781"/>
      <c r="B330" s="1781"/>
      <c r="C330" s="370" t="s">
        <v>1172</v>
      </c>
      <c r="D330" s="2463"/>
      <c r="E330" s="2205"/>
      <c r="F330" s="2384"/>
      <c r="G330" s="401"/>
      <c r="H330" s="1501"/>
      <c r="I330" s="652"/>
      <c r="J330" s="572"/>
      <c r="K330" s="1501"/>
      <c r="L330" s="215"/>
      <c r="M330" s="342"/>
      <c r="N330" s="335"/>
      <c r="O330" s="1625"/>
      <c r="P330" s="1625"/>
      <c r="AH330" s="1632">
        <v>0</v>
      </c>
    </row>
    <row s="1636" customFormat="1" customHeight="1" ht="18.75" hidden="1">
      <c r="A331" s="1781" t="s">
        <v>277</v>
      </c>
      <c r="B331" s="1781" t="s">
        <v>278</v>
      </c>
      <c r="C331" s="370"/>
      <c r="D331" s="2463"/>
      <c r="E331" s="2205"/>
      <c r="F331" s="2384" t="str">
        <f>INDEX(PT_DIFFERENTIATION_VTAR,MATCH(A331,PT_DIFFERENTIATION_VTAR_ID,0))</f>
        <v>Тариф на водоотведение</v>
      </c>
      <c r="G331" s="2428" t="str">
        <f>INDEX(PT_DIFFERENTIATION_NTAR,MATCH(B331,PT_DIFFERENTIATION_NTAR_ID,0))</f>
        <v/>
      </c>
      <c r="H331" s="1863"/>
      <c r="I331" s="1740"/>
      <c r="J331" s="1774"/>
      <c r="K331" s="1779"/>
      <c r="L331" s="1863" t="s">
        <v>318</v>
      </c>
      <c r="M331" s="342"/>
      <c r="N331" s="335"/>
      <c r="O331" s="1625"/>
      <c r="P331" s="1625"/>
      <c r="AH331" s="1632">
        <v>0</v>
      </c>
    </row>
    <row s="1636" customFormat="1" customHeight="1" ht="18.75" hidden="1">
      <c r="A332" s="1781"/>
      <c r="B332" s="1781"/>
      <c r="C332" s="370" t="s">
        <v>1165</v>
      </c>
      <c r="D332" s="2463"/>
      <c r="E332" s="2205"/>
      <c r="F332" s="2384"/>
      <c r="G332" s="2428"/>
      <c r="H332" s="1501"/>
      <c r="I332" s="652" t="s">
        <v>1164</v>
      </c>
      <c r="J332" s="572"/>
      <c r="K332" s="1501"/>
      <c r="L332" s="215"/>
      <c r="M332" s="342"/>
      <c r="N332" s="335"/>
      <c r="O332" s="1625"/>
      <c r="P332" s="1625"/>
      <c r="AH332" s="1632">
        <v>0</v>
      </c>
    </row>
    <row s="1636" customFormat="1" customHeight="1" ht="0.75" hidden="1">
      <c r="A333" s="1781"/>
      <c r="B333" s="1781"/>
      <c r="C333" s="370" t="s">
        <v>1172</v>
      </c>
      <c r="D333" s="2463"/>
      <c r="E333" s="2205"/>
      <c r="F333" s="2384"/>
      <c r="G333" s="401"/>
      <c r="H333" s="1501"/>
      <c r="I333" s="652"/>
      <c r="J333" s="572"/>
      <c r="K333" s="1501"/>
      <c r="L333" s="215"/>
      <c r="M333" s="342"/>
      <c r="N333" s="335"/>
      <c r="O333" s="1625"/>
      <c r="P333" s="1625"/>
      <c r="AH333" s="1632">
        <v>0</v>
      </c>
    </row>
    <row s="1636" customFormat="1" customHeight="1" ht="18.75" hidden="1">
      <c r="A334" s="1781" t="s">
        <v>282</v>
      </c>
      <c r="B334" s="1781" t="s">
        <v>283</v>
      </c>
      <c r="C334" s="370"/>
      <c r="D334" s="2463"/>
      <c r="E334" s="2205"/>
      <c r="F334" s="2384" t="str">
        <f>INDEX(PT_DIFFERENTIATION_VTAR,MATCH(A334,PT_DIFFERENTIATION_VTAR_ID,0))</f>
        <v>Тариф на транспортировку сточных вод</v>
      </c>
      <c r="G334" s="2428" t="str">
        <f>INDEX(PT_DIFFERENTIATION_NTAR,MATCH(B334,PT_DIFFERENTIATION_NTAR_ID,0))</f>
        <v/>
      </c>
      <c r="H334" s="1863"/>
      <c r="I334" s="1740"/>
      <c r="J334" s="1774"/>
      <c r="K334" s="1779"/>
      <c r="L334" s="1863" t="s">
        <v>318</v>
      </c>
      <c r="M334" s="342"/>
      <c r="N334" s="335"/>
      <c r="O334" s="1625"/>
      <c r="P334" s="1625"/>
      <c r="AH334" s="1632">
        <v>0</v>
      </c>
    </row>
    <row s="1636" customFormat="1" customHeight="1" ht="18.75" hidden="1">
      <c r="A335" s="1781"/>
      <c r="B335" s="1781"/>
      <c r="C335" s="370" t="s">
        <v>1165</v>
      </c>
      <c r="D335" s="2463"/>
      <c r="E335" s="2205"/>
      <c r="F335" s="2384"/>
      <c r="G335" s="2428"/>
      <c r="H335" s="1501"/>
      <c r="I335" s="652" t="s">
        <v>1164</v>
      </c>
      <c r="J335" s="572"/>
      <c r="K335" s="1501"/>
      <c r="L335" s="215"/>
      <c r="M335" s="342"/>
      <c r="N335" s="335"/>
      <c r="O335" s="1625"/>
      <c r="P335" s="1625"/>
      <c r="AH335" s="1632">
        <v>0</v>
      </c>
    </row>
    <row s="1636" customFormat="1" customHeight="1" ht="0.75" hidden="1">
      <c r="A336" s="1781"/>
      <c r="B336" s="1781"/>
      <c r="C336" s="370" t="s">
        <v>1172</v>
      </c>
      <c r="D336" s="2463"/>
      <c r="E336" s="2205"/>
      <c r="F336" s="2384"/>
      <c r="G336" s="401"/>
      <c r="H336" s="1501"/>
      <c r="I336" s="652"/>
      <c r="J336" s="572"/>
      <c r="K336" s="1501"/>
      <c r="L336" s="215"/>
      <c r="M336" s="342"/>
      <c r="N336" s="335"/>
      <c r="O336" s="1625"/>
      <c r="P336" s="1625"/>
      <c r="AH336" s="1632">
        <v>0</v>
      </c>
    </row>
    <row s="1636" customFormat="1" customHeight="1" ht="18.75" hidden="1">
      <c r="A337" s="1781" t="s">
        <v>287</v>
      </c>
      <c r="B337" s="1781" t="s">
        <v>288</v>
      </c>
      <c r="C337" s="370"/>
      <c r="D337" s="2463"/>
      <c r="E337" s="2205"/>
      <c r="F337" s="2384" t="str">
        <f>INDEX(PT_DIFFERENTIATION_VTAR,MATCH(A337,PT_DIFFERENTIATION_VTAR_ID,0))</f>
        <v>Тариф на подключение (технологическое присоединение) к централизованной системе водоотведения</v>
      </c>
      <c r="G337" s="2428" t="str">
        <f>INDEX(PT_DIFFERENTIATION_NTAR,MATCH(B337,PT_DIFFERENTIATION_NTAR_ID,0))</f>
        <v/>
      </c>
      <c r="H337" s="1863"/>
      <c r="I337" s="1740"/>
      <c r="J337" s="1774"/>
      <c r="K337" s="1779"/>
      <c r="L337" s="1863" t="s">
        <v>318</v>
      </c>
      <c r="M337" s="342"/>
      <c r="N337" s="335"/>
      <c r="O337" s="1625"/>
      <c r="P337" s="1625"/>
      <c r="AH337" s="1632">
        <v>0</v>
      </c>
    </row>
    <row s="1636" customFormat="1" customHeight="1" ht="18.75" hidden="1">
      <c r="A338" s="1781"/>
      <c r="B338" s="1781"/>
      <c r="C338" s="370" t="s">
        <v>1165</v>
      </c>
      <c r="D338" s="2463"/>
      <c r="E338" s="2205"/>
      <c r="F338" s="2384"/>
      <c r="G338" s="2428"/>
      <c r="H338" s="1501"/>
      <c r="I338" s="652" t="s">
        <v>1164</v>
      </c>
      <c r="J338" s="572"/>
      <c r="K338" s="1501"/>
      <c r="L338" s="215"/>
      <c r="M338" s="342"/>
      <c r="N338" s="335"/>
      <c r="O338" s="1625"/>
      <c r="P338" s="1625"/>
      <c r="AH338" s="1632">
        <v>0</v>
      </c>
    </row>
    <row s="1636" customFormat="1" customHeight="1" ht="1.05">
      <c r="A339" s="1781"/>
      <c r="B339" s="1781"/>
      <c r="C339" s="370" t="s">
        <v>1172</v>
      </c>
      <c r="D339" s="2463"/>
      <c r="E339" s="2205"/>
      <c r="F339" s="2384"/>
      <c r="G339" s="401"/>
      <c r="H339" s="1501"/>
      <c r="I339" s="652"/>
      <c r="J339" s="572"/>
      <c r="K339" s="1501"/>
      <c r="L339" s="215"/>
      <c r="M339" s="342"/>
      <c r="N339" s="335"/>
      <c r="O339" s="1625"/>
      <c r="P339" s="1625"/>
      <c r="AH339" s="1632">
        <v>1</v>
      </c>
    </row>
    <row s="1824" customFormat="1" customHeight="1" ht="3">
      <c r="A340" s="1781"/>
      <c r="B340" s="1781"/>
      <c r="C340" s="1782"/>
      <c r="E340" s="403"/>
      <c r="F340" s="403"/>
      <c r="G340" s="403"/>
      <c r="H340" s="403"/>
      <c r="I340" s="403"/>
      <c r="J340" s="403"/>
      <c r="K340" s="403"/>
      <c r="L340" s="403"/>
      <c r="M340" s="403"/>
      <c r="O340" s="197"/>
      <c r="P340" s="197"/>
      <c r="AH340" s="141">
        <v>3</v>
      </c>
    </row>
    <row customHeight="1" ht="26.25">
      <c r="E341" s="203"/>
      <c r="F341" s="2286"/>
      <c r="G341" s="2286"/>
      <c r="H341" s="2286"/>
      <c r="I341" s="2286"/>
      <c r="J341" s="2286"/>
      <c r="K341" s="2286"/>
      <c r="L341" s="2286"/>
      <c r="M341" s="2286"/>
      <c r="AH341" s="375">
        <v>25</v>
      </c>
    </row>
    <row customHeight="1" ht="14.25" hidden="1">
      <c r="A342" s="1780" t="s">
        <v>84</v>
      </c>
      <c r="B342" s="1780">
        <v>0</v>
      </c>
      <c r="C342" s="370">
        <v>0</v>
      </c>
      <c r="D342" s="345">
        <v>3</v>
      </c>
      <c r="E342" s="375">
        <v>6</v>
      </c>
      <c r="F342" s="375">
        <v>46</v>
      </c>
      <c r="G342" s="375">
        <v>35</v>
      </c>
      <c r="H342" s="375">
        <v>3</v>
      </c>
      <c r="I342" s="375">
        <v>11</v>
      </c>
      <c r="J342" s="375">
        <v>11</v>
      </c>
      <c r="K342" s="375">
        <v>35</v>
      </c>
      <c r="L342" s="375">
        <v>35</v>
      </c>
      <c r="M342" s="375">
        <v>84</v>
      </c>
      <c r="N342" s="375">
        <v>10</v>
      </c>
      <c r="O342" s="351">
        <v>10</v>
      </c>
      <c r="P342" s="351">
        <v>10</v>
      </c>
      <c r="Q342" s="375">
        <v>10</v>
      </c>
      <c r="R342" s="375">
        <v>10</v>
      </c>
      <c r="S342" s="375">
        <v>10</v>
      </c>
      <c r="T342" s="375">
        <v>10</v>
      </c>
      <c r="U342" s="375">
        <v>10</v>
      </c>
      <c r="V342" s="375">
        <v>10</v>
      </c>
      <c r="W342" s="375">
        <v>10</v>
      </c>
      <c r="X342" s="375">
        <v>10</v>
      </c>
      <c r="Y342" s="375">
        <v>10</v>
      </c>
      <c r="Z342" s="375">
        <v>10</v>
      </c>
      <c r="AA342" s="375">
        <v>10</v>
      </c>
      <c r="AB342" s="375">
        <v>10</v>
      </c>
      <c r="AC342" s="375">
        <v>10</v>
      </c>
      <c r="AD342" s="375">
        <v>10</v>
      </c>
      <c r="AE342" s="375">
        <v>10</v>
      </c>
      <c r="AF342" s="375">
        <v>10</v>
      </c>
      <c r="AG342" s="375">
        <v>10</v>
      </c>
      <c r="AH342" s="375">
        <v>14</v>
      </c>
    </row>
  </sheetData>
  <sheetProtection formatColumns="0" formatRows="0" autoFilter="0" sort="0" insertRows="0" insertColumns="1" deleteRows="0" deleteColumns="0"/>
  <mergeCells count="433">
    <mergeCell ref="G48:G49"/>
    <mergeCell ref="D113:D115"/>
    <mergeCell ref="E113:E115"/>
    <mergeCell ref="F113:F115"/>
    <mergeCell ref="G113:G114"/>
    <mergeCell ref="D176:D178"/>
    <mergeCell ref="E176:E178"/>
    <mergeCell ref="F176:F178"/>
    <mergeCell ref="G176:G177"/>
    <mergeCell ref="D71:D73"/>
    <mergeCell ref="E71:E73"/>
    <mergeCell ref="F71:F73"/>
    <mergeCell ref="D92:D94"/>
    <mergeCell ref="E92:E94"/>
    <mergeCell ref="D74:D76"/>
    <mergeCell ref="E74:E76"/>
    <mergeCell ref="F74:F76"/>
    <mergeCell ref="G161:G162"/>
    <mergeCell ref="G164:G165"/>
    <mergeCell ref="E48:E50"/>
    <mergeCell ref="F48:F50"/>
    <mergeCell ref="G98:G99"/>
    <mergeCell ref="G101:G102"/>
    <mergeCell ref="D77:D79"/>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16:F318"/>
    <mergeCell ref="G313:G31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41:M341"/>
    <mergeCell ref="F277:L277"/>
    <mergeCell ref="D278:D280"/>
    <mergeCell ref="E278:E280"/>
    <mergeCell ref="F278:F280"/>
    <mergeCell ref="D281:D283"/>
    <mergeCell ref="E281:E283"/>
    <mergeCell ref="F281:F283"/>
    <mergeCell ref="D284:D286"/>
    <mergeCell ref="D290:D292"/>
    <mergeCell ref="E290:E292"/>
    <mergeCell ref="F290:F292"/>
    <mergeCell ref="D293:D295"/>
    <mergeCell ref="E293:E295"/>
    <mergeCell ref="F293:F295"/>
    <mergeCell ref="E284:E286"/>
    <mergeCell ref="F284:F286"/>
    <mergeCell ref="D287:D289"/>
    <mergeCell ref="E287:E289"/>
    <mergeCell ref="F313:F315"/>
    <mergeCell ref="D316:D318"/>
    <mergeCell ref="E316:E318"/>
    <mergeCell ref="D337:D339"/>
    <mergeCell ref="E337:E339"/>
    <mergeCell ref="G45:G46"/>
    <mergeCell ref="G51:G52"/>
    <mergeCell ref="G56:G57"/>
    <mergeCell ref="G59:G60"/>
    <mergeCell ref="M215:M218"/>
    <mergeCell ref="M89:M92"/>
    <mergeCell ref="F151:L151"/>
    <mergeCell ref="M152:M155"/>
    <mergeCell ref="F214:L214"/>
    <mergeCell ref="F51:F55"/>
    <mergeCell ref="F56:F58"/>
    <mergeCell ref="F77:F79"/>
    <mergeCell ref="F80:F82"/>
    <mergeCell ref="F92:F94"/>
    <mergeCell ref="F95:F97"/>
    <mergeCell ref="M24:M85"/>
    <mergeCell ref="G42:G43"/>
    <mergeCell ref="G133:G134"/>
    <mergeCell ref="G136:G137"/>
    <mergeCell ref="G139:G140"/>
    <mergeCell ref="G142:G143"/>
    <mergeCell ref="G158:G159"/>
    <mergeCell ref="G92:G93"/>
    <mergeCell ref="G95:G96"/>
    <mergeCell ref="D45:D47"/>
    <mergeCell ref="E45:E47"/>
    <mergeCell ref="F45:F47"/>
    <mergeCell ref="D65:D67"/>
    <mergeCell ref="E65:E67"/>
    <mergeCell ref="F65:F67"/>
    <mergeCell ref="D68:D70"/>
    <mergeCell ref="E68:E70"/>
    <mergeCell ref="F68:F70"/>
    <mergeCell ref="D59:D61"/>
    <mergeCell ref="E59:E61"/>
    <mergeCell ref="F59:F61"/>
    <mergeCell ref="D62:D64"/>
    <mergeCell ref="E62:E64"/>
    <mergeCell ref="F62:F64"/>
    <mergeCell ref="D51:D55"/>
    <mergeCell ref="E51:E55"/>
    <mergeCell ref="D56:D58"/>
    <mergeCell ref="E56:E58"/>
    <mergeCell ref="D48:D50"/>
    <mergeCell ref="E77:E79"/>
    <mergeCell ref="D80:D82"/>
    <mergeCell ref="E80:E82"/>
    <mergeCell ref="D95:D97"/>
    <mergeCell ref="E95:E97"/>
    <mergeCell ref="D110:D112"/>
    <mergeCell ref="E110:E112"/>
    <mergeCell ref="F110:F112"/>
    <mergeCell ref="F98:F100"/>
    <mergeCell ref="D101:D103"/>
    <mergeCell ref="E101:E103"/>
    <mergeCell ref="F101:F103"/>
    <mergeCell ref="D83:D85"/>
    <mergeCell ref="E83:E85"/>
    <mergeCell ref="F83:F85"/>
    <mergeCell ref="D89:D91"/>
    <mergeCell ref="E89:E91"/>
    <mergeCell ref="F89:F91"/>
    <mergeCell ref="D98:D100"/>
    <mergeCell ref="E98:E100"/>
    <mergeCell ref="F86:L86"/>
    <mergeCell ref="H87:I87"/>
    <mergeCell ref="F88:L88"/>
    <mergeCell ref="G104:G105"/>
    <mergeCell ref="D116:D120"/>
    <mergeCell ref="E116:E120"/>
    <mergeCell ref="F116:F120"/>
    <mergeCell ref="D104:D106"/>
    <mergeCell ref="E104:E106"/>
    <mergeCell ref="F104:F106"/>
    <mergeCell ref="D107:D109"/>
    <mergeCell ref="E107:E109"/>
    <mergeCell ref="F107:F109"/>
    <mergeCell ref="D121:D123"/>
    <mergeCell ref="E121:E123"/>
    <mergeCell ref="F121:F123"/>
    <mergeCell ref="D124:D126"/>
    <mergeCell ref="E124:E126"/>
    <mergeCell ref="F124:F126"/>
    <mergeCell ref="G124:G125"/>
    <mergeCell ref="G127:G128"/>
    <mergeCell ref="G130:G131"/>
    <mergeCell ref="D127:D129"/>
    <mergeCell ref="E127:E129"/>
    <mergeCell ref="F127:F129"/>
    <mergeCell ref="D130:D132"/>
    <mergeCell ref="E130:E132"/>
    <mergeCell ref="F130:F132"/>
    <mergeCell ref="D139:D141"/>
    <mergeCell ref="E139:E141"/>
    <mergeCell ref="F139:F141"/>
    <mergeCell ref="D142:D144"/>
    <mergeCell ref="E142:E144"/>
    <mergeCell ref="F142:F144"/>
    <mergeCell ref="D133:D135"/>
    <mergeCell ref="E133:E135"/>
    <mergeCell ref="F133:F135"/>
    <mergeCell ref="D136:D138"/>
    <mergeCell ref="E136:E138"/>
    <mergeCell ref="F136:F138"/>
    <mergeCell ref="G145:G146"/>
    <mergeCell ref="G148:G149"/>
    <mergeCell ref="G152:G153"/>
    <mergeCell ref="G155:G156"/>
    <mergeCell ref="D164:D166"/>
    <mergeCell ref="E164:E166"/>
    <mergeCell ref="F164:F166"/>
    <mergeCell ref="D167:D169"/>
    <mergeCell ref="E167:E169"/>
    <mergeCell ref="F167:F169"/>
    <mergeCell ref="D158:D160"/>
    <mergeCell ref="D155:D157"/>
    <mergeCell ref="E155:E157"/>
    <mergeCell ref="F155:F157"/>
    <mergeCell ref="D145:D147"/>
    <mergeCell ref="E145:E147"/>
    <mergeCell ref="F145:F147"/>
    <mergeCell ref="D148:D150"/>
    <mergeCell ref="E148:E150"/>
    <mergeCell ref="F148:F150"/>
    <mergeCell ref="D152:D154"/>
    <mergeCell ref="E152:E154"/>
    <mergeCell ref="F152:F154"/>
    <mergeCell ref="E158:E160"/>
    <mergeCell ref="F158:F160"/>
    <mergeCell ref="D161:D163"/>
    <mergeCell ref="E161:E163"/>
    <mergeCell ref="F161:F163"/>
    <mergeCell ref="D170:D172"/>
    <mergeCell ref="E170:E172"/>
    <mergeCell ref="F170:F172"/>
    <mergeCell ref="D173:D175"/>
    <mergeCell ref="E173:E175"/>
    <mergeCell ref="F173:F175"/>
    <mergeCell ref="D196:D198"/>
    <mergeCell ref="E196:E198"/>
    <mergeCell ref="F196:F198"/>
    <mergeCell ref="D187:D189"/>
    <mergeCell ref="E187:E189"/>
    <mergeCell ref="F187:F189"/>
    <mergeCell ref="D190:D192"/>
    <mergeCell ref="E190:E192"/>
    <mergeCell ref="F190:F192"/>
    <mergeCell ref="D179:D183"/>
    <mergeCell ref="E179:E183"/>
    <mergeCell ref="F179:F183"/>
    <mergeCell ref="D184:D186"/>
    <mergeCell ref="E184:E186"/>
    <mergeCell ref="F184:F186"/>
    <mergeCell ref="G184:G185"/>
    <mergeCell ref="D193:D195"/>
    <mergeCell ref="E193:E195"/>
    <mergeCell ref="F193:F195"/>
    <mergeCell ref="D199:D201"/>
    <mergeCell ref="E199:E201"/>
    <mergeCell ref="F199:F201"/>
    <mergeCell ref="D202:D204"/>
    <mergeCell ref="E202:E204"/>
    <mergeCell ref="F202:F204"/>
    <mergeCell ref="G199:G200"/>
    <mergeCell ref="G202:G203"/>
    <mergeCell ref="D221:D223"/>
    <mergeCell ref="E221:E223"/>
    <mergeCell ref="F221:F223"/>
    <mergeCell ref="D211:D213"/>
    <mergeCell ref="E211:E213"/>
    <mergeCell ref="F211:F213"/>
    <mergeCell ref="D215:D217"/>
    <mergeCell ref="E215:E217"/>
    <mergeCell ref="F215:F217"/>
    <mergeCell ref="D205:D207"/>
    <mergeCell ref="E205:E207"/>
    <mergeCell ref="F205:F207"/>
    <mergeCell ref="D208:D210"/>
    <mergeCell ref="E208:E210"/>
    <mergeCell ref="F208:F210"/>
    <mergeCell ref="G208:G209"/>
    <mergeCell ref="D230:D232"/>
    <mergeCell ref="E230:E232"/>
    <mergeCell ref="F230:F232"/>
    <mergeCell ref="D233:D235"/>
    <mergeCell ref="E233:E235"/>
    <mergeCell ref="F233:F235"/>
    <mergeCell ref="G233:G234"/>
    <mergeCell ref="D218:D220"/>
    <mergeCell ref="E218:E220"/>
    <mergeCell ref="F218:F220"/>
    <mergeCell ref="D224:D226"/>
    <mergeCell ref="E224:E226"/>
    <mergeCell ref="F224:F226"/>
    <mergeCell ref="D227:D229"/>
    <mergeCell ref="E227:E229"/>
    <mergeCell ref="F227:F229"/>
    <mergeCell ref="D247:D249"/>
    <mergeCell ref="E247:E249"/>
    <mergeCell ref="F247:F249"/>
    <mergeCell ref="G239:G240"/>
    <mergeCell ref="D253:D255"/>
    <mergeCell ref="E253:E255"/>
    <mergeCell ref="F253:F255"/>
    <mergeCell ref="D250:D252"/>
    <mergeCell ref="E250:E252"/>
    <mergeCell ref="F250:F252"/>
    <mergeCell ref="D236:D238"/>
    <mergeCell ref="E236:E238"/>
    <mergeCell ref="F236:F238"/>
    <mergeCell ref="D242:D246"/>
    <mergeCell ref="E242:E246"/>
    <mergeCell ref="F242:F246"/>
    <mergeCell ref="D239:D241"/>
    <mergeCell ref="E239:E241"/>
    <mergeCell ref="F239:F241"/>
    <mergeCell ref="D256:D258"/>
    <mergeCell ref="E256:E258"/>
    <mergeCell ref="F256:F258"/>
    <mergeCell ref="G253:G254"/>
    <mergeCell ref="G256:G257"/>
    <mergeCell ref="G259:G260"/>
    <mergeCell ref="D274:D276"/>
    <mergeCell ref="E274:E276"/>
    <mergeCell ref="F274:F276"/>
    <mergeCell ref="D265:D267"/>
    <mergeCell ref="E265:E267"/>
    <mergeCell ref="F265:F267"/>
    <mergeCell ref="D268:D270"/>
    <mergeCell ref="E268:E270"/>
    <mergeCell ref="F268:F270"/>
    <mergeCell ref="D259:D261"/>
    <mergeCell ref="E259:E261"/>
    <mergeCell ref="F259:F261"/>
    <mergeCell ref="D262:D264"/>
    <mergeCell ref="E262:E264"/>
    <mergeCell ref="F262:F264"/>
    <mergeCell ref="G262:G263"/>
    <mergeCell ref="D271:D273"/>
    <mergeCell ref="E271:E273"/>
    <mergeCell ref="F271:F273"/>
    <mergeCell ref="F287:F289"/>
    <mergeCell ref="D305:D309"/>
    <mergeCell ref="E305:E309"/>
    <mergeCell ref="F305:F309"/>
    <mergeCell ref="D310:D312"/>
    <mergeCell ref="E310:E312"/>
    <mergeCell ref="F310:F312"/>
    <mergeCell ref="D296:D298"/>
    <mergeCell ref="E296:E298"/>
    <mergeCell ref="F296:F298"/>
    <mergeCell ref="D299:D301"/>
    <mergeCell ref="E299:E301"/>
    <mergeCell ref="F299:F301"/>
    <mergeCell ref="D302:D304"/>
    <mergeCell ref="E302:E304"/>
    <mergeCell ref="F302:F304"/>
    <mergeCell ref="F337:F339"/>
    <mergeCell ref="M278:M281"/>
    <mergeCell ref="D331:D333"/>
    <mergeCell ref="E331:E333"/>
    <mergeCell ref="F331:F333"/>
    <mergeCell ref="D334:D336"/>
    <mergeCell ref="E334:E336"/>
    <mergeCell ref="F334:F336"/>
    <mergeCell ref="D325:D327"/>
    <mergeCell ref="E325:E327"/>
    <mergeCell ref="F325:F327"/>
    <mergeCell ref="D328:D330"/>
    <mergeCell ref="E328:E330"/>
    <mergeCell ref="F328:F330"/>
    <mergeCell ref="D319:D321"/>
    <mergeCell ref="E319:E321"/>
    <mergeCell ref="F319:F321"/>
    <mergeCell ref="D322:D324"/>
    <mergeCell ref="E322:E324"/>
    <mergeCell ref="F322:F324"/>
    <mergeCell ref="D313:D315"/>
    <mergeCell ref="E313:E315"/>
    <mergeCell ref="G337:G338"/>
    <mergeCell ref="G281:G282"/>
    <mergeCell ref="G62:G63"/>
    <mergeCell ref="G65:G66"/>
    <mergeCell ref="G68:G69"/>
    <mergeCell ref="G71:G72"/>
    <mergeCell ref="G74:G75"/>
    <mergeCell ref="G77:G78"/>
    <mergeCell ref="G80:G81"/>
    <mergeCell ref="G83:G84"/>
    <mergeCell ref="G89:G90"/>
    <mergeCell ref="G325:G326"/>
    <mergeCell ref="G328:G329"/>
    <mergeCell ref="G331:G332"/>
    <mergeCell ref="G334:G335"/>
    <mergeCell ref="G316:G317"/>
    <mergeCell ref="G319:G320"/>
    <mergeCell ref="G322:G323"/>
    <mergeCell ref="G310:G311"/>
    <mergeCell ref="G265:G266"/>
    <mergeCell ref="G268:G269"/>
    <mergeCell ref="G271:G272"/>
    <mergeCell ref="G274:G275"/>
    <mergeCell ref="G278:G279"/>
    <mergeCell ref="G284:G285"/>
    <mergeCell ref="G287:G288"/>
    <mergeCell ref="G290:G291"/>
    <mergeCell ref="G293:G294"/>
    <mergeCell ref="G296:G297"/>
    <mergeCell ref="G299:G300"/>
    <mergeCell ref="G305:G306"/>
    <mergeCell ref="G302:G303"/>
    <mergeCell ref="G107:G108"/>
    <mergeCell ref="G110:G111"/>
    <mergeCell ref="G116:G117"/>
    <mergeCell ref="G121:G122"/>
    <mergeCell ref="G236:G237"/>
    <mergeCell ref="G242:G243"/>
    <mergeCell ref="G247:G248"/>
    <mergeCell ref="G250:G251"/>
    <mergeCell ref="G205:G206"/>
    <mergeCell ref="G211:G212"/>
    <mergeCell ref="G215:G216"/>
    <mergeCell ref="G218:G219"/>
    <mergeCell ref="G221:G222"/>
    <mergeCell ref="G170:G171"/>
    <mergeCell ref="G173:G174"/>
    <mergeCell ref="G179:G180"/>
    <mergeCell ref="G224:G225"/>
    <mergeCell ref="G227:G228"/>
    <mergeCell ref="G230:G231"/>
    <mergeCell ref="G187:G188"/>
    <mergeCell ref="G190:G191"/>
    <mergeCell ref="G193:G194"/>
    <mergeCell ref="G196:G197"/>
    <mergeCell ref="G167:G168"/>
    <mergeCell ref="G53:G54"/>
    <mergeCell ref="G118:G119"/>
    <mergeCell ref="G181:G182"/>
    <mergeCell ref="G244:G245"/>
    <mergeCell ref="G307:G308"/>
  </mergeCells>
  <dataValidations count="4">
    <dataValidation type="decimal" allowBlank="1" showErrorMessage="1" errorTitle="Ошибка" error="Допускается ввод только действительных чисел!" sqref="K215 K218 K221 K224 K227 K230 K233 K236 K242 K247 K250 K253 K256 K259 K262 K265 K268 K271 K10 K89 K145 K142 K139 K136 K133 K130 K127 K124 K121 K116 K110 K107 K104 K101 K98 K95 K92 K152 K148 K155 K158 K161 K164 K167 K170 K173 K179 K184 K187 K190 K193 K199 K202 K205 K208 K211 K196 K274 K278 K281 K284 K287 K290 K293 K296 K299 K305 K310 K313 K316 K319 K322 K325 K328 K331 K334 K337 K5 K113 K176 K239 K302 K118 K181 K244 K30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M152:M153 M215:M216 M23 M89:M90 M278:M27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6:J56 I59:J59 I62:J62 I65:J65 I68:J68 I71:J71 I74:J74 I77:J77 I80:J80 I215:J215 I218:J218 I221:J221 I224:J224 I227:J227 I230:J230 I233:J233 I236:J236 I242:J242 I247:J247 I250:J250 I253:J253 I256:J256 I259:J259 I262:J262 I265:J265 I268:J268 I8:J8 I83:J83 I148:J148 I92:J92 I95:J95 I98:J98 I101:J101 I104:J104 I107:J107 I110:J110 I116:J116 I121:J121 I124:J124 I127:J127 I130:J130 I133:J133 I136:J136 I139:J139 I142:J142 I145:J145 I152:J152 I89:J89 I155:J155 I158:J158 I161:J161 I164:J164 I167:J167 I170:J170 I173:J173 I179:J179 I184:J184 I187:J187 I190:J190 I193:J193 I199:J199 I202:J202 I205:J205 I208:J208 I211:J211 I196:J196 I271:J271 I274:J274 I278:J278 I281:J281 I284:J284 I287:J287 I290:J290 I293:J293 I296:J296 I299:J299 I305:J305 I310:J310 I313:J313 I316:J316 I319:J319 I322:J322 I325:J325 I328:J328 I331:J331 I334:J334 I337:J337 I2:J2 I5:J5 I48:J48 I113:J113 I176:J176 I239:J239 I302:J302 I53 J53 I118 J118 I181 J181 I244 J244 I307 J30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CE9C2D-3548-E5FA-B24C-0.BF4B6B45}" mc:Ignorable="x14ac xr xr2 xr3">
  <sheetPr>
    <tabColor theme="6" tint="0.4"/>
  </sheetPr>
  <dimension ref="A1:R17"/>
  <sheetViews>
    <sheetView topLeftCell="A1" showGridLines="0" zoomScale="90" workbookViewId="0">
      <selection activeCell="A1" sqref="A1"/>
    </sheetView>
  </sheetViews>
  <sheetFormatPr defaultColWidth="10.57421875" customHeight="1" defaultRowHeight="14.25"/>
  <cols>
    <col min="1" max="1" style="2398" width="9.140625" hidden="1" customWidth="1"/>
    <col min="2" max="2" style="1367" width="9.140625" hidden="1" customWidth="1"/>
    <col min="3" max="3" style="345" width="3.00390625" customWidth="1"/>
    <col min="4" max="4" style="1636" width="6.00390625" customWidth="1"/>
    <col min="5" max="5" style="1636" width="53.00390625" customWidth="1"/>
    <col min="6" max="7" style="1636" width="35.00390625" customWidth="1"/>
    <col min="8" max="8" style="1636" width="89.00390625" customWidth="1"/>
    <col min="9" max="9" style="1636" width="10.00390625" customWidth="1"/>
    <col min="10" max="11" style="1625" width="10.00390625" customWidth="1"/>
    <col min="12" max="17" style="1636" width="10.00390625" customWidth="1"/>
    <col min="18" max="18" style="1636" width="10.57421875" hidden="1"/>
  </cols>
  <sheetData>
    <row customHeight="1" ht="22.5" hidden="1">
      <c r="N1" s="256"/>
      <c r="O1" s="256"/>
      <c r="Q1" s="256"/>
      <c r="R1" s="375" t="s">
        <v>14</v>
      </c>
    </row>
    <row s="1636" customFormat="1" customHeight="1" ht="18.75" hidden="1">
      <c r="A2" s="103"/>
      <c r="B2" s="1161"/>
      <c r="C2" s="1731" t="s">
        <v>234</v>
      </c>
      <c r="D2" s="1674"/>
      <c r="E2" s="1683"/>
      <c r="F2" s="258"/>
      <c r="G2" s="1162"/>
      <c r="H2" s="375"/>
      <c r="I2" s="1625"/>
      <c r="J2" s="1625"/>
      <c r="R2" s="1632">
        <v>0</v>
      </c>
    </row>
    <row customHeight="1" ht="14.25" hidden="1">
      <c r="R3" s="375">
        <v>0</v>
      </c>
    </row>
    <row customHeight="1" ht="6.3">
      <c r="C4" s="377"/>
      <c r="D4" s="364"/>
      <c r="E4" s="364"/>
      <c r="F4" s="364"/>
      <c r="G4" s="86"/>
      <c r="H4" s="86"/>
      <c r="R4" s="375">
        <v>6</v>
      </c>
    </row>
    <row customHeight="1" ht="34.5">
      <c r="C5" s="377"/>
      <c r="D5" s="2455" t="str">
        <f>PURCH_NAME_FORM</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E5" s="2456"/>
      <c r="F5" s="2456"/>
      <c r="G5" s="2457"/>
      <c r="H5" s="267"/>
      <c r="R5" s="375">
        <v>33</v>
      </c>
    </row>
    <row s="1636" customFormat="1" customHeight="1" ht="18">
      <c r="A6" s="1670"/>
      <c r="B6" s="1161"/>
      <c r="C6" s="377"/>
      <c r="D6" s="2458" t="str">
        <f>IF(org=0,"Не определено",org)</f>
        <v>ИМУП «ПОСЖИЛКОМСЕРВИС»</v>
      </c>
      <c r="E6" s="2459"/>
      <c r="F6" s="2459"/>
      <c r="G6" s="2460"/>
      <c r="H6" s="267"/>
      <c r="J6" s="1625"/>
      <c r="K6" s="1625"/>
      <c r="R6" s="1632">
        <v>17</v>
      </c>
    </row>
    <row customHeight="1" ht="14.699999999999998">
      <c r="C7" s="377"/>
      <c r="D7" s="364"/>
      <c r="E7" s="390"/>
      <c r="F7" s="390"/>
      <c r="G7" s="753"/>
      <c r="H7" s="194"/>
      <c r="R7" s="375">
        <v>14</v>
      </c>
    </row>
    <row customHeight="1" ht="14.699999999999998">
      <c r="C8" s="377"/>
      <c r="D8" s="2210" t="s">
        <v>312</v>
      </c>
      <c r="E8" s="2210"/>
      <c r="F8" s="2210"/>
      <c r="G8" s="2210"/>
      <c r="H8" s="2390" t="s">
        <v>313</v>
      </c>
      <c r="R8" s="375">
        <v>14</v>
      </c>
    </row>
    <row customHeight="1" ht="24">
      <c r="C9" s="377"/>
      <c r="D9" s="387" t="s">
        <v>90</v>
      </c>
      <c r="E9" s="109" t="s">
        <v>314</v>
      </c>
      <c r="F9" s="109" t="s">
        <v>315</v>
      </c>
      <c r="G9" s="109" t="s">
        <v>402</v>
      </c>
      <c r="H9" s="2390"/>
      <c r="R9" s="375">
        <v>23</v>
      </c>
    </row>
    <row customHeight="1" ht="14.699999999999998">
      <c r="A10" s="344"/>
      <c r="C10" s="377"/>
      <c r="D10" s="148" t="s">
        <v>112</v>
      </c>
      <c r="E10" s="1887"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258"/>
      <c r="G10" s="214"/>
      <c r="H10" s="2170" t="s">
        <v>1173</v>
      </c>
      <c r="R10" s="375">
        <v>14</v>
      </c>
    </row>
    <row customHeight="1" ht="14.699999999999998">
      <c r="A11" s="344"/>
      <c r="C11" s="377"/>
      <c r="D11" s="148" t="s">
        <v>113</v>
      </c>
      <c r="E11" s="1887"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258"/>
      <c r="G11" s="214"/>
      <c r="H11" s="2171"/>
      <c r="R11" s="375">
        <v>14</v>
      </c>
    </row>
    <row customHeight="1" ht="14.699999999999998">
      <c r="A12" s="103"/>
      <c r="C12" s="388"/>
      <c r="D12" s="148" t="s">
        <v>92</v>
      </c>
      <c r="E12" s="389" t="str">
        <f>"Сведения о планировании закупочных процедур"&amp;IF(TEMPLATE_SPHERE="TKO"," &lt;1&gt;","")</f>
        <v>Сведения о планировании закупочных процедур</v>
      </c>
      <c r="F12" s="258"/>
      <c r="G12" s="214"/>
      <c r="H12" s="2171"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51"/>
      <c r="K12" s="375"/>
      <c r="R12" s="375">
        <v>14</v>
      </c>
    </row>
    <row customHeight="1" ht="14.699999999999998">
      <c r="A13" s="103"/>
      <c r="C13" s="388"/>
      <c r="D13" s="148" t="s">
        <v>93</v>
      </c>
      <c r="E13" s="389" t="str">
        <f>"Сведения о результатах проведения закупочных процедур"&amp;IF(TEMPLATE_SPHERE="TKO"," &lt;1&gt;","")</f>
        <v>Сведения о результатах проведения закупочных процедур</v>
      </c>
      <c r="F13" s="258"/>
      <c r="G13" s="214"/>
      <c r="H13" s="2171"/>
      <c r="I13" s="351"/>
      <c r="K13" s="375"/>
      <c r="R13" s="375">
        <v>14</v>
      </c>
    </row>
    <row customHeight="1" ht="14.699999999999998">
      <c r="A14" s="344"/>
      <c r="C14" s="377"/>
      <c r="D14" s="348"/>
      <c r="E14" s="396" t="s">
        <v>334</v>
      </c>
      <c r="F14" s="350"/>
      <c r="G14" s="202"/>
      <c r="H14" s="2172"/>
      <c r="R14" s="375">
        <v>14</v>
      </c>
    </row>
    <row s="1636" customFormat="1" customHeight="1" ht="14.699999999999998">
      <c r="A15" s="344"/>
      <c r="B15" s="1161"/>
      <c r="C15" s="377"/>
      <c r="D15" s="397"/>
      <c r="E15" s="1678"/>
      <c r="F15" s="1679"/>
      <c r="G15" s="1680"/>
      <c r="H15" s="1681"/>
      <c r="J15" s="1625"/>
      <c r="K15" s="1625"/>
      <c r="R15" s="1632">
        <v>14</v>
      </c>
    </row>
    <row customHeight="1" ht="14.699999999999998">
      <c r="D16" s="1682"/>
      <c r="E16" s="2386"/>
      <c r="F16" s="2386"/>
      <c r="G16" s="2386"/>
      <c r="H16" s="2386"/>
      <c r="R16" s="375">
        <v>14</v>
      </c>
    </row>
    <row customHeight="1" ht="22.5" hidden="1">
      <c r="A17" s="365" t="s">
        <v>84</v>
      </c>
      <c r="B17" s="147">
        <v>0</v>
      </c>
      <c r="C17" s="345">
        <v>3</v>
      </c>
      <c r="D17" s="375">
        <v>6</v>
      </c>
      <c r="E17" s="375">
        <v>53</v>
      </c>
      <c r="F17" s="375">
        <v>35</v>
      </c>
      <c r="G17" s="375">
        <v>35</v>
      </c>
      <c r="H17" s="375">
        <v>89</v>
      </c>
      <c r="I17" s="375">
        <v>10</v>
      </c>
      <c r="J17" s="351">
        <v>10</v>
      </c>
      <c r="K17" s="351">
        <v>10</v>
      </c>
      <c r="L17" s="375">
        <v>10</v>
      </c>
      <c r="M17" s="375">
        <v>10</v>
      </c>
      <c r="N17" s="375">
        <v>10</v>
      </c>
      <c r="O17" s="375">
        <v>10</v>
      </c>
      <c r="P17" s="375">
        <v>10</v>
      </c>
      <c r="Q17" s="375">
        <v>10</v>
      </c>
      <c r="R17" s="375">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A2A7433-FA4B-3F32-6D2B-0.8DC3B1CA}" mc:Ignorable="x14ac xr xr2 xr3">
  <sheetPr>
    <tabColor theme="2" tint="-0.1"/>
  </sheetPr>
  <dimension ref="A1:V30"/>
  <sheetViews>
    <sheetView topLeftCell="A1" showGridLines="0" zoomScale="90" workbookViewId="0">
      <selection activeCell="A1" sqref="A1"/>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47.00390625" customWidth="1"/>
    <col min="6" max="6" style="1636" width="9.00390625" customWidth="1"/>
    <col min="7" max="7" style="1636" width="25.7109375" hidden="1" customWidth="1"/>
    <col min="8" max="8" style="1636" width="34.00390625" hidden="1" customWidth="1"/>
    <col min="9" max="9" style="1636" width="25.7109375" customWidth="1"/>
    <col min="10" max="10" style="1636" width="33.00390625" customWidth="1"/>
    <col min="11" max="11" style="1367" width="50.00390625" customWidth="1"/>
    <col min="12" max="20" style="1636" width="10.00390625" customWidth="1"/>
    <col min="21" max="21" style="676" width="10.00390625" customWidth="1"/>
    <col min="22" max="22" style="1636" width="10.57421875" hidden="1"/>
  </cols>
  <sheetData>
    <row s="1367" customFormat="1" customHeight="1" ht="22.5" hidden="1">
      <c r="C1" s="673"/>
      <c r="G1" s="418">
        <v>4</v>
      </c>
      <c r="I1" s="418">
        <v>4</v>
      </c>
      <c r="U1" s="421"/>
      <c r="V1" s="418" t="s">
        <v>14</v>
      </c>
    </row>
    <row s="1636" customFormat="1" customHeight="1" ht="15" hidden="1">
      <c r="A2" s="363"/>
      <c r="C2" s="177"/>
      <c r="D2" s="347"/>
      <c r="E2" s="674"/>
      <c r="F2" s="523"/>
      <c r="G2" s="617"/>
      <c r="H2" s="617"/>
      <c r="I2" s="617"/>
      <c r="J2" s="617"/>
      <c r="U2" s="675"/>
      <c r="V2" s="510">
        <v>0</v>
      </c>
    </row>
    <row s="1367" customFormat="1" customHeight="1" ht="15" hidden="1">
      <c r="C3" s="673"/>
      <c r="U3" s="421"/>
      <c r="V3" s="418">
        <v>0</v>
      </c>
    </row>
    <row customHeight="1" ht="15.75">
      <c r="C4" s="177"/>
      <c r="D4" s="510"/>
      <c r="E4" s="510"/>
      <c r="F4" s="510"/>
      <c r="G4" s="510"/>
      <c r="H4" s="510"/>
      <c r="I4" s="510"/>
      <c r="J4" s="510"/>
      <c r="V4" s="506">
        <v>15</v>
      </c>
    </row>
    <row customHeight="1" ht="66">
      <c r="C5" s="177"/>
      <c r="D5" s="2238" t="s">
        <v>1174</v>
      </c>
      <c r="E5" s="2238"/>
      <c r="F5" s="2238"/>
      <c r="G5" s="2238"/>
      <c r="H5" s="2238"/>
      <c r="I5" s="2238"/>
      <c r="J5" s="2238"/>
      <c r="V5" s="506">
        <v>63</v>
      </c>
    </row>
    <row customHeight="1" ht="15.75">
      <c r="C6" s="177"/>
      <c r="D6" s="2177" t="str">
        <f>IF(org=0,"Не определено",org)</f>
        <v>ИМУП «ПОСЖИЛКОМСЕРВИС»</v>
      </c>
      <c r="E6" s="2177"/>
      <c r="F6" s="2177"/>
      <c r="G6" s="2177"/>
      <c r="H6" s="2177"/>
      <c r="I6" s="2177"/>
      <c r="J6" s="2177"/>
      <c r="K6" s="538"/>
      <c r="V6" s="506">
        <v>15</v>
      </c>
    </row>
    <row customHeight="1" ht="15.75">
      <c r="C7" s="177"/>
      <c r="D7" s="753"/>
      <c r="E7" s="510"/>
      <c r="F7" s="510"/>
      <c r="G7" s="538">
        <v>22</v>
      </c>
      <c r="I7" s="538">
        <v>1</v>
      </c>
      <c r="J7" s="753"/>
      <c r="V7" s="506">
        <v>15</v>
      </c>
    </row>
    <row s="1636" customFormat="1" customHeight="1" ht="1.05">
      <c r="A8" s="760"/>
      <c r="C8" s="177"/>
      <c r="D8" s="510"/>
      <c r="E8" s="510"/>
      <c r="F8" s="510"/>
      <c r="G8" s="538"/>
      <c r="H8" s="753"/>
      <c r="I8" s="538" t="s">
        <v>120</v>
      </c>
      <c r="J8" s="753"/>
      <c r="K8" s="418"/>
      <c r="U8" s="676"/>
      <c r="V8" s="759">
        <v>1</v>
      </c>
    </row>
    <row customHeight="1" ht="15.75">
      <c r="C9" s="177"/>
      <c r="D9" s="712"/>
      <c r="E9" s="2368" t="s">
        <v>108</v>
      </c>
      <c r="F9" s="2369"/>
      <c r="G9" s="2396" t="str">
        <f>IF(G8="","",INDEX(DIFFERENTIATION_UNMERGE_VD,MATCH(G8,DIFFERENTIATION_ID_DIFF,0)))</f>
        <v/>
      </c>
      <c r="H9" s="2397"/>
      <c r="I9" s="2396">
        <f>IF(I8="","",INDEX(DIFFERENTIATION_UNMERGE_VD,MATCH(I8,DIFFERENTIATION_ID_DIFF,0)))</f>
        <v>0</v>
      </c>
      <c r="J9" s="2397"/>
      <c r="K9" s="2176" t="s">
        <v>313</v>
      </c>
      <c r="V9" s="506">
        <v>15</v>
      </c>
    </row>
    <row s="1636" customFormat="1" customHeight="1" ht="15.75">
      <c r="A10" s="760"/>
      <c r="C10" s="177"/>
      <c r="D10" s="712"/>
      <c r="E10" s="2368" t="s">
        <v>575</v>
      </c>
      <c r="F10" s="2369"/>
      <c r="G10" s="2396" t="str">
        <f>IF(G8="","",INDEX(DIFFERENTIATION_UNMERGE_AREA,MATCH(G8,DIFFERENTIATION_ID_DIFF,0)))</f>
        <v/>
      </c>
      <c r="H10" s="2397"/>
      <c r="I10" s="2396" t="str">
        <f>IF(I8="","",INDEX(DIFFERENTIATION_UNMERGE_AREA,MATCH(I8,DIFFERENTIATION_ID_DIFF,0)))</f>
        <v/>
      </c>
      <c r="J10" s="2397"/>
      <c r="K10" s="2200"/>
      <c r="U10" s="676"/>
      <c r="V10" s="759">
        <v>15</v>
      </c>
    </row>
    <row s="1636" customFormat="1" customHeight="1" ht="15.75">
      <c r="A11" s="760"/>
      <c r="C11" s="177"/>
      <c r="D11" s="712"/>
      <c r="E11" s="2368" t="s">
        <v>576</v>
      </c>
      <c r="F11" s="2369"/>
      <c r="G11" s="2396" t="str">
        <f>IF(G8="","",INDEX(DIFFERENTIATION_UNMERGE_SYSTEM,MATCH(G8,DIFFERENTIATION_ID_DIFF,0)))</f>
        <v/>
      </c>
      <c r="H11" s="2397"/>
      <c r="I11" s="2396" t="str">
        <f>IF(I8="","",INDEX(DIFFERENTIATION_UNMERGE_SYSTEM,MATCH(I8,DIFFERENTIATION_ID_DIFF,0)))</f>
        <v>без дифференциации</v>
      </c>
      <c r="J11" s="2397"/>
      <c r="K11" s="2200"/>
      <c r="U11" s="676"/>
      <c r="V11" s="759">
        <v>15</v>
      </c>
    </row>
    <row s="1636" customFormat="1" customHeight="1" ht="15.75">
      <c r="A12" s="760"/>
      <c r="C12" s="177"/>
      <c r="D12" s="2370" t="s">
        <v>312</v>
      </c>
      <c r="E12" s="2371"/>
      <c r="F12" s="2371"/>
      <c r="G12" s="888"/>
      <c r="H12" s="888"/>
      <c r="I12" s="888"/>
      <c r="J12" s="888"/>
      <c r="K12" s="2200"/>
      <c r="U12" s="676"/>
      <c r="V12" s="759">
        <v>15</v>
      </c>
    </row>
    <row customHeight="1" ht="35.699999999999996">
      <c r="C13" s="177"/>
      <c r="D13" s="806" t="s">
        <v>90</v>
      </c>
      <c r="E13" s="808" t="s">
        <v>314</v>
      </c>
      <c r="F13" s="808" t="s">
        <v>577</v>
      </c>
      <c r="G13" s="809" t="s">
        <v>315</v>
      </c>
      <c r="H13" s="808" t="s">
        <v>402</v>
      </c>
      <c r="I13" s="809" t="s">
        <v>315</v>
      </c>
      <c r="J13" s="808" t="s">
        <v>402</v>
      </c>
      <c r="K13" s="2233"/>
      <c r="V13" s="506">
        <v>34</v>
      </c>
    </row>
    <row customHeight="1" ht="15" hidden="1">
      <c r="C14" s="177"/>
      <c r="D14" s="594" t="s">
        <v>112</v>
      </c>
      <c r="E14" s="594" t="s">
        <v>113</v>
      </c>
      <c r="F14" s="594" t="s">
        <v>92</v>
      </c>
      <c r="G14" s="660" t="str">
        <f>G1&amp;".1"</f>
        <v>4.1</v>
      </c>
      <c r="H14" s="660"/>
      <c r="I14" s="660" t="str">
        <f>I1&amp;".1"</f>
        <v>4.1</v>
      </c>
      <c r="J14" s="660"/>
      <c r="K14" s="290"/>
      <c r="V14" s="506">
        <v>0</v>
      </c>
    </row>
    <row customHeight="1" ht="22.5" hidden="1">
      <c r="A15" s="506"/>
      <c r="C15" s="527"/>
      <c r="D15" s="522">
        <v>1</v>
      </c>
      <c r="E15" s="678" t="s">
        <v>819</v>
      </c>
      <c r="F15" s="522" t="s">
        <v>820</v>
      </c>
      <c r="G15" s="679"/>
      <c r="H15" s="679"/>
      <c r="I15" s="679"/>
      <c r="J15" s="679"/>
      <c r="K15" s="290" t="s">
        <v>821</v>
      </c>
      <c r="V15" s="506">
        <v>0</v>
      </c>
    </row>
    <row customHeight="1" ht="22.5" hidden="1">
      <c r="A16" s="506"/>
      <c r="C16" s="527"/>
      <c r="D16" s="522">
        <v>2</v>
      </c>
      <c r="E16" s="280" t="s">
        <v>822</v>
      </c>
      <c r="F16" s="522" t="s">
        <v>823</v>
      </c>
      <c r="G16" s="679"/>
      <c r="H16" s="679"/>
      <c r="I16" s="679"/>
      <c r="J16" s="679"/>
      <c r="K16" s="290" t="s">
        <v>824</v>
      </c>
      <c r="V16" s="506">
        <v>0</v>
      </c>
    </row>
    <row customHeight="1" ht="123.75" hidden="1">
      <c r="A17" s="506"/>
      <c r="C17" s="527"/>
      <c r="D17" s="522">
        <v>3</v>
      </c>
      <c r="E17" s="280" t="s">
        <v>1175</v>
      </c>
      <c r="F17" s="522" t="s">
        <v>318</v>
      </c>
      <c r="G17" s="679"/>
      <c r="H17" s="679"/>
      <c r="I17" s="679"/>
      <c r="J17" s="679"/>
      <c r="K17" s="290" t="s">
        <v>1176</v>
      </c>
      <c r="V17" s="506">
        <v>0</v>
      </c>
    </row>
    <row customHeight="1" ht="48.29999999999999">
      <c r="A18" s="506"/>
      <c r="C18" s="527"/>
      <c r="D18" s="522">
        <v>3</v>
      </c>
      <c r="E18" s="280" t="s">
        <v>825</v>
      </c>
      <c r="F18" s="522" t="s">
        <v>318</v>
      </c>
      <c r="G18" s="810" t="s">
        <v>318</v>
      </c>
      <c r="H18" s="811" t="s">
        <v>318</v>
      </c>
      <c r="I18" s="522" t="s">
        <v>318</v>
      </c>
      <c r="J18" s="579" t="s">
        <v>318</v>
      </c>
      <c r="K18" s="290" t="s">
        <v>1177</v>
      </c>
      <c r="V18" s="506">
        <v>46</v>
      </c>
    </row>
    <row customHeight="1" ht="35.699999999999996">
      <c r="A19" s="506"/>
      <c r="C19" s="527"/>
      <c r="D19" s="540" t="s">
        <v>336</v>
      </c>
      <c r="E19" s="560" t="s">
        <v>827</v>
      </c>
      <c r="F19" s="522" t="s">
        <v>828</v>
      </c>
      <c r="G19" s="818"/>
      <c r="H19" s="107"/>
      <c r="I19" s="818"/>
      <c r="J19" s="819"/>
      <c r="K19" s="680"/>
      <c r="V19" s="506">
        <v>34</v>
      </c>
    </row>
    <row customHeight="1" ht="35.699999999999996">
      <c r="A20" s="506"/>
      <c r="C20" s="527"/>
      <c r="D20" s="1891" t="s">
        <v>344</v>
      </c>
      <c r="E20" s="560" t="s">
        <v>829</v>
      </c>
      <c r="F20" s="522" t="s">
        <v>830</v>
      </c>
      <c r="G20" s="818"/>
      <c r="H20" s="107"/>
      <c r="I20" s="818"/>
      <c r="J20" s="107"/>
      <c r="K20" s="680"/>
      <c r="V20" s="506">
        <v>34</v>
      </c>
    </row>
    <row customHeight="1" ht="48.29999999999999">
      <c r="A21" s="506"/>
      <c r="C21" s="527"/>
      <c r="D21" s="1891" t="s">
        <v>346</v>
      </c>
      <c r="E21" s="560" t="s">
        <v>831</v>
      </c>
      <c r="F21" s="522" t="s">
        <v>582</v>
      </c>
      <c r="G21" s="681"/>
      <c r="H21" s="107"/>
      <c r="I21" s="681"/>
      <c r="J21" s="107"/>
      <c r="K21" s="680"/>
      <c r="V21" s="506">
        <v>46</v>
      </c>
    </row>
    <row customHeight="1" ht="67.5" hidden="1">
      <c r="A22" s="506"/>
      <c r="C22" s="527"/>
      <c r="D22" s="522">
        <v>5</v>
      </c>
      <c r="E22" s="280" t="s">
        <v>1178</v>
      </c>
      <c r="F22" s="522" t="s">
        <v>569</v>
      </c>
      <c r="G22" s="682"/>
      <c r="H22" s="683"/>
      <c r="I22" s="682"/>
      <c r="J22" s="683"/>
      <c r="K22" s="290" t="s">
        <v>1179</v>
      </c>
      <c r="V22" s="506">
        <v>0</v>
      </c>
    </row>
    <row customHeight="1" ht="33.75" hidden="1">
      <c r="C23" s="452"/>
      <c r="D23" s="522">
        <v>6</v>
      </c>
      <c r="E23" s="280" t="s">
        <v>1180</v>
      </c>
      <c r="F23" s="522" t="s">
        <v>1181</v>
      </c>
      <c r="G23" s="682"/>
      <c r="H23" s="682"/>
      <c r="I23" s="682"/>
      <c r="J23" s="682"/>
      <c r="K23" s="290" t="s">
        <v>1182</v>
      </c>
      <c r="V23" s="506">
        <v>0</v>
      </c>
    </row>
    <row customHeight="1" ht="15.75">
      <c r="V24" s="506">
        <v>15</v>
      </c>
    </row>
    <row customHeight="1" ht="15.75">
      <c r="V25" s="506">
        <v>15</v>
      </c>
    </row>
    <row customHeight="1" ht="15.75">
      <c r="V26" s="506">
        <v>15</v>
      </c>
    </row>
    <row customHeight="1" ht="15.75">
      <c r="V27" s="506">
        <v>15</v>
      </c>
    </row>
    <row customHeight="1" ht="15.75">
      <c r="V28" s="506">
        <v>15</v>
      </c>
    </row>
    <row customHeight="1" ht="15.75">
      <c r="J29" s="820"/>
      <c r="V29" s="506">
        <v>15</v>
      </c>
    </row>
    <row customHeight="1" ht="22.5" hidden="1">
      <c r="A30" s="450" t="s">
        <v>84</v>
      </c>
      <c r="B30" s="506">
        <v>0</v>
      </c>
      <c r="C30" s="684">
        <v>4</v>
      </c>
      <c r="D30" s="506">
        <v>6</v>
      </c>
      <c r="E30" s="506">
        <v>47</v>
      </c>
      <c r="F30" s="506">
        <v>9</v>
      </c>
      <c r="G30" s="759">
        <v>0</v>
      </c>
      <c r="H30" s="759">
        <v>0</v>
      </c>
      <c r="I30" s="506">
        <v>25</v>
      </c>
      <c r="J30" s="506">
        <v>33</v>
      </c>
      <c r="K30" s="418">
        <v>50</v>
      </c>
      <c r="L30" s="506">
        <v>10</v>
      </c>
      <c r="M30" s="506">
        <v>10</v>
      </c>
      <c r="N30" s="506">
        <v>10</v>
      </c>
      <c r="O30" s="506">
        <v>10</v>
      </c>
      <c r="P30" s="506">
        <v>10</v>
      </c>
      <c r="Q30" s="506">
        <v>10</v>
      </c>
      <c r="R30" s="506">
        <v>10</v>
      </c>
      <c r="S30" s="506">
        <v>10</v>
      </c>
      <c r="T30" s="506">
        <v>10</v>
      </c>
      <c r="U30" s="676">
        <v>10</v>
      </c>
      <c r="V30" s="506">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9043F98A-AE25-BBDF-6851-0.8B28727F}"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3" width="32.57421875" customWidth="1"/>
    <col min="2" max="2" style="1851" width="11.00390625" customWidth="1"/>
    <col min="3" max="3" style="1851" width="9.140625"/>
    <col min="4" max="4" style="1851" width="26.57421875" customWidth="1"/>
    <col min="5" max="5" style="1824" width="36.8515625" customWidth="1"/>
    <col min="6" max="6" style="1824" width="23.57421875" customWidth="1"/>
    <col min="7" max="7" style="1824" width="31.421875" customWidth="1"/>
    <col min="8" max="8" style="1824" width="40.8515625" customWidth="1"/>
    <col min="9" max="9" style="1824" width="14.57421875" customWidth="1"/>
    <col min="10" max="10" style="1824" width="26.8515625" customWidth="1"/>
    <col min="11" max="11" style="1824" width="50.00390625" customWidth="1"/>
    <col min="12" max="12" style="1824" width="52.421875" customWidth="1"/>
    <col min="13" max="13" style="1824" width="10.7109375" customWidth="1"/>
    <col min="14" max="14" style="1824" width="55.140625" customWidth="1"/>
    <col min="15" max="15" style="1824" width="31.8515625" customWidth="1"/>
    <col min="16" max="16" style="1824" width="23.8515625" customWidth="1"/>
    <col min="17" max="17" style="1824" width="46.57421875" customWidth="1"/>
    <col min="18" max="18" style="1824" width="24.00390625" customWidth="1"/>
    <col min="19" max="19" style="1824" width="20.57421875" customWidth="1"/>
    <col min="20" max="20" style="1824" width="22.00390625" customWidth="1"/>
    <col min="21" max="22" style="1824" width="26.421875" customWidth="1"/>
    <col min="23" max="23" style="1824" width="8.28125" hidden="1" customWidth="1"/>
    <col min="24" max="24" style="1824" width="59.7109375" customWidth="1"/>
    <col min="25" max="25" style="1824" width="49.140625" customWidth="1"/>
    <col min="26" max="26" style="1824" width="11.140625" customWidth="1"/>
    <col min="27" max="30" style="1824" width="29.00390625" customWidth="1"/>
    <col min="31" max="31" style="1824" width="9.140625"/>
    <col min="32" max="32" style="1824" width="34.7109375" customWidth="1"/>
    <col min="33" max="33" style="1824" width="9.140625"/>
    <col min="34" max="35" style="1824" width="34.421875" customWidth="1"/>
    <col min="36" max="36" style="1824" width="9.140625"/>
    <col min="37" max="37" style="1824" width="24.57421875" customWidth="1"/>
    <col min="38" max="38" style="1824" width="9.140625"/>
    <col min="39" max="39" style="1824" width="26.140625" customWidth="1"/>
    <col min="40" max="40" style="1824" width="1.7109375" customWidth="1"/>
    <col min="41" max="41" style="1824" width="9.140625"/>
    <col min="42" max="43" style="1824" width="47.8515625" customWidth="1"/>
    <col min="44" max="44" style="1824" width="1.7109375" customWidth="1"/>
    <col min="45" max="45" style="1824" width="21.421875" customWidth="1"/>
    <col min="46" max="46" style="1824" width="1.7109375" customWidth="1"/>
    <col min="47" max="47" style="1824" width="31.28125" customWidth="1"/>
    <col min="48" max="48" style="1824" width="1.7109375" customWidth="1"/>
    <col min="49" max="50" style="1824" width="9.140625"/>
    <col min="51" max="51" style="1824" width="3.7109375" customWidth="1"/>
    <col min="52" max="52" style="1824" width="60.8515625" customWidth="1"/>
    <col min="53" max="53" style="1824" width="49.28125" customWidth="1"/>
    <col min="54" max="54" style="1824" width="35.140625" customWidth="1"/>
    <col min="55" max="55" style="1824" width="9.140625"/>
    <col min="56" max="56" style="1824" width="1.7109375" customWidth="1"/>
    <col min="57" max="57" style="1067" width="12.57421875" customWidth="1"/>
    <col min="58" max="58" style="1067" width="14.28125" customWidth="1"/>
    <col min="59" max="59" style="1824" width="30.7109375" customWidth="1"/>
    <col min="60" max="60" style="1841" width="40.7109375" customWidth="1"/>
    <col min="61" max="61" style="1841" width="15.00390625" customWidth="1"/>
    <col min="62" max="62" style="1841" width="40.7109375" customWidth="1"/>
    <col min="63" max="63" style="1841" width="2.7109375" customWidth="1"/>
    <col min="64" max="64" style="1841" width="44.7109375" customWidth="1"/>
    <col min="65" max="65" style="1841" width="2.7109375" customWidth="1"/>
    <col min="66" max="66" style="1841" width="40.7109375" customWidth="1"/>
    <col min="67" max="68" style="1824" width="9.140625"/>
    <col min="69" max="69" style="1824" width="18.140625" customWidth="1"/>
    <col min="70" max="70" style="1824" width="57.8515625" customWidth="1"/>
    <col min="71" max="71" style="1824" width="1.7109375" customWidth="1"/>
    <col min="72" max="72" style="1824" width="22.57421875" customWidth="1"/>
    <col min="73" max="73" style="1824" width="57.8515625" customWidth="1"/>
    <col min="74" max="74" style="1824" width="1.7109375" customWidth="1"/>
    <col min="75" max="75" style="1824" width="22.57421875" customWidth="1"/>
    <col min="76" max="76" style="1824" width="57.8515625" customWidth="1"/>
    <col min="77" max="77" style="1824" width="1.7109375" customWidth="1"/>
    <col min="78" max="78" style="1824" width="22.57421875" customWidth="1"/>
    <col min="79" max="79" style="1824" width="57.8515625" customWidth="1"/>
    <col min="80" max="81" style="1824" width="9.140625"/>
    <col min="82" max="82" style="1824" width="49.57421875" customWidth="1"/>
  </cols>
  <sheetData>
    <row s="1428" customFormat="1" customHeight="1" ht="11.25">
      <c r="A1" s="1068" t="s">
        <v>1183</v>
      </c>
      <c r="B1" s="1068" t="s">
        <v>1184</v>
      </c>
      <c r="C1" s="1068" t="s">
        <v>1185</v>
      </c>
      <c r="D1" s="1068" t="s">
        <v>1186</v>
      </c>
      <c r="E1" s="1068" t="s">
        <v>1187</v>
      </c>
      <c r="F1" s="1068" t="s">
        <v>1188</v>
      </c>
      <c r="G1" s="1068" t="s">
        <v>1189</v>
      </c>
      <c r="H1" s="1068" t="s">
        <v>1190</v>
      </c>
      <c r="I1" s="1068" t="s">
        <v>1191</v>
      </c>
      <c r="J1" s="1068" t="s">
        <v>1192</v>
      </c>
      <c r="K1" s="1068" t="s">
        <v>1193</v>
      </c>
      <c r="L1" s="1068" t="s">
        <v>1194</v>
      </c>
      <c r="M1" s="1068"/>
      <c r="N1" s="1068" t="s">
        <v>1195</v>
      </c>
      <c r="O1" s="1068" t="s">
        <v>1196</v>
      </c>
      <c r="P1" s="1068" t="s">
        <v>1197</v>
      </c>
      <c r="Q1" s="1068" t="s">
        <v>1198</v>
      </c>
      <c r="R1" s="1068" t="s">
        <v>1199</v>
      </c>
      <c r="S1" s="1068" t="s">
        <v>1200</v>
      </c>
      <c r="T1" s="1068" t="s">
        <v>1201</v>
      </c>
      <c r="U1" s="1068" t="s">
        <v>1202</v>
      </c>
      <c r="V1" s="1068"/>
      <c r="W1" s="798" t="s">
        <v>1203</v>
      </c>
      <c r="X1" s="1068" t="s">
        <v>1204</v>
      </c>
      <c r="Y1" s="1068" t="s">
        <v>1205</v>
      </c>
      <c r="Z1" s="1068"/>
      <c r="AA1" s="1068" t="s">
        <v>1206</v>
      </c>
      <c r="AB1" s="1068"/>
      <c r="AC1" s="1068" t="s">
        <v>1207</v>
      </c>
      <c r="AD1" s="1068"/>
      <c r="AF1" s="1068" t="s">
        <v>1208</v>
      </c>
      <c r="AH1" s="1068" t="s">
        <v>1209</v>
      </c>
      <c r="AI1" s="1068" t="s">
        <v>1210</v>
      </c>
      <c r="AK1" s="1068" t="s">
        <v>1211</v>
      </c>
      <c r="AM1" s="1068" t="s">
        <v>1212</v>
      </c>
      <c r="AP1" s="1068" t="s">
        <v>1213</v>
      </c>
      <c r="AQ1" s="1068" t="s">
        <v>1214</v>
      </c>
      <c r="AS1" s="1068" t="s">
        <v>1215</v>
      </c>
      <c r="AU1" s="1068" t="s">
        <v>1216</v>
      </c>
      <c r="AW1" s="1068" t="s">
        <v>1217</v>
      </c>
      <c r="AX1" s="1068" t="s">
        <v>1218</v>
      </c>
      <c r="AZ1" s="1153" t="s">
        <v>1219</v>
      </c>
      <c r="BB1" s="1068" t="s">
        <v>1220</v>
      </c>
      <c r="BC1" s="1068"/>
      <c r="BE1" s="1068" t="s">
        <v>1221</v>
      </c>
      <c r="BF1" s="1068" t="s">
        <v>1222</v>
      </c>
      <c r="BH1" s="1070" t="s">
        <v>818</v>
      </c>
      <c r="BI1" s="1071"/>
      <c r="BJ1" s="1072" t="s">
        <v>1223</v>
      </c>
      <c r="BK1" s="1071"/>
      <c r="BL1" s="1073" t="s">
        <v>917</v>
      </c>
      <c r="BM1" s="1071"/>
      <c r="BN1" s="1074" t="s">
        <v>1224</v>
      </c>
      <c r="BS1" s="1428"/>
    </row>
    <row customHeight="1" ht="11.25">
      <c r="A2" s="1075" t="s">
        <v>1225</v>
      </c>
      <c r="B2" s="1076">
        <v>2000</v>
      </c>
      <c r="C2" s="1076">
        <v>2022</v>
      </c>
      <c r="D2" s="1076" t="s">
        <v>63</v>
      </c>
      <c r="E2" s="1077" t="s">
        <v>1226</v>
      </c>
      <c r="F2" s="1077" t="s">
        <v>1227</v>
      </c>
      <c r="G2" s="1077" t="s">
        <v>1228</v>
      </c>
      <c r="H2" s="1078" t="s">
        <v>57</v>
      </c>
      <c r="I2" s="1077" t="s">
        <v>112</v>
      </c>
      <c r="J2" s="1077" t="s">
        <v>1229</v>
      </c>
      <c r="K2" s="1079" t="s">
        <v>1230</v>
      </c>
      <c r="L2" s="1080"/>
      <c r="M2" s="1079">
        <v>1</v>
      </c>
      <c r="N2" s="1163" t="s">
        <v>1231</v>
      </c>
      <c r="O2" s="1078" t="s">
        <v>1232</v>
      </c>
      <c r="P2" s="1081" t="s">
        <v>1233</v>
      </c>
      <c r="Q2" s="1082" t="s">
        <v>1234</v>
      </c>
      <c r="R2" s="144" t="s">
        <v>1235</v>
      </c>
      <c r="S2" s="144" t="s">
        <v>1236</v>
      </c>
      <c r="T2" s="1083" t="s">
        <v>1237</v>
      </c>
      <c r="U2" s="1080" t="s">
        <v>1238</v>
      </c>
      <c r="V2" s="1084">
        <v>1</v>
      </c>
      <c r="W2" s="1085"/>
      <c r="X2" s="1085" t="s">
        <v>1239</v>
      </c>
      <c r="Y2" s="1076" t="s">
        <v>1240</v>
      </c>
      <c r="Z2" s="1086"/>
      <c r="AA2" s="1076" t="s">
        <v>1241</v>
      </c>
      <c r="AB2" s="1087" t="s">
        <v>1241</v>
      </c>
      <c r="AC2" s="1076" t="s">
        <v>1242</v>
      </c>
      <c r="AD2" s="1087" t="s">
        <v>1242</v>
      </c>
      <c r="AF2" s="1078" t="s">
        <v>1238</v>
      </c>
      <c r="AH2" s="1077" t="s">
        <v>1243</v>
      </c>
      <c r="AI2" s="1077" t="s">
        <v>1243</v>
      </c>
      <c r="AK2" s="1077" t="s">
        <v>1244</v>
      </c>
      <c r="AM2" s="1077" t="s">
        <v>1245</v>
      </c>
      <c r="AP2" s="1088" t="s">
        <v>1239</v>
      </c>
      <c r="AQ2" s="1089" t="s">
        <v>1239</v>
      </c>
      <c r="AS2" s="1076" t="s">
        <v>1246</v>
      </c>
      <c r="AU2" s="1121" t="s">
        <v>1247</v>
      </c>
      <c r="AW2" s="1121" t="s">
        <v>1248</v>
      </c>
      <c r="AX2" s="1121" t="s">
        <v>1248</v>
      </c>
      <c r="AZ2" s="1121" t="s">
        <v>1249</v>
      </c>
      <c r="BB2" s="1121" t="s">
        <v>1250</v>
      </c>
      <c r="BC2" s="1121" t="s">
        <v>1251</v>
      </c>
      <c r="BE2" s="1121">
        <v>2000</v>
      </c>
      <c r="BF2" s="1121" t="s">
        <v>1252</v>
      </c>
    </row>
    <row customHeight="1" ht="11.25">
      <c r="A3" s="1075" t="s">
        <v>1253</v>
      </c>
      <c r="B3" s="1076">
        <v>2001</v>
      </c>
      <c r="C3" s="1076">
        <v>2023</v>
      </c>
      <c r="D3" s="1076" t="s">
        <v>19</v>
      </c>
      <c r="E3" s="1077" t="s">
        <v>1254</v>
      </c>
      <c r="F3" s="1077" t="s">
        <v>1255</v>
      </c>
      <c r="G3" s="1077" t="s">
        <v>1256</v>
      </c>
      <c r="H3" s="1078" t="s">
        <v>1257</v>
      </c>
      <c r="I3" s="1077" t="s">
        <v>113</v>
      </c>
      <c r="J3" s="1077" t="s">
        <v>567</v>
      </c>
      <c r="K3" s="1079" t="s">
        <v>1258</v>
      </c>
      <c r="L3" s="1080">
        <f>_xlfn.IFERROR(MATCH(K3,OFFER_METHOD,0),0)</f>
        <v>0</v>
      </c>
      <c r="M3" s="1079">
        <v>2</v>
      </c>
      <c r="N3" s="1163" t="s">
        <v>1259</v>
      </c>
      <c r="O3" s="1078" t="s">
        <v>1260</v>
      </c>
      <c r="P3" s="1081" t="s">
        <v>37</v>
      </c>
      <c r="Q3" s="1082" t="s">
        <v>1261</v>
      </c>
      <c r="R3" s="144" t="s">
        <v>1262</v>
      </c>
      <c r="S3" s="144" t="s">
        <v>1263</v>
      </c>
      <c r="T3" s="1083" t="s">
        <v>1264</v>
      </c>
      <c r="U3" s="1080" t="s">
        <v>1265</v>
      </c>
      <c r="V3" s="1084">
        <v>2</v>
      </c>
      <c r="W3" s="1085"/>
      <c r="X3" s="1085" t="s">
        <v>1266</v>
      </c>
      <c r="Y3" s="1076" t="s">
        <v>1240</v>
      </c>
      <c r="Z3" s="1086"/>
      <c r="AA3" s="1076" t="s">
        <v>1267</v>
      </c>
      <c r="AB3" s="1087" t="s">
        <v>1267</v>
      </c>
      <c r="AC3" s="1076" t="s">
        <v>1268</v>
      </c>
      <c r="AD3" s="1087" t="s">
        <v>1268</v>
      </c>
      <c r="AF3" s="1078" t="s">
        <v>1265</v>
      </c>
      <c r="AH3" s="1077" t="s">
        <v>1269</v>
      </c>
      <c r="AI3" s="1077" t="s">
        <v>1270</v>
      </c>
      <c r="AK3" s="1077" t="s">
        <v>1271</v>
      </c>
      <c r="AM3" s="1077" t="s">
        <v>1272</v>
      </c>
      <c r="AP3" s="1088" t="s">
        <v>1273</v>
      </c>
      <c r="AQ3" s="1089" t="s">
        <v>1273</v>
      </c>
      <c r="AS3" s="1076" t="s">
        <v>1274</v>
      </c>
      <c r="AU3" s="1121" t="s">
        <v>1275</v>
      </c>
      <c r="AW3" s="1121" t="s">
        <v>1276</v>
      </c>
      <c r="AX3" s="1121" t="s">
        <v>1276</v>
      </c>
      <c r="AZ3" s="1121" t="s">
        <v>1277</v>
      </c>
      <c r="BB3" s="1121" t="s">
        <v>1278</v>
      </c>
      <c r="BC3" s="1121" t="s">
        <v>1251</v>
      </c>
      <c r="BE3" s="1121">
        <v>2001</v>
      </c>
      <c r="BF3" s="1121" t="s">
        <v>1279</v>
      </c>
      <c r="BH3" s="1068" t="s">
        <v>1280</v>
      </c>
      <c r="BJ3" s="1068" t="s">
        <v>1281</v>
      </c>
      <c r="BL3" s="1068" t="s">
        <v>1282</v>
      </c>
      <c r="BN3" s="1068" t="s">
        <v>1283</v>
      </c>
      <c r="BR3" s="1068" t="s">
        <v>1284</v>
      </c>
      <c r="BS3" s="1429"/>
      <c r="BT3" s="1071"/>
      <c r="BU3" s="1068" t="s">
        <v>1285</v>
      </c>
      <c r="BV3" s="1071"/>
      <c r="BW3" s="1691"/>
      <c r="BX3" s="1693" t="s">
        <v>1286</v>
      </c>
      <c r="CA3" s="1068" t="s">
        <v>1287</v>
      </c>
    </row>
    <row customHeight="1" ht="11.25">
      <c r="A4" s="1075" t="s">
        <v>1288</v>
      </c>
      <c r="B4" s="1076">
        <v>2002</v>
      </c>
      <c r="C4" s="1076">
        <v>2024</v>
      </c>
      <c r="E4" s="1077" t="s">
        <v>1289</v>
      </c>
      <c r="F4" s="1077" t="s">
        <v>1290</v>
      </c>
      <c r="H4" s="1078" t="s">
        <v>1291</v>
      </c>
      <c r="I4" s="1077" t="s">
        <v>92</v>
      </c>
      <c r="J4" s="1077" t="s">
        <v>1292</v>
      </c>
      <c r="K4" s="1079" t="s">
        <v>1293</v>
      </c>
      <c r="L4" s="1080">
        <f>_xlfn.IFERROR(MATCH(K4,OFFER_METHOD,0),0)</f>
        <v>0</v>
      </c>
      <c r="M4" s="1079">
        <v>3</v>
      </c>
      <c r="N4" s="1163" t="s">
        <v>1294</v>
      </c>
      <c r="O4" s="1077" t="s">
        <v>1295</v>
      </c>
      <c r="Q4" s="1082" t="s">
        <v>1296</v>
      </c>
      <c r="R4" s="144" t="s">
        <v>1297</v>
      </c>
      <c r="S4" s="144" t="s">
        <v>1298</v>
      </c>
      <c r="T4" s="1083" t="s">
        <v>1299</v>
      </c>
      <c r="U4" s="1080" t="s">
        <v>1300</v>
      </c>
      <c r="V4" s="1084">
        <v>3</v>
      </c>
      <c r="W4" s="1085"/>
      <c r="X4" s="1085" t="s">
        <v>1301</v>
      </c>
      <c r="Y4" s="1076" t="s">
        <v>1240</v>
      </c>
      <c r="Z4" s="1092"/>
      <c r="AC4" s="1076" t="s">
        <v>1302</v>
      </c>
      <c r="AD4" s="1087" t="s">
        <v>1302</v>
      </c>
      <c r="AF4" s="1078" t="s">
        <v>1300</v>
      </c>
      <c r="AH4" s="1078" t="s">
        <v>1303</v>
      </c>
      <c r="AK4" s="1077" t="s">
        <v>1304</v>
      </c>
      <c r="AM4" s="1077" t="s">
        <v>1305</v>
      </c>
      <c r="AP4" s="1088" t="s">
        <v>1266</v>
      </c>
      <c r="AQ4" s="1089" t="s">
        <v>1266</v>
      </c>
      <c r="AS4" s="1076" t="s">
        <v>1306</v>
      </c>
      <c r="AU4" s="1121" t="s">
        <v>1307</v>
      </c>
      <c r="AW4" s="1121" t="s">
        <v>1308</v>
      </c>
      <c r="AX4" s="1121" t="s">
        <v>1308</v>
      </c>
      <c r="AZ4" s="1121" t="s">
        <v>1309</v>
      </c>
      <c r="BB4" s="1121" t="s">
        <v>1310</v>
      </c>
      <c r="BC4" s="1121" t="s">
        <v>1311</v>
      </c>
      <c r="BE4" s="1121">
        <v>2002</v>
      </c>
      <c r="BF4" s="1121" t="s">
        <v>1312</v>
      </c>
      <c r="BH4" s="1069" t="s">
        <v>1313</v>
      </c>
      <c r="BJ4" s="1069" t="s">
        <v>1313</v>
      </c>
      <c r="BL4" s="1069" t="s">
        <v>1313</v>
      </c>
      <c r="BN4" s="1069" t="s">
        <v>1313</v>
      </c>
      <c r="BQ4" s="1433" t="s">
        <v>1314</v>
      </c>
      <c r="BR4" s="1160" t="s">
        <v>1315</v>
      </c>
      <c r="BS4" s="275"/>
      <c r="BT4" s="1433" t="s">
        <v>1316</v>
      </c>
      <c r="BU4" s="1160" t="s">
        <v>1317</v>
      </c>
      <c r="BV4" s="1071"/>
      <c r="BW4" s="1698" t="s">
        <v>1318</v>
      </c>
      <c r="BX4" s="1692" t="s">
        <v>1319</v>
      </c>
      <c r="BZ4" s="1433" t="s">
        <v>1320</v>
      </c>
      <c r="CA4" s="1160" t="s">
        <v>1321</v>
      </c>
    </row>
    <row customHeight="1" ht="11.25">
      <c r="A5" s="1075" t="s">
        <v>1322</v>
      </c>
      <c r="B5" s="1076">
        <v>2003</v>
      </c>
      <c r="C5" s="1076">
        <v>2025</v>
      </c>
      <c r="E5" s="1077" t="s">
        <v>1323</v>
      </c>
      <c r="F5" s="1077" t="s">
        <v>1324</v>
      </c>
      <c r="H5" s="1078" t="s">
        <v>1325</v>
      </c>
      <c r="I5" s="1077" t="s">
        <v>93</v>
      </c>
      <c r="K5" s="1079" t="s">
        <v>1326</v>
      </c>
      <c r="L5" s="1080">
        <f>_xlfn.IFERROR(MATCH(K5,OFFER_METHOD,0),0)</f>
        <v>0</v>
      </c>
      <c r="M5" s="1079">
        <v>4</v>
      </c>
      <c r="N5" s="1093" t="s">
        <v>1327</v>
      </c>
      <c r="O5" s="1077" t="s">
        <v>1328</v>
      </c>
      <c r="Q5" s="1082" t="s">
        <v>1329</v>
      </c>
      <c r="R5" s="144" t="s">
        <v>505</v>
      </c>
      <c r="T5" s="1078" t="s">
        <v>1330</v>
      </c>
      <c r="U5" s="1080" t="s">
        <v>1331</v>
      </c>
      <c r="V5" s="1084">
        <v>4</v>
      </c>
      <c r="W5" s="1085"/>
      <c r="X5" s="1085" t="s">
        <v>169</v>
      </c>
      <c r="Y5" s="1076" t="s">
        <v>1332</v>
      </c>
      <c r="Z5" s="1092">
        <v>1</v>
      </c>
      <c r="AF5" s="1078" t="s">
        <v>1333</v>
      </c>
      <c r="AH5" s="1077" t="s">
        <v>1334</v>
      </c>
      <c r="AK5" s="1077" t="s">
        <v>1335</v>
      </c>
      <c r="AM5" s="1077" t="s">
        <v>1336</v>
      </c>
      <c r="AP5" s="1088" t="s">
        <v>169</v>
      </c>
      <c r="AQ5" s="1089" t="s">
        <v>169</v>
      </c>
      <c r="AU5" s="1121" t="s">
        <v>1337</v>
      </c>
      <c r="AW5" s="1121" t="s">
        <v>1338</v>
      </c>
      <c r="AX5" s="1121" t="s">
        <v>1338</v>
      </c>
      <c r="AZ5" s="1121" t="s">
        <v>1339</v>
      </c>
      <c r="BB5" s="1121" t="s">
        <v>1340</v>
      </c>
      <c r="BC5" s="1121" t="s">
        <v>1341</v>
      </c>
      <c r="BE5" s="1121">
        <v>2003</v>
      </c>
      <c r="BF5" s="1121" t="s">
        <v>1342</v>
      </c>
      <c r="BH5" s="1069" t="s">
        <v>1343</v>
      </c>
      <c r="BJ5" s="1069" t="s">
        <v>1343</v>
      </c>
      <c r="BL5" s="1069" t="s">
        <v>1343</v>
      </c>
      <c r="BN5" s="1069" t="s">
        <v>1344</v>
      </c>
      <c r="BQ5" s="1282">
        <v>4213775</v>
      </c>
      <c r="BR5" s="1069" t="s">
        <v>1239</v>
      </c>
      <c r="BS5" s="1430"/>
      <c r="BT5" s="1282">
        <v>64236871</v>
      </c>
      <c r="BU5" s="1069" t="s">
        <v>241</v>
      </c>
      <c r="BV5" s="1071"/>
      <c r="BW5" s="1696">
        <v>4213767</v>
      </c>
      <c r="BX5" s="1694" t="s">
        <v>1345</v>
      </c>
      <c r="BZ5" s="1282">
        <v>64237509</v>
      </c>
      <c r="CA5" s="1296" t="s">
        <v>1346</v>
      </c>
    </row>
    <row customHeight="1" ht="11.25">
      <c r="A6" s="1075" t="s">
        <v>1347</v>
      </c>
      <c r="B6" s="1076">
        <v>2004</v>
      </c>
      <c r="C6" s="1076">
        <v>2026</v>
      </c>
      <c r="E6" s="1077" t="s">
        <v>1348</v>
      </c>
      <c r="F6" s="1094"/>
      <c r="H6" s="1078" t="s">
        <v>1349</v>
      </c>
      <c r="I6" s="1077" t="s">
        <v>114</v>
      </c>
      <c r="J6" s="1068" t="s">
        <v>1350</v>
      </c>
      <c r="L6" s="1080">
        <f>SUM(kind_of_control_method_filter)</f>
        <v>0</v>
      </c>
      <c r="N6" s="1093" t="s">
        <v>1351</v>
      </c>
      <c r="O6" s="1077" t="s">
        <v>1352</v>
      </c>
      <c r="R6" s="144" t="s">
        <v>1234</v>
      </c>
      <c r="T6" s="1078" t="s">
        <v>1353</v>
      </c>
      <c r="U6" s="1080" t="s">
        <v>1333</v>
      </c>
      <c r="V6" s="1084">
        <v>5</v>
      </c>
      <c r="W6" s="1085"/>
      <c r="X6" s="1076" t="s">
        <v>175</v>
      </c>
      <c r="Y6" s="1076" t="s">
        <v>1354</v>
      </c>
      <c r="Z6" s="1092"/>
      <c r="AA6" s="1095"/>
      <c r="AH6" s="1077" t="s">
        <v>1355</v>
      </c>
      <c r="AK6" s="1077" t="s">
        <v>1356</v>
      </c>
      <c r="AM6" s="1077" t="s">
        <v>1357</v>
      </c>
      <c r="AP6" s="1088" t="s">
        <v>175</v>
      </c>
      <c r="AQ6" s="1089" t="s">
        <v>175</v>
      </c>
      <c r="AU6" s="1121" t="s">
        <v>1358</v>
      </c>
      <c r="AW6" s="1121" t="s">
        <v>1359</v>
      </c>
      <c r="AX6" s="1121" t="s">
        <v>1359</v>
      </c>
      <c r="BB6" s="1121" t="s">
        <v>1360</v>
      </c>
      <c r="BC6" s="1121" t="s">
        <v>1341</v>
      </c>
      <c r="BE6" s="1121">
        <v>2004</v>
      </c>
      <c r="BF6" s="1121" t="s">
        <v>1361</v>
      </c>
      <c r="BH6" s="1069" t="s">
        <v>1362</v>
      </c>
      <c r="BJ6" s="1069" t="s">
        <v>1363</v>
      </c>
      <c r="BL6" s="1069" t="s">
        <v>1363</v>
      </c>
      <c r="BN6" s="1069" t="s">
        <v>1364</v>
      </c>
      <c r="BQ6" s="1282">
        <v>4213784</v>
      </c>
      <c r="BR6" s="1296" t="s">
        <v>1273</v>
      </c>
      <c r="BS6" s="1431"/>
      <c r="BT6" s="1282">
        <v>64236872</v>
      </c>
      <c r="BU6" s="1069" t="s">
        <v>246</v>
      </c>
      <c r="BV6" s="1071"/>
      <c r="BW6" s="1696">
        <v>4213768</v>
      </c>
      <c r="BX6" s="1694" t="s">
        <v>266</v>
      </c>
      <c r="BZ6" s="1282">
        <v>64237510</v>
      </c>
      <c r="CA6" s="1069" t="s">
        <v>1365</v>
      </c>
    </row>
    <row customHeight="1" ht="11.25">
      <c r="A7" s="1075" t="s">
        <v>1366</v>
      </c>
      <c r="B7" s="1076">
        <v>2005</v>
      </c>
      <c r="E7" s="1077" t="s">
        <v>1367</v>
      </c>
      <c r="F7" s="1094"/>
      <c r="H7" s="1078" t="s">
        <v>1368</v>
      </c>
      <c r="I7" s="1077" t="s">
        <v>94</v>
      </c>
      <c r="J7" s="1077" t="s">
        <v>1369</v>
      </c>
      <c r="N7" s="1097" t="s">
        <v>1370</v>
      </c>
      <c r="O7" s="1077" t="s">
        <v>1371</v>
      </c>
      <c r="U7" s="1080" t="s">
        <v>19</v>
      </c>
      <c r="V7" s="371" t="s">
        <v>94</v>
      </c>
      <c r="W7" s="1085"/>
      <c r="X7" s="1076" t="s">
        <v>181</v>
      </c>
      <c r="Y7" s="1076" t="s">
        <v>1332</v>
      </c>
      <c r="Z7" s="1092"/>
      <c r="AA7" s="1095"/>
      <c r="AH7" s="1077" t="s">
        <v>1372</v>
      </c>
      <c r="AK7" s="1077" t="s">
        <v>1373</v>
      </c>
      <c r="AM7" s="1077" t="s">
        <v>1374</v>
      </c>
      <c r="AP7" s="1088" t="s">
        <v>181</v>
      </c>
      <c r="AQ7" s="1089" t="s">
        <v>181</v>
      </c>
      <c r="AU7" s="1121" t="s">
        <v>1375</v>
      </c>
      <c r="AW7" s="1121" t="s">
        <v>1376</v>
      </c>
      <c r="AX7" s="1121" t="s">
        <v>1376</v>
      </c>
      <c r="AZ7" s="1068" t="s">
        <v>1377</v>
      </c>
      <c r="BB7" s="1121" t="s">
        <v>1378</v>
      </c>
      <c r="BC7" s="1121" t="s">
        <v>1341</v>
      </c>
      <c r="BE7" s="1121">
        <v>2005</v>
      </c>
      <c r="BF7" s="1121" t="s">
        <v>1379</v>
      </c>
      <c r="BH7" s="1069" t="s">
        <v>1380</v>
      </c>
      <c r="BJ7" s="1069" t="s">
        <v>1362</v>
      </c>
      <c r="BL7" s="1069" t="s">
        <v>1362</v>
      </c>
      <c r="BN7" s="1069" t="s">
        <v>1381</v>
      </c>
      <c r="BQ7" s="1282">
        <v>4213781</v>
      </c>
      <c r="BR7" s="1069" t="s">
        <v>1266</v>
      </c>
      <c r="BS7" s="1430"/>
      <c r="BT7" s="1282">
        <v>64236873</v>
      </c>
      <c r="BU7" s="1069" t="s">
        <v>251</v>
      </c>
      <c r="BV7" s="1071"/>
      <c r="BW7" s="1696">
        <v>4213769</v>
      </c>
      <c r="BX7" s="1694" t="s">
        <v>1382</v>
      </c>
      <c r="BZ7" s="1282">
        <v>64237511</v>
      </c>
      <c r="CA7" s="1069" t="s">
        <v>281</v>
      </c>
    </row>
    <row customHeight="1" ht="11.25">
      <c r="A8" s="1075" t="s">
        <v>1383</v>
      </c>
      <c r="B8" s="1076">
        <v>2006</v>
      </c>
      <c r="E8" s="1077" t="s">
        <v>1384</v>
      </c>
      <c r="F8" s="1094"/>
      <c r="H8" s="1078" t="s">
        <v>1385</v>
      </c>
      <c r="I8" s="1077" t="s">
        <v>95</v>
      </c>
      <c r="J8" s="1077" t="s">
        <v>1386</v>
      </c>
      <c r="N8" s="1164" t="s">
        <v>1387</v>
      </c>
      <c r="O8" s="1077" t="s">
        <v>1388</v>
      </c>
      <c r="V8" s="371" t="s">
        <v>95</v>
      </c>
      <c r="W8" s="1085"/>
      <c r="X8" s="1076" t="s">
        <v>187</v>
      </c>
      <c r="Y8" s="1076" t="s">
        <v>1332</v>
      </c>
      <c r="Z8" s="1092"/>
      <c r="AA8" s="1095"/>
      <c r="AK8" s="1077" t="s">
        <v>1389</v>
      </c>
      <c r="AP8" s="1088" t="s">
        <v>187</v>
      </c>
      <c r="AQ8" s="1089" t="s">
        <v>187</v>
      </c>
      <c r="AU8" s="1121" t="s">
        <v>1390</v>
      </c>
      <c r="AW8" s="1121" t="s">
        <v>1391</v>
      </c>
      <c r="AX8" s="1121" t="s">
        <v>1391</v>
      </c>
      <c r="AZ8" s="1121" t="s">
        <v>1392</v>
      </c>
      <c r="BB8" s="1121" t="s">
        <v>1393</v>
      </c>
      <c r="BC8" s="1121" t="s">
        <v>1341</v>
      </c>
      <c r="BE8" s="1121">
        <v>2006</v>
      </c>
      <c r="BF8" s="1121" t="s">
        <v>1394</v>
      </c>
      <c r="BH8" s="1069" t="s">
        <v>1395</v>
      </c>
      <c r="BJ8" s="1069" t="s">
        <v>1396</v>
      </c>
      <c r="BL8" s="1069" t="s">
        <v>1396</v>
      </c>
      <c r="BN8" s="1069" t="s">
        <v>1397</v>
      </c>
      <c r="BQ8" s="1282">
        <v>4213776</v>
      </c>
      <c r="BR8" s="1069" t="s">
        <v>169</v>
      </c>
      <c r="BS8" s="1430"/>
      <c r="BT8" s="1282">
        <v>64236874</v>
      </c>
      <c r="BU8" s="1296" t="s">
        <v>1398</v>
      </c>
      <c r="BV8" s="1071"/>
      <c r="BW8" s="1696">
        <v>4213770</v>
      </c>
      <c r="BX8" s="1697" t="s">
        <v>1399</v>
      </c>
      <c r="BZ8" s="1282">
        <v>64237512</v>
      </c>
      <c r="CA8" s="1069" t="s">
        <v>276</v>
      </c>
    </row>
    <row customHeight="1" ht="11.25">
      <c r="A9" s="1075" t="s">
        <v>1400</v>
      </c>
      <c r="B9" s="1076">
        <v>2007</v>
      </c>
      <c r="E9" s="1077" t="s">
        <v>1401</v>
      </c>
      <c r="F9" s="1094"/>
      <c r="G9" s="1068" t="s">
        <v>1402</v>
      </c>
      <c r="H9" s="1068" t="s">
        <v>1403</v>
      </c>
      <c r="I9" s="1077" t="s">
        <v>115</v>
      </c>
      <c r="O9" s="1077" t="s">
        <v>1404</v>
      </c>
      <c r="V9" s="371" t="s">
        <v>115</v>
      </c>
      <c r="W9" s="1085"/>
      <c r="X9" s="1076" t="s">
        <v>193</v>
      </c>
      <c r="Y9" s="1076" t="s">
        <v>1240</v>
      </c>
      <c r="Z9" s="1092">
        <v>1</v>
      </c>
      <c r="AA9" s="1095"/>
      <c r="AK9" s="1077" t="s">
        <v>1405</v>
      </c>
      <c r="AP9" s="1088" t="s">
        <v>1406</v>
      </c>
      <c r="AQ9" s="1089" t="s">
        <v>1406</v>
      </c>
      <c r="AW9" s="1121" t="s">
        <v>1407</v>
      </c>
      <c r="AX9" s="1121" t="s">
        <v>1407</v>
      </c>
      <c r="AZ9" s="1121" t="s">
        <v>1408</v>
      </c>
      <c r="BB9" s="1121" t="s">
        <v>1409</v>
      </c>
      <c r="BC9" s="1121" t="s">
        <v>1341</v>
      </c>
      <c r="BE9" s="1121">
        <v>2007</v>
      </c>
      <c r="BF9" s="1121" t="s">
        <v>1410</v>
      </c>
      <c r="BH9" s="1069" t="s">
        <v>1411</v>
      </c>
      <c r="BJ9" s="1069" t="s">
        <v>1412</v>
      </c>
      <c r="BL9" s="1069" t="s">
        <v>1412</v>
      </c>
      <c r="BN9" s="1069" t="s">
        <v>1413</v>
      </c>
      <c r="BQ9" s="1282">
        <v>4213777</v>
      </c>
      <c r="BR9" s="1069" t="s">
        <v>175</v>
      </c>
      <c r="BS9" s="1430"/>
      <c r="BT9" s="1282">
        <v>64236875</v>
      </c>
      <c r="BU9" s="1069" t="s">
        <v>256</v>
      </c>
      <c r="BV9" s="1071"/>
      <c r="BW9" s="1691"/>
      <c r="BX9" s="1691"/>
    </row>
    <row customHeight="1" ht="11.25">
      <c r="A10" s="1075" t="s">
        <v>1414</v>
      </c>
      <c r="B10" s="1076">
        <v>2008</v>
      </c>
      <c r="E10" s="1077" t="s">
        <v>1415</v>
      </c>
      <c r="F10" s="1094"/>
      <c r="G10" s="1077" t="s">
        <v>1416</v>
      </c>
      <c r="H10" s="1077" t="s">
        <v>1417</v>
      </c>
      <c r="I10" s="1077" t="s">
        <v>151</v>
      </c>
      <c r="J10" s="1068" t="s">
        <v>1418</v>
      </c>
      <c r="K10" s="1068" t="s">
        <v>1419</v>
      </c>
      <c r="O10" s="1077" t="s">
        <v>1420</v>
      </c>
      <c r="V10" s="372" t="s">
        <v>151</v>
      </c>
      <c r="W10" s="1098"/>
      <c r="X10" s="1098" t="s">
        <v>1421</v>
      </c>
      <c r="Y10" s="1099" t="s">
        <v>1422</v>
      </c>
      <c r="Z10" s="1092"/>
      <c r="AP10" s="1088" t="s">
        <v>1421</v>
      </c>
      <c r="AQ10" s="1089" t="s">
        <v>1421</v>
      </c>
      <c r="AW10" s="1121" t="s">
        <v>1423</v>
      </c>
      <c r="AX10" s="1121" t="s">
        <v>1423</v>
      </c>
      <c r="AZ10" s="1121" t="s">
        <v>1424</v>
      </c>
      <c r="BB10" s="1121" t="s">
        <v>1425</v>
      </c>
      <c r="BC10" s="1121" t="s">
        <v>1341</v>
      </c>
      <c r="BE10" s="1121">
        <v>2008</v>
      </c>
      <c r="BF10" s="1121" t="s">
        <v>1426</v>
      </c>
      <c r="BH10" s="1069" t="s">
        <v>1427</v>
      </c>
      <c r="BJ10" s="1069" t="s">
        <v>1428</v>
      </c>
      <c r="BL10" s="1069" t="s">
        <v>1428</v>
      </c>
      <c r="BN10" s="1069" t="s">
        <v>1429</v>
      </c>
      <c r="BQ10" s="1282">
        <v>4213778</v>
      </c>
      <c r="BR10" s="1069" t="s">
        <v>181</v>
      </c>
      <c r="BS10" s="1430"/>
      <c r="BT10" s="1282">
        <v>64236876</v>
      </c>
      <c r="BU10" s="1069" t="s">
        <v>225</v>
      </c>
      <c r="BV10" s="1071"/>
      <c r="BW10" s="1691"/>
      <c r="BX10" s="1691"/>
    </row>
    <row customHeight="1" ht="11.25">
      <c r="A11" s="1075" t="s">
        <v>1430</v>
      </c>
      <c r="B11" s="1076">
        <v>2009</v>
      </c>
      <c r="E11" s="1077" t="s">
        <v>1431</v>
      </c>
      <c r="F11" s="1094"/>
      <c r="G11" s="1077" t="s">
        <v>1432</v>
      </c>
      <c r="H11" s="1077" t="s">
        <v>1433</v>
      </c>
      <c r="I11" s="1077" t="s">
        <v>152</v>
      </c>
      <c r="J11" s="1078" t="s">
        <v>1434</v>
      </c>
      <c r="K11" s="1100" t="s">
        <v>1435</v>
      </c>
      <c r="O11" s="1078" t="s">
        <v>1436</v>
      </c>
      <c r="V11" s="371" t="s">
        <v>152</v>
      </c>
      <c r="W11" s="276"/>
      <c r="X11" s="1085" t="s">
        <v>1406</v>
      </c>
      <c r="Y11" s="1076" t="s">
        <v>1437</v>
      </c>
      <c r="Z11" s="1092"/>
      <c r="AP11" s="1088" t="s">
        <v>193</v>
      </c>
      <c r="AQ11" s="1090" t="s">
        <v>193</v>
      </c>
      <c r="AW11" s="1121" t="s">
        <v>1438</v>
      </c>
      <c r="AX11" s="1121" t="s">
        <v>1438</v>
      </c>
      <c r="AZ11" s="1121" t="s">
        <v>1439</v>
      </c>
      <c r="BB11" s="1121" t="s">
        <v>1440</v>
      </c>
      <c r="BC11" s="1121" t="s">
        <v>1341</v>
      </c>
      <c r="BE11" s="1121">
        <v>2009</v>
      </c>
      <c r="BF11" s="1121" t="s">
        <v>1441</v>
      </c>
      <c r="BH11" s="1069" t="s">
        <v>1442</v>
      </c>
      <c r="BJ11" s="1069" t="s">
        <v>1411</v>
      </c>
      <c r="BL11" s="1069" t="s">
        <v>1411</v>
      </c>
      <c r="BN11" s="1069" t="s">
        <v>1443</v>
      </c>
      <c r="BQ11" s="1282">
        <v>4213780</v>
      </c>
      <c r="BR11" s="1069" t="s">
        <v>187</v>
      </c>
      <c r="BS11" s="1430"/>
      <c r="BW11" s="1691"/>
      <c r="BX11" s="1691"/>
    </row>
    <row customHeight="1" ht="11.25">
      <c r="A12" s="1075" t="s">
        <v>1444</v>
      </c>
      <c r="B12" s="1076">
        <v>2010</v>
      </c>
      <c r="E12" s="1077" t="s">
        <v>1445</v>
      </c>
      <c r="F12" s="1094"/>
      <c r="G12" s="1077" t="s">
        <v>1433</v>
      </c>
      <c r="I12" s="1077" t="s">
        <v>153</v>
      </c>
      <c r="J12" s="1078" t="s">
        <v>1446</v>
      </c>
      <c r="K12" s="1100" t="s">
        <v>1447</v>
      </c>
      <c r="O12" s="1078" t="s">
        <v>1234</v>
      </c>
      <c r="V12" s="371" t="s">
        <v>153</v>
      </c>
      <c r="W12" s="1090"/>
      <c r="X12" s="1085" t="s">
        <v>1448</v>
      </c>
      <c r="Y12" s="1076" t="s">
        <v>1240</v>
      </c>
      <c r="AP12" s="1088"/>
      <c r="AW12" s="1121" t="s">
        <v>152</v>
      </c>
      <c r="AX12" s="1121" t="s">
        <v>152</v>
      </c>
      <c r="AZ12" s="1121" t="s">
        <v>1449</v>
      </c>
      <c r="BB12" s="1121" t="s">
        <v>1450</v>
      </c>
      <c r="BC12" s="1121" t="s">
        <v>1341</v>
      </c>
      <c r="BE12" s="1121">
        <v>2010</v>
      </c>
      <c r="BF12" s="1121" t="s">
        <v>1451</v>
      </c>
      <c r="BH12" s="1069" t="s">
        <v>1452</v>
      </c>
      <c r="BJ12" s="1069" t="s">
        <v>1453</v>
      </c>
      <c r="BL12" s="1069" t="s">
        <v>1453</v>
      </c>
      <c r="BN12" s="1069" t="s">
        <v>1454</v>
      </c>
      <c r="BQ12" s="1282">
        <v>4213779</v>
      </c>
      <c r="BR12" s="1069" t="s">
        <v>1406</v>
      </c>
      <c r="BS12" s="1430"/>
      <c r="BT12" s="1071"/>
      <c r="BU12" s="1071"/>
      <c r="BV12" s="1071"/>
      <c r="BW12" s="1691"/>
      <c r="BX12" s="1691"/>
    </row>
    <row customHeight="1" ht="11.25">
      <c r="A13" s="1075" t="s">
        <v>1455</v>
      </c>
      <c r="B13" s="1076">
        <v>2011</v>
      </c>
      <c r="E13" s="1077" t="s">
        <v>1456</v>
      </c>
      <c r="F13" s="1094"/>
      <c r="I13" s="1077" t="s">
        <v>154</v>
      </c>
      <c r="K13" s="1100" t="s">
        <v>1405</v>
      </c>
      <c r="V13" s="371" t="s">
        <v>154</v>
      </c>
      <c r="W13" s="1090"/>
      <c r="X13" s="1090"/>
      <c r="Y13" s="1090"/>
      <c r="AW13" s="1121" t="s">
        <v>153</v>
      </c>
      <c r="AX13" s="1121" t="s">
        <v>153</v>
      </c>
      <c r="BB13" s="1121" t="s">
        <v>1457</v>
      </c>
      <c r="BC13" s="1121" t="s">
        <v>1458</v>
      </c>
      <c r="BE13" s="1121">
        <v>2011</v>
      </c>
      <c r="BF13" s="1121" t="s">
        <v>1459</v>
      </c>
      <c r="BH13" s="1069" t="s">
        <v>1460</v>
      </c>
      <c r="BJ13" s="1069" t="s">
        <v>1442</v>
      </c>
      <c r="BL13" s="1069" t="s">
        <v>1442</v>
      </c>
      <c r="BN13" s="1069" t="s">
        <v>1461</v>
      </c>
      <c r="BQ13" s="1282">
        <v>4213783</v>
      </c>
      <c r="BR13" s="1069" t="s">
        <v>1421</v>
      </c>
      <c r="BS13" s="1430"/>
      <c r="BT13" s="1071"/>
      <c r="BU13" s="1071"/>
      <c r="BV13" s="1071"/>
      <c r="BW13" s="1695"/>
      <c r="BX13" s="1691"/>
    </row>
    <row customHeight="1" ht="11.25">
      <c r="A14" s="1075" t="s">
        <v>1462</v>
      </c>
      <c r="B14" s="1076">
        <v>2012</v>
      </c>
      <c r="I14" s="1077" t="s">
        <v>155</v>
      </c>
      <c r="J14" s="1068" t="s">
        <v>1463</v>
      </c>
      <c r="N14" s="1068" t="s">
        <v>1464</v>
      </c>
      <c r="V14" s="1084">
        <v>13</v>
      </c>
      <c r="W14" s="1085"/>
      <c r="X14" s="1085" t="s">
        <v>1273</v>
      </c>
      <c r="Y14" s="1076" t="s">
        <v>1240</v>
      </c>
      <c r="AW14" s="1121" t="s">
        <v>154</v>
      </c>
      <c r="AX14" s="1121" t="s">
        <v>154</v>
      </c>
      <c r="AZ14" s="1068" t="s">
        <v>1465</v>
      </c>
      <c r="BB14" s="1121" t="s">
        <v>1466</v>
      </c>
      <c r="BC14" s="1121" t="s">
        <v>1458</v>
      </c>
      <c r="BE14" s="1121">
        <v>2012</v>
      </c>
      <c r="BH14" s="1069" t="s">
        <v>1381</v>
      </c>
      <c r="BJ14" s="1218" t="s">
        <v>1467</v>
      </c>
      <c r="BL14" s="1218" t="s">
        <v>1467</v>
      </c>
      <c r="BN14" s="1069" t="s">
        <v>1468</v>
      </c>
      <c r="BQ14" s="1282">
        <v>4213782</v>
      </c>
      <c r="BR14" s="1069" t="s">
        <v>193</v>
      </c>
      <c r="BS14" s="1430"/>
      <c r="BT14" s="1071"/>
      <c r="BU14" s="1071"/>
      <c r="BV14" s="1071"/>
      <c r="BW14" s="1695"/>
      <c r="BX14" s="1691"/>
    </row>
    <row customHeight="1" ht="19.5">
      <c r="A15" s="1075" t="s">
        <v>1469</v>
      </c>
      <c r="B15" s="1076">
        <v>2013</v>
      </c>
      <c r="E15" s="1699" t="s">
        <v>1470</v>
      </c>
      <c r="G15" s="1068" t="s">
        <v>1471</v>
      </c>
      <c r="H15" s="1068" t="s">
        <v>1472</v>
      </c>
      <c r="I15" s="1079" t="s">
        <v>156</v>
      </c>
      <c r="J15" s="1090" t="s">
        <v>594</v>
      </c>
      <c r="N15" s="1159" t="s">
        <v>1473</v>
      </c>
      <c r="X15" s="1088"/>
      <c r="AW15" s="1121" t="s">
        <v>155</v>
      </c>
      <c r="AX15" s="1121" t="s">
        <v>155</v>
      </c>
      <c r="AZ15" s="1121" t="s">
        <v>1392</v>
      </c>
      <c r="BB15" s="1121" t="s">
        <v>1474</v>
      </c>
      <c r="BC15" s="1121" t="s">
        <v>1458</v>
      </c>
      <c r="BE15" s="1121">
        <v>2013</v>
      </c>
      <c r="BH15" s="1069" t="s">
        <v>1397</v>
      </c>
      <c r="BJ15" s="1218" t="s">
        <v>1475</v>
      </c>
      <c r="BL15" s="1218" t="s">
        <v>1475</v>
      </c>
      <c r="BN15" s="1069" t="s">
        <v>1476</v>
      </c>
      <c r="BR15" s="1071"/>
      <c r="BS15" s="1432"/>
      <c r="BT15" s="1071"/>
      <c r="BU15" s="1071"/>
      <c r="BV15" s="1071"/>
      <c r="BW15" s="1695"/>
      <c r="BX15" s="1691"/>
    </row>
    <row customHeight="1" ht="21">
      <c r="A16" s="1871" t="s">
        <v>1477</v>
      </c>
      <c r="B16" s="1076">
        <v>2014</v>
      </c>
      <c r="E16" s="1700" t="s">
        <v>1478</v>
      </c>
      <c r="G16" s="1077" t="s">
        <v>1479</v>
      </c>
      <c r="H16" s="1077" t="s">
        <v>1480</v>
      </c>
      <c r="I16" s="1079" t="s">
        <v>101</v>
      </c>
      <c r="J16" s="1090" t="s">
        <v>567</v>
      </c>
      <c r="N16" s="1159" t="s">
        <v>1481</v>
      </c>
      <c r="AW16" s="1121" t="s">
        <v>156</v>
      </c>
      <c r="AX16" s="1121" t="s">
        <v>156</v>
      </c>
      <c r="AZ16" s="1121" t="s">
        <v>1408</v>
      </c>
      <c r="BB16" s="1121" t="s">
        <v>1482</v>
      </c>
      <c r="BC16" s="1121" t="s">
        <v>1458</v>
      </c>
      <c r="BE16" s="1121">
        <v>2014</v>
      </c>
      <c r="BH16" s="1069" t="s">
        <v>1413</v>
      </c>
      <c r="BJ16" s="1218" t="s">
        <v>1483</v>
      </c>
      <c r="BL16" s="1218" t="s">
        <v>1483</v>
      </c>
      <c r="BN16" s="1069" t="s">
        <v>1484</v>
      </c>
      <c r="BR16" s="1071"/>
      <c r="BS16" s="1432"/>
      <c r="BT16" s="1071"/>
      <c r="BU16" s="1071"/>
      <c r="BV16" s="1071"/>
      <c r="BW16" s="1695"/>
      <c r="BX16" s="1691"/>
    </row>
    <row customHeight="1" ht="21">
      <c r="A17" s="1075" t="s">
        <v>1485</v>
      </c>
      <c r="B17" s="1076">
        <v>2015</v>
      </c>
      <c r="G17" s="1077" t="s">
        <v>1433</v>
      </c>
      <c r="H17" s="1077" t="s">
        <v>1433</v>
      </c>
      <c r="I17" s="1077" t="s">
        <v>1486</v>
      </c>
      <c r="N17" s="1159" t="s">
        <v>1487</v>
      </c>
      <c r="X17" s="1088"/>
      <c r="AW17" s="1121" t="s">
        <v>101</v>
      </c>
      <c r="AX17" s="1121" t="s">
        <v>101</v>
      </c>
      <c r="AZ17" s="1121" t="s">
        <v>1488</v>
      </c>
      <c r="BB17" s="1121" t="s">
        <v>1489</v>
      </c>
      <c r="BC17" s="1121" t="s">
        <v>1341</v>
      </c>
      <c r="BE17" s="1121">
        <v>2015</v>
      </c>
      <c r="BH17" s="1069" t="s">
        <v>1429</v>
      </c>
      <c r="BJ17" s="1218" t="s">
        <v>1490</v>
      </c>
      <c r="BL17" s="1218" t="s">
        <v>1490</v>
      </c>
      <c r="BN17" s="1069" t="s">
        <v>1491</v>
      </c>
      <c r="BR17" s="1068" t="s">
        <v>1284</v>
      </c>
      <c r="BS17" s="1429"/>
      <c r="BU17" s="1068" t="s">
        <v>1492</v>
      </c>
      <c r="BV17" s="1071"/>
      <c r="BW17" s="1691"/>
      <c r="BX17" s="1693" t="s">
        <v>1493</v>
      </c>
      <c r="CA17" s="1068" t="s">
        <v>1494</v>
      </c>
      <c r="CD17" s="1068" t="s">
        <v>1495</v>
      </c>
    </row>
    <row customHeight="1" ht="21">
      <c r="A18" s="1075" t="s">
        <v>1496</v>
      </c>
      <c r="B18" s="1076">
        <v>2016</v>
      </c>
      <c r="E18" s="2006" t="s">
        <v>1497</v>
      </c>
      <c r="I18" s="1077" t="s">
        <v>1498</v>
      </c>
      <c r="N18" s="1159" t="s">
        <v>1499</v>
      </c>
      <c r="X18" s="1088"/>
      <c r="AW18" s="1121" t="s">
        <v>1486</v>
      </c>
      <c r="AX18" s="1121" t="s">
        <v>1486</v>
      </c>
      <c r="BB18" s="1121" t="s">
        <v>1500</v>
      </c>
      <c r="BC18" s="1121" t="s">
        <v>1341</v>
      </c>
      <c r="BE18" s="1121">
        <v>2016</v>
      </c>
      <c r="BH18" s="1069" t="s">
        <v>1443</v>
      </c>
      <c r="BJ18" s="1218" t="s">
        <v>1501</v>
      </c>
      <c r="BL18" s="1218" t="s">
        <v>1501</v>
      </c>
      <c r="BN18" s="1069" t="s">
        <v>1502</v>
      </c>
      <c r="BQ18" s="1433" t="s">
        <v>1314</v>
      </c>
      <c r="BR18" s="1160" t="s">
        <v>1315</v>
      </c>
      <c r="BS18" s="275"/>
      <c r="BT18" s="1433" t="s">
        <v>1503</v>
      </c>
      <c r="BU18" s="1160" t="s">
        <v>1504</v>
      </c>
      <c r="BV18" s="1071"/>
      <c r="BW18" s="1698" t="s">
        <v>1505</v>
      </c>
      <c r="BX18" s="1692" t="s">
        <v>1506</v>
      </c>
      <c r="BZ18" s="1433" t="s">
        <v>1507</v>
      </c>
      <c r="CA18" s="1160" t="s">
        <v>1508</v>
      </c>
      <c r="CC18" s="1433" t="s">
        <v>1509</v>
      </c>
      <c r="CD18" s="1160" t="s">
        <v>1510</v>
      </c>
    </row>
    <row customHeight="1" ht="21">
      <c r="A19" s="1871" t="s">
        <v>1511</v>
      </c>
      <c r="B19" s="1076">
        <v>2017</v>
      </c>
      <c r="E19" s="1075" t="s">
        <v>168</v>
      </c>
      <c r="I19" s="1077" t="s">
        <v>1512</v>
      </c>
      <c r="N19" s="1159" t="s">
        <v>1513</v>
      </c>
      <c r="X19" s="1088"/>
      <c r="AW19" s="1121" t="s">
        <v>1498</v>
      </c>
      <c r="AX19" s="1121" t="s">
        <v>1498</v>
      </c>
      <c r="AZ19" s="1068" t="s">
        <v>1514</v>
      </c>
      <c r="BB19" s="1121" t="s">
        <v>1515</v>
      </c>
      <c r="BC19" s="1121" t="s">
        <v>1341</v>
      </c>
      <c r="BE19" s="1121">
        <v>2017</v>
      </c>
      <c r="BH19" s="1069" t="s">
        <v>1516</v>
      </c>
      <c r="BJ19" s="1218" t="s">
        <v>1517</v>
      </c>
      <c r="BL19" s="1218" t="s">
        <v>1517</v>
      </c>
      <c r="BQ19" s="1282">
        <v>4190064</v>
      </c>
      <c r="BR19" s="1069" t="s">
        <v>1518</v>
      </c>
      <c r="BS19" s="1430"/>
      <c r="BT19" s="1282">
        <v>4189671</v>
      </c>
      <c r="BU19" s="1069" t="s">
        <v>1519</v>
      </c>
      <c r="BV19" s="1071"/>
      <c r="BW19" s="1696">
        <v>4189706</v>
      </c>
      <c r="BX19" s="1694" t="s">
        <v>1520</v>
      </c>
      <c r="BZ19" s="1282">
        <v>4189714</v>
      </c>
      <c r="CA19" s="1069" t="s">
        <v>1521</v>
      </c>
      <c r="CC19" s="1282">
        <v>4189708</v>
      </c>
      <c r="CD19" s="1069" t="s">
        <v>1522</v>
      </c>
    </row>
    <row customHeight="1" ht="21">
      <c r="A20" s="1075" t="s">
        <v>1523</v>
      </c>
      <c r="B20" s="1076">
        <v>2018</v>
      </c>
      <c r="E20" s="1075" t="s">
        <v>1273</v>
      </c>
      <c r="I20" s="1077" t="s">
        <v>1524</v>
      </c>
      <c r="N20" s="1159" t="s">
        <v>1525</v>
      </c>
      <c r="AW20" s="1121" t="s">
        <v>1512</v>
      </c>
      <c r="AX20" s="1121" t="s">
        <v>1512</v>
      </c>
      <c r="AZ20" s="1121" t="s">
        <v>1526</v>
      </c>
      <c r="BB20" s="1121" t="s">
        <v>1527</v>
      </c>
      <c r="BC20" s="1121" t="s">
        <v>1458</v>
      </c>
      <c r="BE20" s="1121">
        <v>2018</v>
      </c>
      <c r="BH20" s="1069" t="s">
        <v>1454</v>
      </c>
      <c r="BJ20" s="1069" t="s">
        <v>1381</v>
      </c>
      <c r="BL20" s="1069" t="s">
        <v>1381</v>
      </c>
      <c r="BQ20" s="1282">
        <v>4190065</v>
      </c>
      <c r="BR20" s="1069" t="s">
        <v>1528</v>
      </c>
      <c r="BS20" s="1430"/>
      <c r="BT20" s="1282">
        <v>4189672</v>
      </c>
      <c r="BU20" s="1069" t="s">
        <v>1529</v>
      </c>
      <c r="BV20" s="1071"/>
      <c r="BW20" s="1696">
        <v>4189705</v>
      </c>
      <c r="BX20" s="1694" t="s">
        <v>1530</v>
      </c>
      <c r="BZ20" s="1282">
        <v>4189713</v>
      </c>
      <c r="CA20" s="1069" t="s">
        <v>1530</v>
      </c>
      <c r="CC20" s="1282">
        <v>4189709</v>
      </c>
      <c r="CD20" s="1069" t="s">
        <v>1531</v>
      </c>
    </row>
    <row customHeight="1" ht="21">
      <c r="A21" s="1075" t="s">
        <v>1532</v>
      </c>
      <c r="B21" s="1076">
        <v>2019</v>
      </c>
      <c r="I21" s="1077" t="s">
        <v>1533</v>
      </c>
      <c r="N21" s="1159" t="s">
        <v>1534</v>
      </c>
      <c r="AW21" s="1121" t="s">
        <v>1524</v>
      </c>
      <c r="AX21" s="1121" t="s">
        <v>1524</v>
      </c>
      <c r="AZ21" s="1121" t="s">
        <v>1535</v>
      </c>
      <c r="BB21" s="1121" t="s">
        <v>1536</v>
      </c>
      <c r="BC21" s="1121" t="s">
        <v>1341</v>
      </c>
      <c r="BE21" s="1121">
        <v>2019</v>
      </c>
      <c r="BH21" s="1069" t="s">
        <v>1461</v>
      </c>
      <c r="BJ21" s="1069" t="s">
        <v>1397</v>
      </c>
      <c r="BL21" s="1069" t="s">
        <v>1397</v>
      </c>
      <c r="BQ21" s="1282">
        <v>4190066</v>
      </c>
      <c r="BR21" s="1069" t="s">
        <v>1537</v>
      </c>
      <c r="BS21" s="1430"/>
      <c r="BT21" s="1282">
        <v>4189673</v>
      </c>
      <c r="BU21" s="1069" t="s">
        <v>1538</v>
      </c>
      <c r="BV21" s="1071"/>
      <c r="BW21" s="1696">
        <v>4189707</v>
      </c>
      <c r="BX21" s="1694" t="s">
        <v>1539</v>
      </c>
      <c r="BZ21" s="1282">
        <v>4189712</v>
      </c>
      <c r="CA21" s="1069" t="s">
        <v>1540</v>
      </c>
      <c r="CC21" s="1282">
        <v>4189710</v>
      </c>
      <c r="CD21" s="1069" t="s">
        <v>1541</v>
      </c>
    </row>
    <row customHeight="1" ht="21">
      <c r="A22" s="1075" t="s">
        <v>1542</v>
      </c>
      <c r="B22" s="1076">
        <v>2020</v>
      </c>
      <c r="N22" s="1159" t="s">
        <v>1543</v>
      </c>
      <c r="AW22" s="1121" t="s">
        <v>1533</v>
      </c>
      <c r="AX22" s="1121" t="s">
        <v>1533</v>
      </c>
      <c r="AZ22" s="1121" t="s">
        <v>1544</v>
      </c>
      <c r="BB22" s="1121" t="s">
        <v>1545</v>
      </c>
      <c r="BC22" s="1121" t="s">
        <v>1341</v>
      </c>
      <c r="BE22" s="1121">
        <v>2020</v>
      </c>
      <c r="BH22" s="1069" t="s">
        <v>1468</v>
      </c>
      <c r="BJ22" s="1069" t="s">
        <v>1413</v>
      </c>
      <c r="BL22" s="1069" t="s">
        <v>1413</v>
      </c>
      <c r="BQ22" s="1282">
        <v>4190067</v>
      </c>
      <c r="BR22" s="1069" t="s">
        <v>1546</v>
      </c>
      <c r="BS22" s="1430"/>
      <c r="BT22" s="1282">
        <v>4189674</v>
      </c>
      <c r="BU22" s="1069" t="s">
        <v>1547</v>
      </c>
      <c r="BV22" s="1071"/>
      <c r="BW22" s="1071"/>
      <c r="CC22" s="1282">
        <v>4189711</v>
      </c>
      <c r="CD22" s="1069" t="s">
        <v>305</v>
      </c>
    </row>
    <row customHeight="1" ht="21">
      <c r="A23" s="1075" t="s">
        <v>1548</v>
      </c>
      <c r="B23" s="1076">
        <v>2021</v>
      </c>
      <c r="AW23" s="1121" t="s">
        <v>1549</v>
      </c>
      <c r="AX23" s="1121" t="s">
        <v>1549</v>
      </c>
      <c r="AZ23" s="1121" t="s">
        <v>1550</v>
      </c>
      <c r="BB23" s="1121" t="s">
        <v>1551</v>
      </c>
      <c r="BC23" s="1121" t="s">
        <v>1251</v>
      </c>
      <c r="BE23" s="1121">
        <v>2021</v>
      </c>
      <c r="BH23" s="1069" t="s">
        <v>1476</v>
      </c>
      <c r="BJ23" s="1069" t="s">
        <v>1429</v>
      </c>
      <c r="BL23" s="1069" t="s">
        <v>1429</v>
      </c>
      <c r="BQ23" s="1282">
        <v>4190068</v>
      </c>
      <c r="BR23" s="1069" t="s">
        <v>1552</v>
      </c>
      <c r="BS23" s="1430"/>
      <c r="BT23" s="1282">
        <v>4189675</v>
      </c>
      <c r="BU23" s="1069" t="s">
        <v>1553</v>
      </c>
      <c r="BV23" s="1071"/>
      <c r="BW23" s="1071"/>
      <c r="CC23" s="1282">
        <v>5110778</v>
      </c>
      <c r="CD23" s="1069" t="s">
        <v>1554</v>
      </c>
    </row>
    <row customHeight="1" ht="21">
      <c r="A24" s="1075" t="s">
        <v>1555</v>
      </c>
      <c r="B24" s="1076">
        <v>2022</v>
      </c>
      <c r="AW24" s="1121" t="s">
        <v>1556</v>
      </c>
      <c r="AX24" s="1121" t="s">
        <v>1556</v>
      </c>
      <c r="AZ24" s="1121" t="s">
        <v>1557</v>
      </c>
      <c r="BB24" s="1121" t="s">
        <v>1558</v>
      </c>
      <c r="BC24" s="1121" t="s">
        <v>1559</v>
      </c>
      <c r="BE24" s="1121">
        <v>2022</v>
      </c>
      <c r="BH24" s="1069" t="s">
        <v>1484</v>
      </c>
      <c r="BJ24" s="1069" t="s">
        <v>1443</v>
      </c>
      <c r="BL24" s="1069" t="s">
        <v>1443</v>
      </c>
      <c r="BQ24" s="1282">
        <v>4190069</v>
      </c>
      <c r="BR24" s="1069" t="s">
        <v>1560</v>
      </c>
      <c r="BS24" s="1430"/>
      <c r="BT24" s="1282">
        <v>4189676</v>
      </c>
      <c r="BU24" s="1069" t="s">
        <v>1561</v>
      </c>
      <c r="BV24" s="1071"/>
      <c r="BW24" s="1071"/>
      <c r="CC24" s="1282">
        <v>25575374</v>
      </c>
      <c r="CD24" s="1069" t="s">
        <v>1562</v>
      </c>
    </row>
    <row customHeight="1" ht="11.25">
      <c r="A25" s="1075" t="s">
        <v>1563</v>
      </c>
      <c r="B25" s="1076">
        <v>2023</v>
      </c>
      <c r="AW25" s="1121" t="s">
        <v>1564</v>
      </c>
      <c r="AX25" s="1121" t="s">
        <v>1564</v>
      </c>
      <c r="AZ25" s="1121" t="s">
        <v>1565</v>
      </c>
      <c r="BB25" s="1121" t="s">
        <v>1566</v>
      </c>
      <c r="BC25" s="1121" t="s">
        <v>1559</v>
      </c>
      <c r="BE25" s="1121">
        <v>2023</v>
      </c>
      <c r="BH25" s="1069" t="s">
        <v>1491</v>
      </c>
      <c r="BJ25" s="1069" t="s">
        <v>1516</v>
      </c>
      <c r="BL25" s="1069" t="s">
        <v>1516</v>
      </c>
      <c r="BQ25" s="1282">
        <v>4190070</v>
      </c>
      <c r="BR25" s="1069" t="s">
        <v>1567</v>
      </c>
      <c r="BS25" s="1430"/>
      <c r="BT25" s="1282">
        <v>4189677</v>
      </c>
      <c r="BU25" s="1069" t="s">
        <v>1568</v>
      </c>
      <c r="BV25" s="1071"/>
      <c r="BW25" s="1071"/>
    </row>
    <row customHeight="1" ht="11.25">
      <c r="A26" s="1075" t="s">
        <v>1569</v>
      </c>
      <c r="B26" s="1076">
        <v>2024</v>
      </c>
      <c r="J26" s="1732" t="s">
        <v>1570</v>
      </c>
      <c r="AX26" s="1121" t="s">
        <v>1571</v>
      </c>
      <c r="AZ26" s="1121" t="s">
        <v>1436</v>
      </c>
      <c r="BB26" s="1121" t="s">
        <v>1572</v>
      </c>
      <c r="BC26" s="1121" t="s">
        <v>1559</v>
      </c>
      <c r="BE26" s="1121">
        <v>2024</v>
      </c>
      <c r="BH26" s="1069" t="s">
        <v>1502</v>
      </c>
      <c r="BJ26" s="1069" t="s">
        <v>1454</v>
      </c>
      <c r="BL26" s="1069" t="s">
        <v>1454</v>
      </c>
      <c r="BQ26" s="1282">
        <v>4190071</v>
      </c>
      <c r="BR26" s="1069" t="s">
        <v>1573</v>
      </c>
      <c r="BS26" s="1430"/>
      <c r="BV26" s="1071"/>
      <c r="BW26" s="1071"/>
    </row>
    <row customHeight="1" ht="11.25">
      <c r="A27" s="1075" t="s">
        <v>1574</v>
      </c>
      <c r="B27" s="1076">
        <v>2025</v>
      </c>
      <c r="J27" s="177" t="s">
        <v>234</v>
      </c>
      <c r="AX27" s="1121" t="s">
        <v>1575</v>
      </c>
      <c r="BB27" s="1121" t="s">
        <v>1576</v>
      </c>
      <c r="BC27" s="1121" t="s">
        <v>1559</v>
      </c>
      <c r="BE27" s="1121">
        <v>2025</v>
      </c>
      <c r="BH27" s="1071" t="s">
        <v>28</v>
      </c>
      <c r="BJ27" s="1069" t="s">
        <v>1461</v>
      </c>
      <c r="BL27" s="1069" t="s">
        <v>1461</v>
      </c>
      <c r="BN27" s="1071" t="s">
        <v>28</v>
      </c>
      <c r="BQ27" s="1282">
        <v>4190072</v>
      </c>
      <c r="BR27" s="1069" t="s">
        <v>1577</v>
      </c>
      <c r="BS27" s="1430"/>
      <c r="BV27" s="1071"/>
      <c r="BW27" s="1071"/>
    </row>
    <row customHeight="1" ht="11.25">
      <c r="A28" s="1075" t="s">
        <v>1578</v>
      </c>
      <c r="D28" s="1102"/>
      <c r="E28" s="1103"/>
      <c r="F28" s="1103"/>
      <c r="H28" s="1104" t="s">
        <v>1579</v>
      </c>
      <c r="AX28" s="1121" t="s">
        <v>1580</v>
      </c>
      <c r="AZ28" s="1068" t="s">
        <v>1581</v>
      </c>
      <c r="BB28" s="1121" t="s">
        <v>1582</v>
      </c>
      <c r="BC28" s="1121" t="s">
        <v>1583</v>
      </c>
      <c r="BE28" s="1121">
        <v>2026</v>
      </c>
      <c r="BH28" s="1071" t="s">
        <v>28</v>
      </c>
      <c r="BJ28" s="1069" t="s">
        <v>1468</v>
      </c>
      <c r="BL28" s="1069" t="s">
        <v>1468</v>
      </c>
      <c r="BN28" s="1071" t="s">
        <v>28</v>
      </c>
      <c r="BQ28" s="1282">
        <v>4190073</v>
      </c>
      <c r="BR28" s="1069" t="s">
        <v>1584</v>
      </c>
      <c r="BS28" s="1430"/>
      <c r="BV28" s="1071"/>
      <c r="BW28" s="1071"/>
    </row>
    <row customHeight="1" ht="11.25">
      <c r="A29" s="1075" t="s">
        <v>1585</v>
      </c>
      <c r="D29" s="1105" t="s">
        <v>1586</v>
      </c>
      <c r="E29" s="1106" t="str">
        <f>IF(TEMPLATE_GROUP="","",INDEX(StartDateList,MATCH(TEMPLATE_GROUP,CodeTemplateList,0),1))</f>
        <v>01.01.2023</v>
      </c>
      <c r="F29" s="1106" t="str">
        <f>IF(TEMPLATE_GROUP="","",INDEX(EndDateList,MATCH(TEMPLATE_GROUP,CodeTemplateList,0),1))</f>
        <v>31.12.2025</v>
      </c>
      <c r="H29" s="1107" t="s">
        <v>1587</v>
      </c>
      <c r="AX29" s="1121" t="s">
        <v>1588</v>
      </c>
      <c r="AZ29" s="1121" t="s">
        <v>1235</v>
      </c>
      <c r="BB29" s="1121" t="s">
        <v>1436</v>
      </c>
      <c r="BC29" s="1092"/>
      <c r="BE29" s="1121">
        <v>2027</v>
      </c>
      <c r="BJ29" s="1069" t="s">
        <v>1476</v>
      </c>
      <c r="BL29" s="1069" t="s">
        <v>1476</v>
      </c>
    </row>
    <row customHeight="1" ht="11.25">
      <c r="A30" s="1075" t="s">
        <v>1589</v>
      </c>
      <c r="D30" s="1108"/>
      <c r="E30" s="1109"/>
      <c r="F30" s="1109"/>
      <c r="AX30" s="1121" t="s">
        <v>1590</v>
      </c>
      <c r="AZ30" s="1121" t="s">
        <v>1262</v>
      </c>
      <c r="BE30" s="1121">
        <v>2028</v>
      </c>
      <c r="BJ30" s="1069" t="s">
        <v>1591</v>
      </c>
      <c r="BL30" s="1069" t="s">
        <v>1591</v>
      </c>
    </row>
    <row customHeight="1" ht="12.75">
      <c r="A31" s="1075" t="s">
        <v>1592</v>
      </c>
      <c r="D31" s="1102"/>
      <c r="E31" s="1103"/>
      <c r="F31" s="1103"/>
      <c r="H31" s="1110"/>
      <c r="AX31" s="1121" t="s">
        <v>1593</v>
      </c>
      <c r="AZ31" s="1121" t="s">
        <v>506</v>
      </c>
      <c r="BE31" s="1121">
        <v>2029</v>
      </c>
      <c r="BJ31" s="1069" t="s">
        <v>1594</v>
      </c>
      <c r="BL31" s="1069" t="s">
        <v>1594</v>
      </c>
    </row>
    <row customHeight="1" ht="11.25">
      <c r="A32" s="1075" t="s">
        <v>1595</v>
      </c>
      <c r="D32" s="1105" t="s">
        <v>1596</v>
      </c>
      <c r="E32" s="1106" t="str">
        <f>IF(TEMPLATE_GROUP="","",INDEX(StartDateList,MATCH(TEMPLATE_GROUP,CodeTemplateList,0),1))</f>
        <v>01.01.2023</v>
      </c>
      <c r="F32" s="1106" t="str">
        <f>IF(TEMPLATE_GROUP="","",INDEX(EndDateList,MATCH(TEMPLATE_GROUP,CodeTemplateList,0),1))</f>
        <v>31.12.2025</v>
      </c>
      <c r="H32" s="1111" t="s">
        <v>1597</v>
      </c>
      <c r="O32" s="1075" t="s">
        <v>1232</v>
      </c>
      <c r="AX32" s="1121" t="s">
        <v>1598</v>
      </c>
      <c r="AZ32" s="1121" t="s">
        <v>505</v>
      </c>
      <c r="BE32" s="1121">
        <v>2030</v>
      </c>
      <c r="BJ32" s="1069" t="s">
        <v>1484</v>
      </c>
      <c r="BL32" s="1069" t="s">
        <v>1484</v>
      </c>
    </row>
    <row customHeight="1" ht="11.25">
      <c r="A33" s="1075" t="s">
        <v>1599</v>
      </c>
      <c r="O33" s="1075" t="s">
        <v>1260</v>
      </c>
      <c r="AX33" s="1121" t="s">
        <v>1600</v>
      </c>
      <c r="AZ33" s="1121" t="s">
        <v>1234</v>
      </c>
      <c r="BE33" s="1121">
        <v>2031</v>
      </c>
      <c r="BJ33" s="1069" t="s">
        <v>1491</v>
      </c>
      <c r="BL33" s="1069" t="s">
        <v>1491</v>
      </c>
    </row>
    <row customHeight="1" ht="11.25">
      <c r="A34" s="1075" t="s">
        <v>1601</v>
      </c>
      <c r="O34" s="1075" t="s">
        <v>1295</v>
      </c>
      <c r="AX34" s="1121" t="s">
        <v>1602</v>
      </c>
      <c r="BE34" s="1121">
        <v>2032</v>
      </c>
      <c r="BJ34" s="1069" t="s">
        <v>1502</v>
      </c>
      <c r="BL34" s="1069" t="s">
        <v>1502</v>
      </c>
    </row>
    <row customHeight="1" ht="11.25">
      <c r="A35" s="1075" t="s">
        <v>1603</v>
      </c>
      <c r="O35" s="1075" t="s">
        <v>1328</v>
      </c>
      <c r="AX35" s="1121" t="s">
        <v>1604</v>
      </c>
      <c r="AZ35" s="1068" t="s">
        <v>1605</v>
      </c>
      <c r="BE35" s="1121">
        <v>2033</v>
      </c>
      <c r="BL35" s="1069" t="s">
        <v>1606</v>
      </c>
    </row>
    <row customHeight="1" ht="11.25">
      <c r="A36" s="1871" t="s">
        <v>1607</v>
      </c>
      <c r="D36" s="1112" t="s">
        <v>1608</v>
      </c>
      <c r="E36" s="1113" t="s">
        <v>864</v>
      </c>
      <c r="F36" s="1114" t="str">
        <f>INDEX(E37:E41,MATCH(TEMPLATE_SPHERE,F37:F41,0))</f>
        <v>холодного водоснабжения</v>
      </c>
      <c r="G36" s="1114" t="str">
        <f>INDEX(G37:G41,MATCH(TEMPLATE_SPHERE,F37:F41,0))</f>
        <v>холодное водоснабжение</v>
      </c>
      <c r="O36" s="1075" t="s">
        <v>1352</v>
      </c>
      <c r="AX36" s="1121" t="s">
        <v>1609</v>
      </c>
      <c r="AZ36" s="1121" t="s">
        <v>1234</v>
      </c>
      <c r="BE36" s="1121">
        <v>2034</v>
      </c>
      <c r="BL36" s="1069" t="s">
        <v>1610</v>
      </c>
    </row>
    <row customHeight="1" ht="11.25">
      <c r="A37" s="1075" t="s">
        <v>1611</v>
      </c>
      <c r="E37" s="408" t="s">
        <v>1612</v>
      </c>
      <c r="F37" s="1115" t="s">
        <v>818</v>
      </c>
      <c r="G37" s="408" t="s">
        <v>1613</v>
      </c>
      <c r="O37" s="1075" t="s">
        <v>1371</v>
      </c>
      <c r="AX37" s="1121" t="s">
        <v>1614</v>
      </c>
      <c r="AZ37" s="1121" t="s">
        <v>1261</v>
      </c>
      <c r="BE37" s="1121">
        <v>2035</v>
      </c>
    </row>
    <row customHeight="1" ht="11.25">
      <c r="A38" s="1075" t="s">
        <v>1615</v>
      </c>
      <c r="E38" s="408" t="s">
        <v>1616</v>
      </c>
      <c r="F38" s="1116" t="s">
        <v>864</v>
      </c>
      <c r="G38" s="408" t="s">
        <v>1617</v>
      </c>
      <c r="O38" s="1075" t="s">
        <v>1388</v>
      </c>
      <c r="AX38" s="1121" t="s">
        <v>1618</v>
      </c>
      <c r="AZ38" s="1121" t="s">
        <v>1296</v>
      </c>
      <c r="BE38" s="1121">
        <v>2036</v>
      </c>
      <c r="BH38" s="1068" t="s">
        <v>1619</v>
      </c>
      <c r="BJ38" s="1068" t="s">
        <v>1620</v>
      </c>
      <c r="BL38" s="1068" t="s">
        <v>1621</v>
      </c>
      <c r="BN38" s="1068" t="s">
        <v>1622</v>
      </c>
    </row>
    <row customHeight="1" ht="11.25">
      <c r="A39" s="1075" t="s">
        <v>1623</v>
      </c>
      <c r="E39" s="408" t="s">
        <v>1624</v>
      </c>
      <c r="F39" s="1116" t="s">
        <v>917</v>
      </c>
      <c r="G39" s="408" t="s">
        <v>1625</v>
      </c>
      <c r="O39" s="1075" t="s">
        <v>1404</v>
      </c>
      <c r="AX39" s="1121" t="s">
        <v>1626</v>
      </c>
      <c r="AZ39" s="1121" t="s">
        <v>1329</v>
      </c>
      <c r="BE39" s="1121">
        <v>2037</v>
      </c>
      <c r="BH39" s="1069" t="s">
        <v>1627</v>
      </c>
      <c r="BJ39" s="1218" t="s">
        <v>1627</v>
      </c>
      <c r="BL39" s="1218" t="s">
        <v>1627</v>
      </c>
      <c r="BN39" s="1069" t="s">
        <v>1628</v>
      </c>
    </row>
    <row customHeight="1" ht="11.25">
      <c r="A40" s="1075" t="s">
        <v>16</v>
      </c>
      <c r="E40" s="408" t="s">
        <v>1629</v>
      </c>
      <c r="F40" s="1116" t="s">
        <v>904</v>
      </c>
      <c r="G40" s="408" t="s">
        <v>1630</v>
      </c>
      <c r="O40" s="1075" t="s">
        <v>1420</v>
      </c>
      <c r="AX40" s="1121" t="s">
        <v>1631</v>
      </c>
      <c r="BE40" s="1121">
        <v>2038</v>
      </c>
      <c r="BH40" s="1069" t="s">
        <v>1632</v>
      </c>
      <c r="BJ40" s="1218" t="s">
        <v>1037</v>
      </c>
      <c r="BL40" s="1218" t="s">
        <v>1037</v>
      </c>
      <c r="BN40" s="1069" t="s">
        <v>1071</v>
      </c>
    </row>
    <row customHeight="1" ht="11.25">
      <c r="A41" s="1075" t="s">
        <v>1633</v>
      </c>
      <c r="E41" s="408" t="s">
        <v>1634</v>
      </c>
      <c r="F41" s="1116" t="s">
        <v>1635</v>
      </c>
      <c r="G41" s="408" t="s">
        <v>1634</v>
      </c>
      <c r="O41" s="1075" t="s">
        <v>1436</v>
      </c>
      <c r="AX41" s="1121" t="s">
        <v>1636</v>
      </c>
      <c r="AZ41" s="1068" t="s">
        <v>1637</v>
      </c>
      <c r="BE41" s="1121">
        <v>2039</v>
      </c>
      <c r="BH41" s="1069" t="s">
        <v>1638</v>
      </c>
      <c r="BJ41" s="1218" t="s">
        <v>1033</v>
      </c>
      <c r="BL41" s="1218" t="s">
        <v>1033</v>
      </c>
      <c r="BN41" s="1069" t="s">
        <v>1058</v>
      </c>
    </row>
    <row customHeight="1" ht="11.25">
      <c r="A42" s="1075" t="s">
        <v>1639</v>
      </c>
      <c r="AX42" s="1121" t="s">
        <v>1640</v>
      </c>
      <c r="AZ42" s="1121" t="s">
        <v>1232</v>
      </c>
      <c r="BE42" s="1121">
        <v>2040</v>
      </c>
      <c r="BH42" s="1069" t="s">
        <v>1055</v>
      </c>
      <c r="BJ42" s="1218" t="s">
        <v>1035</v>
      </c>
      <c r="BL42" s="1218" t="s">
        <v>1035</v>
      </c>
      <c r="BN42" s="1069" t="s">
        <v>1641</v>
      </c>
    </row>
    <row customHeight="1" ht="11.25">
      <c r="A43" s="1075" t="s">
        <v>1642</v>
      </c>
      <c r="AX43" s="1121" t="s">
        <v>1643</v>
      </c>
      <c r="AZ43" s="1121" t="s">
        <v>1260</v>
      </c>
      <c r="BE43" s="1121">
        <v>2041</v>
      </c>
      <c r="BH43" s="1069" t="s">
        <v>1644</v>
      </c>
      <c r="BJ43" s="1218" t="s">
        <v>1638</v>
      </c>
      <c r="BL43" s="1218" t="s">
        <v>1638</v>
      </c>
      <c r="BN43" s="1069" t="s">
        <v>1645</v>
      </c>
    </row>
    <row customHeight="1" ht="11.25">
      <c r="A44" s="1075" t="s">
        <v>1646</v>
      </c>
      <c r="G44" s="1095">
        <f>YEAR(TODAY())</f>
        <v>2025</v>
      </c>
      <c r="I44" s="800" t="s">
        <v>1647</v>
      </c>
      <c r="J44" s="1090" t="s">
        <v>1648</v>
      </c>
      <c r="K44" s="1090" t="s">
        <v>1649</v>
      </c>
      <c r="AX44" s="1121" t="s">
        <v>1650</v>
      </c>
      <c r="AZ44" s="1121" t="s">
        <v>1295</v>
      </c>
      <c r="BE44" s="1121">
        <v>2042</v>
      </c>
      <c r="BH44" s="1069" t="s">
        <v>1651</v>
      </c>
      <c r="BJ44" s="1218" t="s">
        <v>1055</v>
      </c>
      <c r="BL44" s="1218" t="s">
        <v>1055</v>
      </c>
      <c r="BN44" s="1069" t="s">
        <v>1652</v>
      </c>
    </row>
    <row customHeight="1" ht="11.25">
      <c r="A45" s="1075" t="s">
        <v>1653</v>
      </c>
      <c r="D45" s="1112" t="s">
        <v>1654</v>
      </c>
      <c r="E45" s="1113" t="s">
        <v>1655</v>
      </c>
      <c r="F45" s="798" t="s">
        <v>1656</v>
      </c>
      <c r="G45" s="797" t="s">
        <v>1657</v>
      </c>
      <c r="H45" s="800" t="s">
        <v>1658</v>
      </c>
      <c r="I45" s="1742">
        <f>INDEX(PeriodIsEmptyList,MATCH(TEMPLATE_GROUP,CodeTemplateList,0),1)</f>
        <v>0</v>
      </c>
      <c r="J45" s="1745" t="str">
        <f>INDEX(NameTemplatesInTitleList,MATCH(TEMPLATE_GROUP,CodeTemplateList,0),1)</f>
        <v>Показатели, подлежащие раскрытию в сфере холодного водоснабжения (цены и тарифы)</v>
      </c>
      <c r="K45" s="1745"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21" t="s">
        <v>41</v>
      </c>
      <c r="AZ45" s="1121" t="s">
        <v>1328</v>
      </c>
      <c r="BE45" s="1121">
        <v>2043</v>
      </c>
      <c r="BH45" s="1069" t="s">
        <v>1659</v>
      </c>
      <c r="BJ45" s="1218" t="s">
        <v>1049</v>
      </c>
      <c r="BL45" s="1218" t="s">
        <v>1049</v>
      </c>
      <c r="BN45" s="1069" t="s">
        <v>1660</v>
      </c>
    </row>
    <row customHeight="1" ht="11.25">
      <c r="A46" s="1075" t="s">
        <v>1661</v>
      </c>
      <c r="E46" s="408" t="s">
        <v>26</v>
      </c>
      <c r="F46" s="1115" t="s">
        <v>1662</v>
      </c>
      <c r="G46" s="1117" t="str">
        <f>_xlfn.IFERROR(IF(TITLE_DATE_FIL="","01.01."&amp;CURRENT_YEAR,"01.01."&amp;YEAR(TITLE_DATE_FIL)),"01.01."&amp;CURRENT_YEAR)</f>
        <v>01.01.2025</v>
      </c>
      <c r="H46" s="1117" t="str">
        <f>_xlfn.IFERROR(IF(TITLE_DATE_FIL="","31.12."&amp;CURRENT_YEAR,"31.12."&amp;YEAR(TITLE_DATE_FIL)),"31.12."&amp;CURRENT_YEAR)</f>
        <v>31.12.2025</v>
      </c>
      <c r="I46" s="1743">
        <f>IF(TITLE_DATE_FIL="",TRUE,FALSE)</f>
        <v>1</v>
      </c>
      <c r="J46" s="1746" t="str">
        <f>"Общая информация о регулируемой организации ("&amp;TEMPLATE_SPHERE_RUS&amp;")"</f>
        <v>Общая информация о регулируемой организации (холодного водоснабжения)</v>
      </c>
      <c r="K46" s="1747"/>
      <c r="AX46" s="1121" t="s">
        <v>1663</v>
      </c>
      <c r="AZ46" s="1121" t="s">
        <v>1352</v>
      </c>
      <c r="BE46" s="1121">
        <v>2044</v>
      </c>
      <c r="BH46" s="1069" t="s">
        <v>1058</v>
      </c>
      <c r="BJ46" s="1218" t="s">
        <v>1039</v>
      </c>
      <c r="BL46" s="1218" t="s">
        <v>1039</v>
      </c>
      <c r="BN46" s="1069" t="s">
        <v>1664</v>
      </c>
    </row>
    <row customHeight="1" ht="11.25">
      <c r="A47" s="1075" t="s">
        <v>1665</v>
      </c>
      <c r="E47" s="408" t="s">
        <v>33</v>
      </c>
      <c r="F47" s="1116" t="s">
        <v>1666</v>
      </c>
      <c r="G47" s="1117" t="str">
        <f>_xlfn.IFERROR(IF(f_year="","01.01."&amp;CURRENT_YEAR,IF(LEN(f_quart)=0,"01.01."&amp;f_year,IF(f_quart="I квартал","01.01."&amp;f_year,IF(f_quart="II квартал","01.04."&amp;f_year,(IF(f_quart="III квартал","01.07."&amp;f_year,"01.10."&amp;f_year)))))),"01.01."&amp;CURRENT_YEAR)</f>
        <v>01.01.2025</v>
      </c>
      <c r="H47" s="1117" t="str">
        <f>_xlfn.IFERROR(IF(f_year="","31.12."&amp;CURRENT_YEAR,IF(LEN(f_quart)=0,"31.12."&amp;f_year,IF(f_quart="I квартал","31.03."&amp;f_year,IF(f_quart="II квартал","30.06."&amp;f_year,(IF(f_quart="III квартал","30.09."&amp;f_year,"31.12."&amp;f_year)))))),"31.12."&amp;CURRENT_YEAR)</f>
        <v>31.12.2025</v>
      </c>
      <c r="I47" s="1744">
        <f>IF(OR(f_year="",f_quart=""),TRUE,FALSE)</f>
        <v>1</v>
      </c>
      <c r="J47" s="1746"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1747"/>
      <c r="AX47" s="1121" t="s">
        <v>1667</v>
      </c>
      <c r="AZ47" s="1121" t="s">
        <v>1371</v>
      </c>
      <c r="BE47" s="1121">
        <v>2045</v>
      </c>
      <c r="BH47" s="1069" t="s">
        <v>1641</v>
      </c>
      <c r="BJ47" s="1218" t="s">
        <v>1041</v>
      </c>
      <c r="BL47" s="1218" t="s">
        <v>1041</v>
      </c>
      <c r="BN47" s="1069" t="s">
        <v>1668</v>
      </c>
    </row>
    <row customHeight="1" ht="11.25">
      <c r="A48" s="1075" t="s">
        <v>1669</v>
      </c>
      <c r="E48" s="408" t="s">
        <v>1670</v>
      </c>
      <c r="F48" s="1116" t="s">
        <v>1671</v>
      </c>
      <c r="G48" s="1117" t="str">
        <f>_xlfn.IFERROR(IF(f_year="","01.01."&amp;CURRENT_YEAR,"01.01."&amp;f_year),"01.01."&amp;CURRENT_YEAR)</f>
        <v>01.01.2025</v>
      </c>
      <c r="H48" s="1117" t="str">
        <f>_xlfn.IFERROR(IF(f_year="","31.12."&amp;CURRENT_YEAR,"31.12."&amp;f_year),"31.12."&amp;CURRENT_YEAR)</f>
        <v>31.12.2025</v>
      </c>
      <c r="I48" s="1743">
        <f>IF(f_year="",TRUE,FALSE)</f>
        <v>1</v>
      </c>
      <c r="J48" s="1746" t="s">
        <v>1672</v>
      </c>
      <c r="K48" s="1747"/>
      <c r="AX48" s="1121" t="s">
        <v>1673</v>
      </c>
      <c r="AZ48" s="1121" t="s">
        <v>1388</v>
      </c>
      <c r="BE48" s="1121">
        <v>2046</v>
      </c>
      <c r="BH48" s="1069" t="s">
        <v>1645</v>
      </c>
      <c r="BJ48" s="1218" t="s">
        <v>1043</v>
      </c>
      <c r="BL48" s="1218" t="s">
        <v>1043</v>
      </c>
      <c r="BN48" s="1069" t="s">
        <v>1674</v>
      </c>
    </row>
    <row customHeight="1" ht="11.25">
      <c r="A49" s="1075" t="s">
        <v>1675</v>
      </c>
      <c r="E49" s="408" t="s">
        <v>1676</v>
      </c>
      <c r="F49" s="1116" t="s">
        <v>1677</v>
      </c>
      <c r="G49" s="1117" t="str">
        <f>_xlfn.IFERROR(IF(f_year="","01.01."&amp;CURRENT_YEAR,"01.01."&amp;f_year),"01.01."&amp;CURRENT_YEAR)</f>
        <v>01.01.2025</v>
      </c>
      <c r="H49" s="1117" t="str">
        <f>_xlfn.IFERROR(IF(f_year="","31.12."&amp;CURRENT_YEAR,"31.12."&amp;f_year),"31.12."&amp;CURRENT_YEAR)</f>
        <v>31.12.2025</v>
      </c>
      <c r="I49" s="1743">
        <f>IF(f_year="",TRUE,FALSE)</f>
        <v>1</v>
      </c>
      <c r="J49" s="1746"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1747"/>
      <c r="AX49" s="1121" t="s">
        <v>1678</v>
      </c>
      <c r="AZ49" s="1121" t="s">
        <v>1404</v>
      </c>
      <c r="BE49" s="1121">
        <v>2047</v>
      </c>
      <c r="BH49" s="1069" t="s">
        <v>1059</v>
      </c>
      <c r="BJ49" s="1218" t="s">
        <v>1045</v>
      </c>
      <c r="BL49" s="1218" t="s">
        <v>1045</v>
      </c>
    </row>
    <row customHeight="1" ht="11.25">
      <c r="A50" s="1075" t="s">
        <v>1679</v>
      </c>
      <c r="E50" s="408" t="s">
        <v>1680</v>
      </c>
      <c r="F50" s="1116" t="s">
        <v>1029</v>
      </c>
      <c r="G50" s="1117" t="str">
        <f>_xlfn.IFERROR(IF(f_year="","01.01."&amp;CURRENT_YEAR,"01.01."&amp;f_year),"01.01."&amp;CURRENT_YEAR)</f>
        <v>01.01.2025</v>
      </c>
      <c r="H50" s="1117" t="str">
        <f>_xlfn.IFERROR(IF(f_year="","31.12."&amp;CURRENT_YEAR,"31.12."&amp;f_year),"31.12."&amp;CURRENT_YEAR)</f>
        <v>31.12.2025</v>
      </c>
      <c r="I50" s="1743">
        <f>IF(f_year="",TRUE,FALSE)</f>
        <v>1</v>
      </c>
      <c r="J50" s="1746"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1747"/>
      <c r="AX50" s="1121" t="s">
        <v>1681</v>
      </c>
      <c r="AZ50" s="1121" t="s">
        <v>1420</v>
      </c>
      <c r="BE50" s="1121">
        <v>2048</v>
      </c>
      <c r="BH50" s="1069" t="s">
        <v>1652</v>
      </c>
      <c r="BJ50" s="1218" t="s">
        <v>1047</v>
      </c>
      <c r="BL50" s="1218" t="s">
        <v>1047</v>
      </c>
    </row>
    <row customHeight="1" ht="11.25">
      <c r="A51" s="1075" t="s">
        <v>1682</v>
      </c>
      <c r="E51" s="408" t="s">
        <v>1683</v>
      </c>
      <c r="F51" s="1116" t="s">
        <v>1684</v>
      </c>
      <c r="G51" s="1117" t="str">
        <f>_xlfn.IFERROR(IF(TITLE_PERIOD_START="","01.01."&amp;CURRENT_YEAR,"01.01."&amp;YEAR(TITLE_PERIOD_START)),"01.01."&amp;CURRENT_YEAR)</f>
        <v>01.01.2023</v>
      </c>
      <c r="H51" s="1117" t="str">
        <f>_xlfn.IFERROR(IF(TITLE_PERIOD_END="","31.12."&amp;CURRENT_YEAR,"31.12."&amp;YEAR(TITLE_PERIOD_END)),"31.12."&amp;CURRENT_YEAR)</f>
        <v>31.12.2025</v>
      </c>
      <c r="I51" s="1744">
        <f>IF(OR(TITLE_PERIOD_START="",TITLE_PERIOD_END=""),TRUE,FALSE)</f>
        <v>0</v>
      </c>
      <c r="J51" s="1746"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47"/>
      <c r="AX51" s="1121" t="s">
        <v>1685</v>
      </c>
      <c r="AZ51" s="1121" t="s">
        <v>1436</v>
      </c>
      <c r="BE51" s="1121">
        <v>2049</v>
      </c>
      <c r="BH51" s="1069" t="s">
        <v>1660</v>
      </c>
      <c r="BJ51" s="1218" t="s">
        <v>1686</v>
      </c>
      <c r="BL51" s="1218" t="s">
        <v>1686</v>
      </c>
    </row>
    <row customHeight="1" ht="11.25">
      <c r="A52" s="1075" t="s">
        <v>1687</v>
      </c>
      <c r="E52" s="408" t="s">
        <v>1688</v>
      </c>
      <c r="F52" s="1116" t="s">
        <v>1655</v>
      </c>
      <c r="G52" s="1117" t="str">
        <f>_xlfn.IFERROR(IF(TITLE_PERIOD_START="","01.01."&amp;CURRENT_YEAR,"01.01."&amp;YEAR(TITLE_PERIOD_START)),"01.01."&amp;CURRENT_YEAR)</f>
        <v>01.01.2023</v>
      </c>
      <c r="H52" s="1117" t="str">
        <f>_xlfn.IFERROR(IF(TITLE_PERIOD_END="","31.12."&amp;CURRENT_YEAR,"31.12."&amp;YEAR(TITLE_PERIOD_END)),"31.12."&amp;CURRENT_YEAR)</f>
        <v>31.12.2025</v>
      </c>
      <c r="I52" s="1744">
        <f>IF(OR(TITLE_PERIOD_START="",TITLE_PERIOD_END=""),TRUE,FALSE)</f>
        <v>0</v>
      </c>
      <c r="J52" s="1746"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1747"/>
      <c r="AX52" s="1121" t="s">
        <v>1689</v>
      </c>
      <c r="AZ52" s="1121" t="s">
        <v>1234</v>
      </c>
      <c r="BE52" s="1121">
        <v>2050</v>
      </c>
      <c r="BH52" s="1069" t="s">
        <v>1664</v>
      </c>
      <c r="BJ52" s="1218" t="s">
        <v>1058</v>
      </c>
      <c r="BL52" s="1218" t="s">
        <v>1058</v>
      </c>
    </row>
    <row customHeight="1" ht="11.25">
      <c r="A53" s="1075" t="s">
        <v>1690</v>
      </c>
      <c r="E53" s="408" t="s">
        <v>1691</v>
      </c>
      <c r="F53" s="1116" t="s">
        <v>1691</v>
      </c>
      <c r="G53" s="1117" t="str">
        <f>_xlfn.IFERROR(IF(f_year="","01.01."&amp;CURRENT_YEAR,"01.01."&amp;f_year),"01.01."&amp;CURRENT_YEAR)</f>
        <v>01.01.2025</v>
      </c>
      <c r="H53" s="1117" t="str">
        <f>_xlfn.IFERROR(IF(f_year="","31.12."&amp;CURRENT_YEAR,"31.12."&amp;f_year),"31.12."&amp;CURRENT_YEAR)</f>
        <v>31.12.2025</v>
      </c>
      <c r="I53" s="1743">
        <f>IF(AND(f_year="",TITLE_DATE_FIL=""),TRUE,FALSE)</f>
        <v>1</v>
      </c>
      <c r="J53" s="1746" t="s">
        <v>1692</v>
      </c>
      <c r="K53" s="1747"/>
      <c r="AX53" s="1121" t="s">
        <v>1693</v>
      </c>
      <c r="BE53" s="1121">
        <v>2051</v>
      </c>
      <c r="BH53" s="1069" t="s">
        <v>1668</v>
      </c>
      <c r="BJ53" s="1218" t="s">
        <v>1641</v>
      </c>
      <c r="BL53" s="1218" t="s">
        <v>1641</v>
      </c>
    </row>
    <row customHeight="1" ht="11.25">
      <c r="A54" s="1075" t="s">
        <v>1694</v>
      </c>
      <c r="AX54" s="1121" t="s">
        <v>1695</v>
      </c>
      <c r="AZ54" s="1068" t="s">
        <v>1696</v>
      </c>
      <c r="BE54" s="1121">
        <v>2052</v>
      </c>
      <c r="BH54" s="1069" t="s">
        <v>1674</v>
      </c>
      <c r="BJ54" s="1218" t="s">
        <v>1645</v>
      </c>
      <c r="BL54" s="1218" t="s">
        <v>1645</v>
      </c>
    </row>
    <row customHeight="1" ht="11.25">
      <c r="A55" s="1075" t="s">
        <v>1697</v>
      </c>
      <c r="AX55" s="1121" t="s">
        <v>1698</v>
      </c>
      <c r="AZ55" s="1121" t="s">
        <v>1236</v>
      </c>
      <c r="BE55" s="1121">
        <v>2053</v>
      </c>
      <c r="BH55" s="1071" t="s">
        <v>28</v>
      </c>
      <c r="BJ55" s="1218" t="s">
        <v>1059</v>
      </c>
      <c r="BL55" s="1218" t="s">
        <v>1059</v>
      </c>
    </row>
    <row customHeight="1" ht="11.25">
      <c r="A56" s="1075" t="s">
        <v>1699</v>
      </c>
      <c r="D56" s="1119" t="s">
        <v>1700</v>
      </c>
      <c r="E56" s="1096" t="s">
        <v>114</v>
      </c>
      <c r="F56" s="1075" t="s">
        <v>1701</v>
      </c>
      <c r="AX56" s="1121" t="s">
        <v>1702</v>
      </c>
      <c r="AZ56" s="1121" t="s">
        <v>1263</v>
      </c>
      <c r="BE56" s="1121">
        <v>2054</v>
      </c>
      <c r="BH56" s="1071" t="s">
        <v>28</v>
      </c>
      <c r="BJ56" s="1218" t="s">
        <v>1652</v>
      </c>
      <c r="BL56" s="1218" t="s">
        <v>1652</v>
      </c>
    </row>
    <row customHeight="1" ht="11.25">
      <c r="A57" s="1075" t="s">
        <v>1703</v>
      </c>
      <c r="D57" s="1119" t="s">
        <v>1704</v>
      </c>
      <c r="E57" s="1096" t="s">
        <v>114</v>
      </c>
      <c r="F57" s="1075" t="s">
        <v>1701</v>
      </c>
      <c r="AX57" s="1121" t="s">
        <v>1705</v>
      </c>
      <c r="AZ57" s="1121" t="s">
        <v>1298</v>
      </c>
      <c r="BE57" s="1121">
        <v>2055</v>
      </c>
      <c r="BJ57" s="1218" t="s">
        <v>1660</v>
      </c>
      <c r="BL57" s="1218" t="s">
        <v>1660</v>
      </c>
    </row>
    <row customHeight="1" ht="11.25">
      <c r="A58" s="1075" t="s">
        <v>1706</v>
      </c>
      <c r="D58" s="1119" t="s">
        <v>1707</v>
      </c>
      <c r="E58" s="1096" t="s">
        <v>114</v>
      </c>
      <c r="F58" s="1075" t="s">
        <v>1701</v>
      </c>
      <c r="AX58" s="1121" t="s">
        <v>1708</v>
      </c>
      <c r="BE58" s="1121">
        <v>2056</v>
      </c>
      <c r="BJ58" s="1218" t="s">
        <v>1664</v>
      </c>
      <c r="BL58" s="1218" t="s">
        <v>1664</v>
      </c>
    </row>
    <row customHeight="1" ht="11.25">
      <c r="A59" s="1075" t="s">
        <v>1709</v>
      </c>
      <c r="D59" s="1119" t="s">
        <v>134</v>
      </c>
      <c r="E59" s="1096" t="s">
        <v>1598</v>
      </c>
      <c r="F59" s="1075" t="s">
        <v>1710</v>
      </c>
      <c r="AX59" s="1121" t="s">
        <v>1711</v>
      </c>
      <c r="AZ59" s="1068" t="s">
        <v>1712</v>
      </c>
      <c r="BE59" s="1121">
        <v>2057</v>
      </c>
      <c r="BJ59" s="1218" t="s">
        <v>1668</v>
      </c>
      <c r="BL59" s="1218" t="s">
        <v>1668</v>
      </c>
    </row>
    <row customHeight="1" ht="11.25">
      <c r="A60" s="1075" t="s">
        <v>1713</v>
      </c>
      <c r="D60" s="1119" t="s">
        <v>1714</v>
      </c>
      <c r="E60" s="1096" t="s">
        <v>1598</v>
      </c>
      <c r="F60" s="1075" t="s">
        <v>1710</v>
      </c>
      <c r="AX60" s="1121" t="s">
        <v>47</v>
      </c>
      <c r="AZ60" s="1121" t="s">
        <v>1237</v>
      </c>
      <c r="BE60" s="1121">
        <v>2058</v>
      </c>
      <c r="BJ60" s="1218" t="s">
        <v>1674</v>
      </c>
      <c r="BL60" s="1218" t="s">
        <v>1674</v>
      </c>
    </row>
    <row customHeight="1" ht="11.25">
      <c r="A61" s="1075" t="s">
        <v>1715</v>
      </c>
      <c r="D61" s="1119" t="s">
        <v>1716</v>
      </c>
      <c r="E61" s="1096" t="s">
        <v>1717</v>
      </c>
      <c r="F61" s="1075" t="s">
        <v>1710</v>
      </c>
      <c r="AX61" s="1121" t="s">
        <v>1718</v>
      </c>
      <c r="AZ61" s="1121" t="s">
        <v>1264</v>
      </c>
      <c r="BE61" s="1121">
        <v>2059</v>
      </c>
      <c r="BL61" s="1218" t="s">
        <v>1051</v>
      </c>
    </row>
    <row customHeight="1" ht="11.25">
      <c r="A62" s="1075" t="s">
        <v>1719</v>
      </c>
      <c r="D62" s="1119" t="s">
        <v>133</v>
      </c>
      <c r="E62" s="1096">
        <v>31</v>
      </c>
      <c r="F62" s="1075" t="s">
        <v>1710</v>
      </c>
      <c r="AZ62" s="1121" t="s">
        <v>1299</v>
      </c>
      <c r="BE62" s="1121">
        <v>2060</v>
      </c>
      <c r="BL62" s="1218" t="s">
        <v>1053</v>
      </c>
    </row>
    <row customHeight="1" ht="11.25">
      <c r="A63" s="1075" t="s">
        <v>1720</v>
      </c>
      <c r="D63" s="1119" t="s">
        <v>1721</v>
      </c>
      <c r="E63" s="1096">
        <v>31</v>
      </c>
      <c r="F63" s="1075" t="s">
        <v>1710</v>
      </c>
      <c r="AZ63" s="1121" t="s">
        <v>1330</v>
      </c>
      <c r="BE63" s="1121">
        <v>2061</v>
      </c>
    </row>
    <row customHeight="1" ht="11.25">
      <c r="A64" s="1075" t="s">
        <v>1722</v>
      </c>
      <c r="D64" s="1119" t="s">
        <v>1723</v>
      </c>
      <c r="E64" s="1096">
        <v>31</v>
      </c>
      <c r="F64" s="1075" t="s">
        <v>1710</v>
      </c>
      <c r="AZ64" s="1121" t="s">
        <v>1353</v>
      </c>
      <c r="BE64" s="1121">
        <v>2062</v>
      </c>
    </row>
    <row customHeight="1" ht="11.25">
      <c r="A65" s="1075" t="s">
        <v>1724</v>
      </c>
      <c r="D65" s="1075"/>
      <c r="BE65" s="1121">
        <v>2063</v>
      </c>
    </row>
    <row customHeight="1" ht="11.25">
      <c r="A66" s="1075" t="s">
        <v>1725</v>
      </c>
      <c r="AZ66" s="1068" t="s">
        <v>1726</v>
      </c>
      <c r="BE66" s="1121">
        <v>2064</v>
      </c>
    </row>
    <row customHeight="1" ht="11.25">
      <c r="A67" s="1075" t="s">
        <v>1727</v>
      </c>
      <c r="AZ67" s="1121" t="s">
        <v>1238</v>
      </c>
      <c r="BE67" s="1121">
        <v>2065</v>
      </c>
    </row>
    <row customHeight="1" ht="11.25">
      <c r="A68" s="1075" t="s">
        <v>1728</v>
      </c>
      <c r="AZ68" s="1121" t="s">
        <v>1265</v>
      </c>
      <c r="BE68" s="1121">
        <v>2066</v>
      </c>
      <c r="BH68" s="1068" t="s">
        <v>1729</v>
      </c>
      <c r="BJ68" s="1068" t="s">
        <v>1730</v>
      </c>
      <c r="BL68" s="1068" t="s">
        <v>1731</v>
      </c>
      <c r="BN68" s="1068" t="s">
        <v>1732</v>
      </c>
    </row>
    <row customHeight="1" ht="11.25">
      <c r="A69" s="1075" t="s">
        <v>1733</v>
      </c>
      <c r="AZ69" s="1121" t="s">
        <v>1300</v>
      </c>
      <c r="BE69" s="1121">
        <v>2067</v>
      </c>
      <c r="BH69" s="1069" t="s">
        <v>1734</v>
      </c>
      <c r="BI69" s="1118" t="s">
        <v>112</v>
      </c>
      <c r="BJ69" s="1069" t="s">
        <v>1735</v>
      </c>
      <c r="BK69" s="1118" t="s">
        <v>112</v>
      </c>
      <c r="BL69" s="1069" t="s">
        <v>1736</v>
      </c>
      <c r="BM69" s="1071" t="s">
        <v>112</v>
      </c>
      <c r="BN69" s="1069" t="s">
        <v>1737</v>
      </c>
    </row>
    <row customHeight="1" ht="11.25">
      <c r="A70" s="1075" t="s">
        <v>1738</v>
      </c>
      <c r="AZ70" s="1121" t="s">
        <v>1331</v>
      </c>
      <c r="BE70" s="1121">
        <v>2068</v>
      </c>
      <c r="BH70" s="1069" t="s">
        <v>1739</v>
      </c>
      <c r="BJ70" s="1069" t="s">
        <v>1740</v>
      </c>
      <c r="BL70" s="1069" t="s">
        <v>1741</v>
      </c>
      <c r="BN70" s="1069" t="s">
        <v>1742</v>
      </c>
    </row>
    <row customHeight="1" ht="11.25">
      <c r="A71" s="1075" t="s">
        <v>1743</v>
      </c>
      <c r="AZ71" s="1121" t="s">
        <v>1333</v>
      </c>
      <c r="BE71" s="1121">
        <v>2069</v>
      </c>
      <c r="BH71" s="1069" t="s">
        <v>1744</v>
      </c>
      <c r="BI71" s="1118" t="s">
        <v>92</v>
      </c>
      <c r="BJ71" s="1069" t="s">
        <v>1745</v>
      </c>
      <c r="BK71" s="1118" t="s">
        <v>92</v>
      </c>
      <c r="BL71" s="1069" t="s">
        <v>1746</v>
      </c>
      <c r="BM71" s="1071" t="s">
        <v>92</v>
      </c>
      <c r="BN71" s="1069" t="s">
        <v>1747</v>
      </c>
    </row>
    <row customHeight="1" ht="11.25">
      <c r="A72" s="1075" t="s">
        <v>1748</v>
      </c>
      <c r="AZ72" s="1121" t="s">
        <v>19</v>
      </c>
      <c r="BE72" s="1121">
        <v>2070</v>
      </c>
      <c r="BH72" s="1069" t="s">
        <v>1749</v>
      </c>
      <c r="BJ72" s="1069" t="s">
        <v>1749</v>
      </c>
      <c r="BL72" s="1069" t="s">
        <v>1749</v>
      </c>
      <c r="BN72" s="1069" t="s">
        <v>1750</v>
      </c>
    </row>
    <row customHeight="1" ht="11.25">
      <c r="A73" s="1075" t="s">
        <v>1751</v>
      </c>
      <c r="BH73" s="1069" t="s">
        <v>1752</v>
      </c>
      <c r="BI73" s="1118" t="s">
        <v>114</v>
      </c>
      <c r="BJ73" s="1069" t="s">
        <v>1753</v>
      </c>
      <c r="BK73" s="1118" t="s">
        <v>114</v>
      </c>
      <c r="BL73" s="1069" t="s">
        <v>1754</v>
      </c>
      <c r="BM73" s="1071" t="s">
        <v>114</v>
      </c>
      <c r="BN73" s="1069" t="s">
        <v>1755</v>
      </c>
    </row>
    <row customHeight="1" ht="11.25">
      <c r="A74" s="1075" t="s">
        <v>1756</v>
      </c>
      <c r="BH74" s="1069" t="s">
        <v>1757</v>
      </c>
      <c r="BJ74" s="1069" t="s">
        <v>1758</v>
      </c>
      <c r="BL74" s="1069" t="s">
        <v>1759</v>
      </c>
      <c r="BN74" s="1069" t="s">
        <v>1760</v>
      </c>
    </row>
    <row customHeight="1" ht="11.25">
      <c r="A75" s="1075" t="s">
        <v>1761</v>
      </c>
      <c r="AZ75" s="1068" t="s">
        <v>1762</v>
      </c>
      <c r="BH75" s="1069" t="s">
        <v>1763</v>
      </c>
      <c r="BJ75" s="1069" t="s">
        <v>1763</v>
      </c>
      <c r="BL75" s="1069" t="s">
        <v>1763</v>
      </c>
    </row>
    <row customHeight="1" ht="11.25">
      <c r="A76" s="1075" t="s">
        <v>1764</v>
      </c>
      <c r="AZ76" s="1121" t="s">
        <v>1247</v>
      </c>
      <c r="BH76" s="1069" t="s">
        <v>1765</v>
      </c>
      <c r="BJ76" s="1069" t="s">
        <v>1766</v>
      </c>
      <c r="BL76" s="1069" t="s">
        <v>1767</v>
      </c>
    </row>
    <row customHeight="1" ht="11.25">
      <c r="A77" s="1075" t="s">
        <v>1768</v>
      </c>
      <c r="AZ77" s="1121" t="s">
        <v>1275</v>
      </c>
    </row>
    <row customHeight="1" ht="11.25">
      <c r="A78" s="1075" t="s">
        <v>1769</v>
      </c>
      <c r="AZ78" s="1121" t="s">
        <v>1307</v>
      </c>
    </row>
    <row customHeight="1" ht="11.25">
      <c r="A79" s="1075" t="s">
        <v>1770</v>
      </c>
      <c r="AZ79" s="1121" t="s">
        <v>1337</v>
      </c>
      <c r="BH79" s="1068" t="s">
        <v>1771</v>
      </c>
      <c r="BJ79" s="1068" t="s">
        <v>1772</v>
      </c>
      <c r="BL79" s="1068" t="s">
        <v>1773</v>
      </c>
    </row>
    <row customHeight="1" ht="11.25">
      <c r="A80" s="1075" t="s">
        <v>1774</v>
      </c>
      <c r="AZ80" s="1121" t="s">
        <v>1358</v>
      </c>
      <c r="BH80" s="1069" t="s">
        <v>1775</v>
      </c>
      <c r="BJ80" s="1069" t="s">
        <v>1776</v>
      </c>
      <c r="BL80" s="1069" t="s">
        <v>1777</v>
      </c>
    </row>
    <row customHeight="1" ht="11.25">
      <c r="A81" s="1075" t="s">
        <v>1778</v>
      </c>
      <c r="AZ81" s="1121" t="s">
        <v>1375</v>
      </c>
      <c r="BH81" s="1069" t="s">
        <v>1779</v>
      </c>
      <c r="BJ81" s="1069" t="s">
        <v>1780</v>
      </c>
      <c r="BL81" s="1069" t="s">
        <v>1781</v>
      </c>
    </row>
    <row customHeight="1" ht="11.25">
      <c r="A82" s="1075" t="s">
        <v>1782</v>
      </c>
      <c r="AZ82" s="1121" t="s">
        <v>1390</v>
      </c>
      <c r="BH82" s="1069" t="s">
        <v>1783</v>
      </c>
      <c r="BJ82" s="1069" t="s">
        <v>1784</v>
      </c>
      <c r="BL82" s="1069" t="s">
        <v>1785</v>
      </c>
    </row>
    <row customHeight="1" ht="11.25">
      <c r="A83" s="1075" t="s">
        <v>1786</v>
      </c>
      <c r="BH83" s="1069" t="s">
        <v>1787</v>
      </c>
      <c r="BJ83" s="1069" t="s">
        <v>1788</v>
      </c>
      <c r="BL83" s="1069" t="s">
        <v>1789</v>
      </c>
    </row>
    <row customHeight="1" ht="11.25">
      <c r="A84" s="1075" t="s">
        <v>1790</v>
      </c>
      <c r="AZ84" s="1068" t="s">
        <v>1791</v>
      </c>
    </row>
    <row customHeight="1" ht="11.25">
      <c r="A85" s="1871" t="s">
        <v>1792</v>
      </c>
      <c r="AZ85" s="1121" t="s">
        <v>1793</v>
      </c>
    </row>
    <row customHeight="1" ht="11.25">
      <c r="A86" s="1075" t="s">
        <v>1794</v>
      </c>
      <c r="AZ86" s="1121" t="s">
        <v>1795</v>
      </c>
      <c r="BH86" s="1068" t="s">
        <v>1796</v>
      </c>
      <c r="BJ86" s="1068" t="s">
        <v>1797</v>
      </c>
      <c r="BL86" s="1068" t="s">
        <v>1798</v>
      </c>
    </row>
    <row customHeight="1" ht="11.25">
      <c r="A87" s="1075" t="s">
        <v>1799</v>
      </c>
      <c r="AZ87" s="1121" t="s">
        <v>1800</v>
      </c>
      <c r="BH87" s="1069" t="s">
        <v>1801</v>
      </c>
      <c r="BJ87" s="1069" t="s">
        <v>1802</v>
      </c>
      <c r="BL87" s="1069" t="s">
        <v>1803</v>
      </c>
    </row>
    <row customHeight="1" ht="11.25">
      <c r="A88" s="1075" t="s">
        <v>1804</v>
      </c>
      <c r="AZ88" s="1607"/>
      <c r="BH88" s="1069" t="s">
        <v>1805</v>
      </c>
      <c r="BJ88" s="1069" t="s">
        <v>1806</v>
      </c>
      <c r="BL88" s="1069" t="s">
        <v>1807</v>
      </c>
    </row>
    <row customHeight="1" ht="11.25">
      <c r="A89" s="1075" t="s">
        <v>1808</v>
      </c>
      <c r="AZ89" s="1068" t="s">
        <v>1809</v>
      </c>
    </row>
    <row customHeight="1" ht="11.25">
      <c r="A90" s="1075" t="s">
        <v>1810</v>
      </c>
      <c r="AZ90" s="1121" t="s">
        <v>1029</v>
      </c>
    </row>
    <row customHeight="1" ht="11.25">
      <c r="A91" s="1075" t="s">
        <v>1811</v>
      </c>
      <c r="AZ91" s="1121" t="s">
        <v>1065</v>
      </c>
      <c r="BH91" s="1068" t="s">
        <v>1812</v>
      </c>
      <c r="BJ91" s="1068" t="s">
        <v>1813</v>
      </c>
      <c r="BL91" s="1068" t="s">
        <v>1814</v>
      </c>
    </row>
    <row customHeight="1" ht="11.25">
      <c r="AZ92" s="1121" t="s">
        <v>1815</v>
      </c>
      <c r="BH92" s="1069" t="s">
        <v>1816</v>
      </c>
      <c r="BJ92" s="1069" t="s">
        <v>1817</v>
      </c>
      <c r="BL92" s="1069" t="s">
        <v>1818</v>
      </c>
    </row>
    <row customHeight="1" ht="11.25">
      <c r="AZ93" s="1121" t="s">
        <v>1819</v>
      </c>
      <c r="BH93" s="1069" t="s">
        <v>1820</v>
      </c>
      <c r="BJ93" s="1069" t="s">
        <v>1821</v>
      </c>
      <c r="BL93" s="1069" t="s">
        <v>1822</v>
      </c>
    </row>
    <row customHeight="1" ht="11.25">
      <c r="AZ94" s="1121" t="s">
        <v>1823</v>
      </c>
    </row>
    <row r="96" customHeight="1" ht="11.25">
      <c r="AZ96" s="1068" t="s">
        <v>1824</v>
      </c>
      <c r="BH96" s="1068" t="s">
        <v>1825</v>
      </c>
      <c r="BJ96" s="1068" t="s">
        <v>1826</v>
      </c>
      <c r="BL96" s="1068" t="s">
        <v>1827</v>
      </c>
      <c r="BN96" s="1068" t="s">
        <v>1828</v>
      </c>
    </row>
    <row customHeight="1" ht="11.25">
      <c r="AZ97" s="1902" t="s">
        <v>1829</v>
      </c>
      <c r="BA97" s="1903" t="s">
        <v>1830</v>
      </c>
      <c r="BH97" s="1069" t="s">
        <v>1831</v>
      </c>
      <c r="BJ97" s="1069" t="s">
        <v>1832</v>
      </c>
      <c r="BL97" s="1069" t="s">
        <v>1833</v>
      </c>
      <c r="BN97" s="1069" t="s">
        <v>1834</v>
      </c>
    </row>
    <row customHeight="1" ht="11.25">
      <c r="AZ98" s="1902" t="s">
        <v>1835</v>
      </c>
      <c r="BA98" s="1903" t="s">
        <v>1836</v>
      </c>
      <c r="BH98" s="1069" t="s">
        <v>1837</v>
      </c>
      <c r="BJ98" s="1069" t="s">
        <v>1838</v>
      </c>
      <c r="BL98" s="1069" t="s">
        <v>1839</v>
      </c>
      <c r="BN98" s="1069" t="s">
        <v>1840</v>
      </c>
    </row>
    <row customHeight="1" ht="22.5">
      <c r="AZ99" s="1902" t="s">
        <v>1841</v>
      </c>
      <c r="BA99" s="1903"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69" t="s">
        <v>1842</v>
      </c>
      <c r="BJ99" s="1069" t="s">
        <v>1843</v>
      </c>
      <c r="BL99" s="1069" t="s">
        <v>1844</v>
      </c>
      <c r="BN99" s="1069" t="s">
        <v>1845</v>
      </c>
    </row>
    <row customHeight="1" ht="22.5">
      <c r="AZ100" s="1902" t="s">
        <v>1846</v>
      </c>
      <c r="BA100"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069" t="s">
        <v>1436</v>
      </c>
      <c r="BL100" s="1069" t="s">
        <v>1436</v>
      </c>
      <c r="BN100" s="1069" t="s">
        <v>1847</v>
      </c>
    </row>
    <row customHeight="1" ht="22.5">
      <c r="AZ101" s="1902" t="s">
        <v>1848</v>
      </c>
      <c r="BA101" s="1903" t="s">
        <v>1849</v>
      </c>
      <c r="BN101" s="1069" t="s">
        <v>1850</v>
      </c>
    </row>
    <row customHeight="1" ht="22.5">
      <c r="AZ102" s="1902" t="s">
        <v>1851</v>
      </c>
      <c r="BA102"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069" t="s">
        <v>1852</v>
      </c>
    </row>
    <row customHeight="1" ht="11.25">
      <c r="AZ103" s="1902" t="s">
        <v>1853</v>
      </c>
      <c r="BA103" s="1903" t="s">
        <v>1854</v>
      </c>
      <c r="BN103" s="1069" t="s">
        <v>1855</v>
      </c>
    </row>
    <row customHeight="1" ht="11.25">
      <c r="BN104" s="1069" t="s">
        <v>1856</v>
      </c>
    </row>
    <row customHeight="1" ht="11.25">
      <c r="AZ105" s="1693" t="s">
        <v>1857</v>
      </c>
    </row>
    <row customHeight="1" ht="11.25">
      <c r="AZ106" s="1121" t="s">
        <v>1858</v>
      </c>
    </row>
    <row customHeight="1" ht="11.25">
      <c r="AZ107" s="1121" t="s">
        <v>1859</v>
      </c>
      <c r="BH107" s="1068" t="s">
        <v>1860</v>
      </c>
      <c r="BJ107" s="1068" t="s">
        <v>1861</v>
      </c>
      <c r="BL107" s="1068" t="s">
        <v>1862</v>
      </c>
      <c r="BN107" s="1068" t="s">
        <v>1863</v>
      </c>
    </row>
    <row customHeight="1" ht="11.25">
      <c r="AZ108" s="1121" t="s">
        <v>582</v>
      </c>
      <c r="BH108" s="1069" t="s">
        <v>1864</v>
      </c>
      <c r="BJ108" s="1069" t="s">
        <v>1865</v>
      </c>
      <c r="BL108" s="1069" t="s">
        <v>1521</v>
      </c>
      <c r="BN108" s="1069" t="s">
        <v>1866</v>
      </c>
    </row>
    <row customHeight="1" ht="11.25">
      <c r="BH109" s="1069" t="s">
        <v>1867</v>
      </c>
    </row>
    <row customHeight="1" ht="11.25">
      <c r="AZ110" s="1693" t="s">
        <v>1868</v>
      </c>
      <c r="BH110" s="1069" t="s">
        <v>1867</v>
      </c>
    </row>
    <row customHeight="1" ht="11.25">
      <c r="AZ111" s="1902" t="s">
        <v>1829</v>
      </c>
      <c r="BA111" s="1903" t="s">
        <v>1830</v>
      </c>
    </row>
    <row customHeight="1" ht="11.25">
      <c r="AZ112" s="1902" t="s">
        <v>1835</v>
      </c>
      <c r="BA112" s="1903" t="s">
        <v>1836</v>
      </c>
    </row>
    <row customHeight="1" ht="22.5">
      <c r="AZ113" s="1902" t="s">
        <v>1841</v>
      </c>
      <c r="BA113" s="1903"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2" t="s">
        <v>1846</v>
      </c>
      <c r="BA114"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068" t="s">
        <v>1869</v>
      </c>
    </row>
    <row customHeight="1" ht="22.5">
      <c r="AZ115" s="1902" t="s">
        <v>1851</v>
      </c>
      <c r="BA115"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069" t="s">
        <v>1234</v>
      </c>
    </row>
    <row customHeight="1" ht="11.25">
      <c r="AZ116" s="1902" t="s">
        <v>1853</v>
      </c>
      <c r="BA116" s="1903" t="s">
        <v>1854</v>
      </c>
      <c r="BH116" s="1069" t="s">
        <v>1261</v>
      </c>
    </row>
    <row customHeight="1" ht="11.25">
      <c r="BH117" s="1069" t="s">
        <v>1296</v>
      </c>
    </row>
    <row customHeight="1" ht="11.25">
      <c r="BH118" s="1069" t="s">
        <v>1329</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5BD2FBB-7C98-DEAB-FB95-0.B60F2FDF}" mc:Ignorable="x14ac xr xr2 xr3">
  <dimension ref="A1:J25"/>
  <sheetViews>
    <sheetView topLeftCell="A1" showGridLines="0" zoomScale="90" workbookViewId="0">
      <selection activeCell="A1" sqref="A1"/>
    </sheetView>
  </sheetViews>
  <sheetFormatPr defaultColWidth="9.140625" customHeight="1" defaultRowHeight="11.25"/>
  <cols>
    <col min="1" max="2" style="502" width="15.00390625" hidden="1" customWidth="1"/>
    <col min="3" max="3" style="456" width="3.00390625" customWidth="1"/>
    <col min="4" max="4" style="457" width="6.00390625" customWidth="1"/>
    <col min="5" max="5" style="456" width="52.00390625" customWidth="1"/>
    <col min="6" max="6" style="456" width="48.00390625" customWidth="1"/>
    <col min="7" max="7" style="456" width="93.00390625" customWidth="1"/>
    <col min="8" max="8" style="456" width="8.00390625" customWidth="1"/>
    <col min="9" max="9" style="456" width="64.00390625" customWidth="1"/>
    <col min="10" max="10" style="456" width="9.140625" hidden="1"/>
  </cols>
  <sheetData>
    <row customHeight="1" ht="11.25" hidden="1">
      <c r="A1" s="502" t="s">
        <v>311</v>
      </c>
      <c r="J1" s="456" t="s">
        <v>14</v>
      </c>
    </row>
    <row customHeight="1" ht="22.5" hidden="1">
      <c r="A2" s="503"/>
      <c r="B2" s="503"/>
      <c r="C2" s="1731" t="s">
        <v>234</v>
      </c>
      <c r="D2" s="1521"/>
      <c r="E2" s="1527"/>
      <c r="F2" s="1550"/>
      <c r="H2" s="476"/>
      <c r="J2" s="456">
        <v>0</v>
      </c>
    </row>
    <row customHeight="1" ht="11.25" hidden="1">
      <c r="J3" s="456">
        <v>0</v>
      </c>
    </row>
    <row customHeight="1" ht="11.549999999999999">
      <c r="A4" s="1551"/>
      <c r="B4" s="1551"/>
      <c r="J4" s="456">
        <v>11</v>
      </c>
    </row>
    <row customHeight="1" ht="27.299999999999997">
      <c r="D5" s="2239"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240"/>
      <c r="F5" s="2241"/>
      <c r="I5" s="716"/>
      <c r="J5" s="456">
        <v>26</v>
      </c>
    </row>
    <row customHeight="1" ht="18">
      <c r="D6" s="2177" t="str">
        <f>IF(region_name=0,"Не определено",region_name)</f>
        <v>Ненецкий автономный округ</v>
      </c>
      <c r="E6" s="2177"/>
      <c r="F6" s="2177"/>
      <c r="I6" s="716"/>
      <c r="J6" s="456">
        <v>17</v>
      </c>
    </row>
    <row s="478" customFormat="1" customHeight="1" ht="11.549999999999999">
      <c r="A7" s="502"/>
      <c r="B7" s="502"/>
      <c r="D7" s="715"/>
      <c r="E7" s="715"/>
      <c r="F7" s="753"/>
      <c r="G7" s="715"/>
      <c r="J7" s="478">
        <v>11</v>
      </c>
    </row>
    <row customHeight="1" ht="11.25" hidden="1">
      <c r="A8" s="503"/>
      <c r="B8" s="503"/>
      <c r="C8" s="458"/>
      <c r="D8" s="464"/>
      <c r="E8" s="2208"/>
      <c r="F8" s="2208"/>
      <c r="J8" s="456">
        <v>0</v>
      </c>
    </row>
    <row customHeight="1" ht="11.549999999999999">
      <c r="A9" s="503"/>
      <c r="B9" s="503"/>
      <c r="C9" s="458"/>
      <c r="D9" s="2205" t="s">
        <v>312</v>
      </c>
      <c r="E9" s="2206"/>
      <c r="F9" s="2206"/>
      <c r="G9" s="2209" t="s">
        <v>313</v>
      </c>
      <c r="J9" s="456">
        <v>11</v>
      </c>
    </row>
    <row customHeight="1" ht="11.549999999999999">
      <c r="A10" s="503"/>
      <c r="B10" s="503"/>
      <c r="C10" s="458"/>
      <c r="D10" s="1475" t="s">
        <v>90</v>
      </c>
      <c r="E10" s="1477" t="s">
        <v>314</v>
      </c>
      <c r="F10" s="1477" t="s">
        <v>315</v>
      </c>
      <c r="G10" s="2210"/>
      <c r="J10" s="456">
        <v>11</v>
      </c>
    </row>
    <row customHeight="1" ht="1.05">
      <c r="A11" s="503"/>
      <c r="B11" s="503"/>
      <c r="C11" s="458"/>
      <c r="D11" s="465"/>
      <c r="E11" s="465"/>
      <c r="F11" s="465"/>
      <c r="G11" s="465"/>
      <c r="J11" s="456">
        <v>1</v>
      </c>
    </row>
    <row customHeight="1" ht="24">
      <c r="A12" s="503"/>
      <c r="B12" s="503"/>
      <c r="C12" s="458"/>
      <c r="D12" s="1521">
        <v>1</v>
      </c>
      <c r="E12" s="475"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909" t="str">
        <f>IF(org="","",org)</f>
        <v>ИМУП «ПОСЖИЛКОМСЕРВИС»</v>
      </c>
      <c r="G12" s="475"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534"/>
      <c r="J12" s="456">
        <v>23</v>
      </c>
    </row>
    <row customHeight="1" ht="19.95">
      <c r="A13" s="503"/>
      <c r="B13" s="503"/>
      <c r="C13" s="458"/>
      <c r="D13" s="1521">
        <v>2</v>
      </c>
      <c r="E13" s="1528" t="s">
        <v>1870</v>
      </c>
      <c r="F13" s="1522" t="s">
        <v>318</v>
      </c>
      <c r="G13" s="475"/>
      <c r="H13" s="1534"/>
      <c r="J13" s="456">
        <v>19</v>
      </c>
    </row>
    <row customHeight="1" ht="19.95">
      <c r="A14" s="503"/>
      <c r="B14" s="503"/>
      <c r="C14" s="458"/>
      <c r="D14" s="1524" t="s">
        <v>719</v>
      </c>
      <c r="E14" s="1525" t="s">
        <v>1871</v>
      </c>
      <c r="F14" s="1527"/>
      <c r="G14" s="1526" t="s">
        <v>1872</v>
      </c>
      <c r="H14" s="1534"/>
      <c r="J14" s="456">
        <v>19</v>
      </c>
    </row>
    <row customHeight="1" ht="19.95">
      <c r="A15" s="503"/>
      <c r="B15" s="503"/>
      <c r="C15" s="458"/>
      <c r="D15" s="1524" t="s">
        <v>319</v>
      </c>
      <c r="E15" s="1525" t="s">
        <v>1873</v>
      </c>
      <c r="F15" s="1527"/>
      <c r="G15" s="1526" t="s">
        <v>1874</v>
      </c>
      <c r="H15" s="1534"/>
      <c r="J15" s="456">
        <v>19</v>
      </c>
    </row>
    <row customHeight="1" ht="24">
      <c r="A16" s="503"/>
      <c r="B16" s="503"/>
      <c r="C16" s="458"/>
      <c r="D16" s="1524" t="s">
        <v>322</v>
      </c>
      <c r="E16" s="1523" t="s">
        <v>1875</v>
      </c>
      <c r="F16" s="1532"/>
      <c r="G16" s="475" t="s">
        <v>1876</v>
      </c>
      <c r="H16" s="1534"/>
      <c r="J16" s="456">
        <v>23</v>
      </c>
    </row>
    <row customHeight="1" ht="48.29999999999999">
      <c r="A17" s="503"/>
      <c r="B17" s="503"/>
      <c r="C17" s="458"/>
      <c r="D17" s="1521">
        <v>3</v>
      </c>
      <c r="E17" s="1528" t="s">
        <v>1877</v>
      </c>
      <c r="F17" s="1527"/>
      <c r="G17" s="475" t="s">
        <v>1878</v>
      </c>
      <c r="H17" s="1534"/>
      <c r="J17" s="456">
        <v>46</v>
      </c>
    </row>
    <row customHeight="1" ht="48.29999999999999">
      <c r="A18" s="1476">
        <v>1</v>
      </c>
      <c r="B18" s="503"/>
      <c r="C18" s="1478"/>
      <c r="D18" s="1521" t="s">
        <v>93</v>
      </c>
      <c r="E18" s="1528" t="s">
        <v>1879</v>
      </c>
      <c r="F18" s="1527"/>
      <c r="G18" s="475" t="s">
        <v>1878</v>
      </c>
      <c r="H18" s="1534"/>
      <c r="I18" s="853"/>
      <c r="J18" s="456">
        <v>46</v>
      </c>
    </row>
    <row customHeight="1" ht="23.25">
      <c r="A19" s="503"/>
      <c r="B19" s="503"/>
      <c r="C19" s="458"/>
      <c r="D19" s="1521" t="s">
        <v>114</v>
      </c>
      <c r="E19" s="1528" t="s">
        <v>1880</v>
      </c>
      <c r="F19" s="1522" t="s">
        <v>318</v>
      </c>
      <c r="G19" s="2472" t="s">
        <v>1881</v>
      </c>
      <c r="H19" s="476"/>
      <c r="J19" s="456">
        <v>22</v>
      </c>
    </row>
    <row s="1531" customFormat="1" customHeight="1" ht="5.25" hidden="1">
      <c r="A20" s="503"/>
      <c r="B20" s="503"/>
      <c r="C20" s="1530"/>
      <c r="D20" s="1529" t="s">
        <v>1126</v>
      </c>
      <c r="E20" s="1015"/>
      <c r="F20" s="1014"/>
      <c r="G20" s="2473"/>
      <c r="J20" s="1531">
        <v>0</v>
      </c>
    </row>
    <row customHeight="1" ht="15.75">
      <c r="A21" s="503"/>
      <c r="B21" s="503"/>
      <c r="C21" s="458"/>
      <c r="D21" s="468"/>
      <c r="E21" s="416" t="s">
        <v>351</v>
      </c>
      <c r="F21" s="470"/>
      <c r="G21" s="2474"/>
      <c r="H21" s="1534"/>
      <c r="J21" s="456">
        <v>15</v>
      </c>
    </row>
    <row s="502" customFormat="1" customHeight="1" ht="26.25">
      <c r="A22" s="503"/>
      <c r="B22" s="503"/>
      <c r="C22" s="503"/>
      <c r="D22" s="1521" t="s">
        <v>94</v>
      </c>
      <c r="E22" s="475" t="s">
        <v>1882</v>
      </c>
      <c r="F22" s="1527"/>
      <c r="G22" s="475" t="s">
        <v>1883</v>
      </c>
      <c r="H22" s="1533"/>
      <c r="J22" s="502">
        <v>25</v>
      </c>
    </row>
    <row s="502" customFormat="1" customHeight="1" ht="19.95">
      <c r="A23" s="503"/>
      <c r="B23" s="503"/>
      <c r="C23" s="503"/>
      <c r="D23" s="1521" t="s">
        <v>95</v>
      </c>
      <c r="E23" s="1528" t="s">
        <v>1884</v>
      </c>
      <c r="F23" s="1532"/>
      <c r="G23" s="475" t="s">
        <v>1885</v>
      </c>
      <c r="H23" s="1533"/>
      <c r="J23" s="502">
        <v>19</v>
      </c>
    </row>
    <row s="502" customFormat="1" customHeight="1" ht="144" hidden="1">
      <c r="A24" s="503"/>
      <c r="B24" s="503"/>
      <c r="C24" s="503"/>
      <c r="D24" s="1521" t="s">
        <v>115</v>
      </c>
      <c r="E24" s="1898"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899"/>
      <c r="G24" s="1897"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533"/>
      <c r="J24" s="502">
        <v>0</v>
      </c>
    </row>
    <row customHeight="1" ht="11.25" hidden="1">
      <c r="A25" s="502" t="s">
        <v>84</v>
      </c>
      <c r="B25" s="502">
        <v>0</v>
      </c>
      <c r="C25" s="456">
        <v>3</v>
      </c>
      <c r="D25" s="457">
        <v>6</v>
      </c>
      <c r="E25" s="456">
        <v>52</v>
      </c>
      <c r="F25" s="456">
        <v>48</v>
      </c>
      <c r="G25" s="456">
        <v>93</v>
      </c>
      <c r="H25" s="456">
        <v>8</v>
      </c>
      <c r="I25" s="456">
        <v>64</v>
      </c>
      <c r="J25" s="456">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CA6E70B-94E3-1AAE-00B4-0.914E4CB6}" mc:Ignorable="x14ac xr xr2 xr3">
  <dimension ref="A1:IU24"/>
  <sheetViews>
    <sheetView topLeftCell="A1" showGridLines="0" zoomScale="90" workbookViewId="0">
      <selection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46.00390625" customWidth="1"/>
    <col min="7" max="8" style="1636" width="16.00390625" customWidth="1"/>
    <col min="9" max="9" style="1636" width="35.00390625" customWidth="1"/>
    <col min="10" max="10" style="1636" width="89.00390625" customWidth="1"/>
    <col min="11" max="11" style="1625" width="3.00390625" customWidth="1"/>
    <col min="12" max="14" style="1625" width="8.00390625" customWidth="1"/>
    <col min="15" max="15" style="1625" width="25.00390625" customWidth="1"/>
    <col min="16" max="16" style="1625" width="14.00390625" customWidth="1"/>
    <col min="17" max="20" style="226" width="8.00390625" customWidth="1"/>
    <col min="21" max="254" style="1636" width="8.00390625" customWidth="1"/>
    <col min="255" max="255" style="1636" width="9.140625" hidden="1"/>
  </cols>
  <sheetData>
    <row customHeight="1" ht="22.5" hidden="1">
      <c r="F1" s="1632" t="s">
        <v>1886</v>
      </c>
      <c r="G1" s="1632" t="s">
        <v>51</v>
      </c>
      <c r="H1" s="1632" t="s">
        <v>53</v>
      </c>
      <c r="IU1" s="1156" t="s">
        <v>14</v>
      </c>
    </row>
    <row s="1851" customFormat="1" customHeight="1" ht="22.5" hidden="1">
      <c r="A2" s="832"/>
      <c r="B2" s="1161">
        <v>1</v>
      </c>
      <c r="C2" s="1161"/>
      <c r="D2" s="1929" t="s">
        <v>234</v>
      </c>
      <c r="E2" s="1485"/>
      <c r="F2" s="1492"/>
      <c r="G2" s="1492"/>
      <c r="H2" s="1492"/>
      <c r="I2" s="1985"/>
      <c r="J2" s="1986"/>
      <c r="K2" s="1536"/>
      <c r="L2" s="512"/>
      <c r="M2" s="512"/>
      <c r="N2" s="501" t="str">
        <f t="array" ref="N2:N2">IF(ISERROR(MATCH(MID(O2,1,250),MID(note_ter,1,250),0)),"n","y")</f>
        <v>n</v>
      </c>
      <c r="O2" s="512"/>
      <c r="P2" s="501" t="str">
        <f>G2&amp;"("&amp;J2&amp;")"</f>
        <v>()</v>
      </c>
      <c r="Q2" s="1161"/>
      <c r="R2" s="1161"/>
      <c r="S2" s="421"/>
      <c r="T2" s="1161"/>
      <c r="U2" s="1161"/>
      <c r="V2" s="1161"/>
      <c r="W2" s="423"/>
      <c r="X2" s="423"/>
      <c r="Y2" s="420"/>
      <c r="Z2" s="420"/>
      <c r="AA2" s="420"/>
      <c r="AB2" s="420"/>
      <c r="AC2" s="420"/>
      <c r="AD2" s="420"/>
      <c r="AE2" s="420"/>
      <c r="AF2" s="420"/>
      <c r="AG2" s="420"/>
      <c r="AH2" s="420"/>
      <c r="AI2" s="420"/>
      <c r="AJ2" s="420"/>
      <c r="AK2" s="420"/>
      <c r="AL2" s="420"/>
      <c r="AM2" s="420"/>
      <c r="AN2" s="420"/>
      <c r="AO2" s="420"/>
      <c r="AP2" s="420"/>
      <c r="AQ2" s="420"/>
      <c r="AR2" s="420"/>
      <c r="AS2" s="420"/>
      <c r="AT2" s="420"/>
      <c r="AU2" s="420"/>
      <c r="AV2" s="420"/>
      <c r="AW2" s="420"/>
      <c r="AX2" s="420"/>
      <c r="AY2" s="420"/>
      <c r="AZ2" s="420"/>
      <c r="BA2" s="420"/>
      <c r="BB2" s="420"/>
      <c r="BC2" s="420"/>
      <c r="BD2" s="420"/>
      <c r="BE2" s="420"/>
      <c r="BF2" s="420"/>
      <c r="BG2" s="420"/>
      <c r="BH2" s="420"/>
      <c r="BI2" s="420"/>
      <c r="BJ2" s="420"/>
      <c r="BK2" s="420"/>
      <c r="BL2" s="420"/>
      <c r="BM2" s="420"/>
      <c r="BN2" s="420"/>
      <c r="BO2" s="420"/>
      <c r="BP2" s="420"/>
      <c r="BQ2" s="420"/>
      <c r="BR2" s="420"/>
      <c r="BS2" s="420"/>
      <c r="BT2" s="423"/>
      <c r="BU2" s="423"/>
      <c r="BV2" s="423"/>
      <c r="BW2" s="423"/>
      <c r="BX2" s="423"/>
      <c r="BY2" s="423"/>
      <c r="BZ2" s="423"/>
      <c r="CA2" s="423"/>
      <c r="CB2" s="423"/>
      <c r="CC2" s="423"/>
      <c r="IU2" s="424">
        <v>0</v>
      </c>
    </row>
    <row s="1643" customFormat="1" customHeight="1" ht="4.2">
      <c r="A3" s="497"/>
      <c r="D3" s="495"/>
      <c r="F3" s="248" t="s">
        <v>85</v>
      </c>
      <c r="G3" s="495" t="s">
        <v>86</v>
      </c>
      <c r="H3" s="495"/>
      <c r="I3" s="495"/>
      <c r="J3" s="228" t="s">
        <v>87</v>
      </c>
      <c r="K3" s="248" t="s">
        <v>85</v>
      </c>
      <c r="L3" s="248"/>
      <c r="M3" s="248"/>
      <c r="N3" s="248"/>
      <c r="O3" s="249"/>
      <c r="P3" s="248"/>
      <c r="Q3" s="248"/>
      <c r="R3" s="248"/>
      <c r="S3" s="248"/>
      <c r="T3" s="24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512">
        <v>4</v>
      </c>
    </row>
    <row s="1820" customFormat="1" customHeight="1" ht="14.699999999999998">
      <c r="A4" s="1156"/>
      <c r="B4" s="1161"/>
      <c r="C4" s="1156"/>
      <c r="D4" s="1496"/>
      <c r="E4" s="510"/>
      <c r="F4" s="1643"/>
      <c r="G4" s="510"/>
      <c r="H4" s="510"/>
      <c r="I4" s="510"/>
      <c r="J4" s="167"/>
      <c r="K4" s="248"/>
      <c r="L4" s="501"/>
      <c r="M4" s="501"/>
      <c r="N4" s="501"/>
      <c r="O4" s="227"/>
      <c r="P4" s="501"/>
      <c r="Q4" s="226"/>
      <c r="R4" s="226"/>
      <c r="S4" s="226"/>
      <c r="T4" s="226"/>
      <c r="IU4" s="508">
        <v>14</v>
      </c>
    </row>
    <row s="1820" customFormat="1" customHeight="1" ht="27.299999999999997">
      <c r="A5" s="1156"/>
      <c r="B5" s="1161"/>
      <c r="C5" s="1156"/>
      <c r="D5" s="1496"/>
      <c r="E5" s="2101"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01"/>
      <c r="G5" s="2101"/>
      <c r="H5" s="2101"/>
      <c r="I5" s="2101"/>
      <c r="J5" s="2101"/>
      <c r="K5" s="248"/>
      <c r="L5" s="501"/>
      <c r="M5" s="501"/>
      <c r="N5" s="501"/>
      <c r="O5" s="227"/>
      <c r="P5" s="501"/>
      <c r="Q5" s="226"/>
      <c r="R5" s="226"/>
      <c r="S5" s="226"/>
      <c r="T5" s="226"/>
      <c r="IU5" s="508">
        <v>26</v>
      </c>
    </row>
    <row s="1820" customFormat="1" customHeight="1" ht="14.699999999999998">
      <c r="A6" s="1156"/>
      <c r="B6" s="1161"/>
      <c r="C6" s="1156"/>
      <c r="D6" s="1496"/>
      <c r="E6" s="510"/>
      <c r="F6" s="168"/>
      <c r="G6" s="168"/>
      <c r="H6" s="168"/>
      <c r="I6" s="168"/>
      <c r="J6" s="169"/>
      <c r="K6" s="501"/>
      <c r="L6" s="501"/>
      <c r="M6" s="501"/>
      <c r="N6" s="501"/>
      <c r="O6" s="227"/>
      <c r="P6" s="501"/>
      <c r="Q6" s="226"/>
      <c r="R6" s="226"/>
      <c r="S6" s="226"/>
      <c r="T6" s="226"/>
      <c r="IU6" s="508">
        <v>14</v>
      </c>
    </row>
    <row s="1820" customFormat="1" customHeight="1" ht="14.699999999999998">
      <c r="A7" s="1156"/>
      <c r="B7" s="1161"/>
      <c r="C7" s="1156"/>
      <c r="D7" s="1496"/>
      <c r="E7" s="2102" t="s">
        <v>312</v>
      </c>
      <c r="F7" s="2103"/>
      <c r="G7" s="2103"/>
      <c r="H7" s="2103"/>
      <c r="I7" s="2103"/>
      <c r="J7" s="2475" t="s">
        <v>313</v>
      </c>
      <c r="K7" s="501"/>
      <c r="L7" s="501"/>
      <c r="M7" s="501"/>
      <c r="N7" s="501"/>
      <c r="O7" s="227"/>
      <c r="P7" s="501"/>
      <c r="Q7" s="226"/>
      <c r="R7" s="226"/>
      <c r="S7" s="226"/>
      <c r="T7" s="226"/>
      <c r="IU7" s="508">
        <v>14</v>
      </c>
    </row>
    <row s="1820" customFormat="1" customHeight="1" ht="21">
      <c r="A8" s="1156"/>
      <c r="B8" s="1161"/>
      <c r="C8" s="1156"/>
      <c r="D8" s="1496"/>
      <c r="E8" s="1549" t="s">
        <v>90</v>
      </c>
      <c r="F8" s="1541" t="s">
        <v>1886</v>
      </c>
      <c r="G8" s="1541" t="s">
        <v>51</v>
      </c>
      <c r="H8" s="1541" t="s">
        <v>53</v>
      </c>
      <c r="I8" s="1541" t="s">
        <v>1887</v>
      </c>
      <c r="J8" s="2476"/>
      <c r="K8" s="501"/>
      <c r="L8" s="501"/>
      <c r="M8" s="501"/>
      <c r="N8" s="501"/>
      <c r="O8" s="227"/>
      <c r="P8" s="501"/>
      <c r="Q8" s="226"/>
      <c r="R8" s="226"/>
      <c r="S8" s="226"/>
      <c r="T8" s="226"/>
      <c r="IU8" s="508">
        <v>20</v>
      </c>
    </row>
    <row s="1851" customFormat="1" customHeight="1" ht="23.25">
      <c r="A9" s="1632"/>
      <c r="B9" s="1161">
        <v>1</v>
      </c>
      <c r="C9" s="1161"/>
      <c r="D9" s="802"/>
      <c r="E9" s="1485">
        <v>1</v>
      </c>
      <c r="F9" s="1548"/>
      <c r="G9" s="1492"/>
      <c r="H9" s="1492"/>
      <c r="I9" s="1539"/>
      <c r="J9" s="2170"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36"/>
      <c r="L9" s="512"/>
      <c r="M9" s="512"/>
      <c r="N9" s="501" t="str">
        <f t="array" ref="N9:N9">IF(ISERROR(MATCH(MID(O9,1,250),MID(note_ter,1,250),0)),"n","y")</f>
        <v>n</v>
      </c>
      <c r="O9" s="512"/>
      <c r="P9" s="501"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1"/>
      <c r="R9" s="1161"/>
      <c r="S9" s="421"/>
      <c r="T9" s="1161"/>
      <c r="U9" s="1161"/>
      <c r="V9" s="1161"/>
      <c r="W9" s="423"/>
      <c r="X9" s="423"/>
      <c r="Y9" s="420"/>
      <c r="Z9" s="420"/>
      <c r="AA9" s="420"/>
      <c r="AB9" s="420"/>
      <c r="AC9" s="420"/>
      <c r="AD9" s="420"/>
      <c r="AE9" s="420"/>
      <c r="AF9" s="420"/>
      <c r="AG9" s="420"/>
      <c r="AH9" s="420"/>
      <c r="AI9" s="420"/>
      <c r="AJ9" s="420"/>
      <c r="AK9" s="420"/>
      <c r="AL9" s="420"/>
      <c r="AM9" s="420"/>
      <c r="AN9" s="420"/>
      <c r="AO9" s="420"/>
      <c r="AP9" s="420"/>
      <c r="AQ9" s="420"/>
      <c r="AR9" s="420"/>
      <c r="AS9" s="420"/>
      <c r="AT9" s="420"/>
      <c r="AU9" s="420"/>
      <c r="AV9" s="420"/>
      <c r="AW9" s="420"/>
      <c r="AX9" s="420"/>
      <c r="AY9" s="420"/>
      <c r="AZ9" s="420"/>
      <c r="BA9" s="420"/>
      <c r="BB9" s="420"/>
      <c r="BC9" s="420"/>
      <c r="BD9" s="420"/>
      <c r="BE9" s="420"/>
      <c r="BF9" s="420"/>
      <c r="BG9" s="420"/>
      <c r="BH9" s="420"/>
      <c r="BI9" s="420"/>
      <c r="BJ9" s="420"/>
      <c r="BK9" s="420"/>
      <c r="BL9" s="420"/>
      <c r="BM9" s="420"/>
      <c r="BN9" s="420"/>
      <c r="BO9" s="420"/>
      <c r="BP9" s="420"/>
      <c r="BQ9" s="420"/>
      <c r="BR9" s="420"/>
      <c r="BS9" s="420"/>
      <c r="BT9" s="423"/>
      <c r="BU9" s="423"/>
      <c r="BV9" s="423"/>
      <c r="BW9" s="423"/>
      <c r="BX9" s="423"/>
      <c r="BY9" s="423"/>
      <c r="BZ9" s="423"/>
      <c r="CA9" s="423"/>
      <c r="CB9" s="423"/>
      <c r="CC9" s="423"/>
      <c r="IU9" s="424">
        <v>22</v>
      </c>
    </row>
    <row s="1851" customFormat="1" customHeight="1" ht="15.75">
      <c r="A10" s="1632"/>
      <c r="B10" s="1161"/>
      <c r="C10" s="413"/>
      <c r="D10" s="802"/>
      <c r="E10" s="1542"/>
      <c r="F10" s="1501" t="s">
        <v>1888</v>
      </c>
      <c r="G10" s="1543"/>
      <c r="H10" s="1543"/>
      <c r="I10" s="1900"/>
      <c r="J10" s="2172"/>
      <c r="K10" s="1537"/>
      <c r="L10" s="512"/>
      <c r="M10" s="512"/>
      <c r="N10" s="512"/>
      <c r="O10" s="501"/>
      <c r="P10" s="512"/>
      <c r="Q10" s="1161"/>
      <c r="R10" s="1161"/>
      <c r="S10" s="421"/>
      <c r="T10" s="1161"/>
      <c r="U10" s="1161"/>
      <c r="V10" s="1161"/>
      <c r="W10" s="423"/>
      <c r="X10" s="423"/>
      <c r="Y10" s="420"/>
      <c r="Z10" s="420"/>
      <c r="AA10" s="420"/>
      <c r="AB10" s="420"/>
      <c r="AC10" s="420"/>
      <c r="AD10" s="420"/>
      <c r="AE10" s="420"/>
      <c r="AF10" s="420"/>
      <c r="AG10" s="420"/>
      <c r="AH10" s="420"/>
      <c r="AI10" s="420"/>
      <c r="AJ10" s="420"/>
      <c r="AK10" s="420"/>
      <c r="AL10" s="420"/>
      <c r="AM10" s="420"/>
      <c r="AN10" s="420"/>
      <c r="AO10" s="420"/>
      <c r="AP10" s="420"/>
      <c r="AQ10" s="420"/>
      <c r="AR10" s="420"/>
      <c r="AS10" s="420"/>
      <c r="AT10" s="420"/>
      <c r="AU10" s="420"/>
      <c r="AV10" s="420"/>
      <c r="AW10" s="420"/>
      <c r="AX10" s="420"/>
      <c r="AY10" s="420"/>
      <c r="AZ10" s="420"/>
      <c r="BA10" s="420"/>
      <c r="BB10" s="420"/>
      <c r="BC10" s="420"/>
      <c r="BD10" s="420"/>
      <c r="BE10" s="420"/>
      <c r="BF10" s="420"/>
      <c r="BG10" s="420"/>
      <c r="BH10" s="420"/>
      <c r="BI10" s="420"/>
      <c r="BJ10" s="420"/>
      <c r="BK10" s="420"/>
      <c r="BL10" s="420"/>
      <c r="BM10" s="420"/>
      <c r="BN10" s="420"/>
      <c r="BO10" s="420"/>
      <c r="BP10" s="420"/>
      <c r="BQ10" s="420"/>
      <c r="BR10" s="420"/>
      <c r="BS10" s="420"/>
      <c r="BT10" s="423"/>
      <c r="BU10" s="423"/>
      <c r="BV10" s="423"/>
      <c r="BW10" s="423"/>
      <c r="BX10" s="423"/>
      <c r="BY10" s="423"/>
      <c r="BZ10" s="423"/>
      <c r="CA10" s="423"/>
      <c r="CB10" s="423"/>
      <c r="CC10" s="423"/>
      <c r="IU10" s="424">
        <v>15</v>
      </c>
    </row>
    <row s="1820" customFormat="1" customHeight="1" ht="22.049999999999997">
      <c r="A11" s="1156"/>
      <c r="B11" s="1161"/>
      <c r="C11" s="1156"/>
      <c r="D11" s="452"/>
      <c r="E11" s="181"/>
      <c r="F11" s="181"/>
      <c r="G11" s="181"/>
      <c r="H11" s="181"/>
      <c r="I11" s="181"/>
      <c r="J11" s="181"/>
      <c r="K11" s="501"/>
      <c r="L11" s="501"/>
      <c r="M11" s="501"/>
      <c r="N11" s="501"/>
      <c r="O11" s="227"/>
      <c r="P11" s="501"/>
      <c r="Q11" s="226"/>
      <c r="R11" s="226"/>
      <c r="S11" s="226"/>
      <c r="T11" s="226"/>
      <c r="IU11" s="508">
        <v>21</v>
      </c>
    </row>
    <row s="1820" customFormat="1" customHeight="1" ht="14.699999999999998">
      <c r="A12" s="1156"/>
      <c r="B12" s="1161"/>
      <c r="C12" s="1156"/>
      <c r="D12" s="452"/>
      <c r="E12" s="1156"/>
      <c r="F12" s="1156"/>
      <c r="G12" s="1156"/>
      <c r="H12" s="1156"/>
      <c r="I12" s="1156"/>
      <c r="J12" s="1156"/>
      <c r="K12" s="501"/>
      <c r="L12" s="501"/>
      <c r="M12" s="501"/>
      <c r="N12" s="501"/>
      <c r="O12" s="227"/>
      <c r="P12" s="501"/>
      <c r="Q12" s="226"/>
      <c r="R12" s="226"/>
      <c r="S12" s="226"/>
      <c r="T12" s="226"/>
      <c r="IU12" s="508">
        <v>14</v>
      </c>
    </row>
    <row s="1820" customFormat="1" customHeight="1" ht="1.05">
      <c r="A13" s="1156"/>
      <c r="B13" s="1161"/>
      <c r="C13" s="1156"/>
      <c r="D13" s="452"/>
      <c r="E13" s="1156"/>
      <c r="F13" s="1156"/>
      <c r="G13" s="1156"/>
      <c r="H13" s="1156"/>
      <c r="I13" s="1156"/>
      <c r="J13" s="1156"/>
      <c r="K13" s="501"/>
      <c r="L13" s="501"/>
      <c r="M13" s="501"/>
      <c r="N13" s="501"/>
      <c r="O13" s="227"/>
      <c r="P13" s="501"/>
      <c r="Q13" s="226"/>
      <c r="R13" s="226"/>
      <c r="S13" s="226"/>
      <c r="T13" s="226"/>
      <c r="IU13" s="508">
        <v>1</v>
      </c>
    </row>
    <row s="1065" customFormat="1" customHeight="1" ht="10.5">
      <c r="B14" s="835"/>
      <c r="D14" s="183"/>
      <c r="K14" s="501"/>
      <c r="L14" s="501"/>
      <c r="M14" s="501"/>
      <c r="N14" s="501"/>
      <c r="O14" s="227"/>
      <c r="P14" s="501"/>
      <c r="Q14" s="226"/>
      <c r="R14" s="226"/>
      <c r="S14" s="226"/>
      <c r="T14" s="226"/>
      <c r="IU14" s="182">
        <v>10</v>
      </c>
    </row>
    <row s="1065" customFormat="1" customHeight="1" ht="10.5">
      <c r="B15" s="835"/>
      <c r="D15" s="183"/>
      <c r="K15" s="501"/>
      <c r="L15" s="501"/>
      <c r="M15" s="501"/>
      <c r="N15" s="501"/>
      <c r="O15" s="227"/>
      <c r="P15" s="501"/>
      <c r="Q15" s="226"/>
      <c r="R15" s="226"/>
      <c r="S15" s="226"/>
      <c r="T15" s="226"/>
      <c r="IU15" s="182">
        <v>10</v>
      </c>
    </row>
    <row customHeight="1" ht="14.699999999999998">
      <c r="IU16" s="1156">
        <v>14</v>
      </c>
    </row>
    <row customHeight="1" ht="14.699999999999998">
      <c r="IU17" s="1156">
        <v>14</v>
      </c>
    </row>
    <row customHeight="1" ht="14.699999999999998">
      <c r="IU18" s="1156">
        <v>14</v>
      </c>
    </row>
    <row customHeight="1" ht="14.699999999999998">
      <c r="G19" s="374"/>
      <c r="H19" s="374"/>
      <c r="I19" s="374"/>
      <c r="IU19" s="1156">
        <v>14</v>
      </c>
    </row>
    <row customHeight="1" ht="14.699999999999998">
      <c r="IU20" s="1156">
        <v>14</v>
      </c>
    </row>
    <row customHeight="1" ht="14.699999999999998">
      <c r="IU21" s="1156">
        <v>14</v>
      </c>
    </row>
    <row customHeight="1" ht="14.699999999999998">
      <c r="IU22" s="1156">
        <v>14</v>
      </c>
    </row>
    <row customHeight="1" ht="14.699999999999998">
      <c r="K23" s="1156"/>
      <c r="L23" s="1156"/>
      <c r="M23" s="1156"/>
      <c r="IU23" s="1156">
        <v>14</v>
      </c>
    </row>
    <row customHeight="1" ht="22.5" hidden="1">
      <c r="A24" s="1156" t="s">
        <v>84</v>
      </c>
      <c r="B24" s="1161">
        <v>0</v>
      </c>
      <c r="C24" s="1156">
        <v>0</v>
      </c>
      <c r="D24" s="452">
        <v>3</v>
      </c>
      <c r="E24" s="1156">
        <v>6</v>
      </c>
      <c r="F24" s="1156">
        <v>46</v>
      </c>
      <c r="G24" s="1156">
        <v>16</v>
      </c>
      <c r="H24" s="1156">
        <v>16</v>
      </c>
      <c r="I24" s="1156">
        <v>35</v>
      </c>
      <c r="J24" s="1156">
        <v>89</v>
      </c>
      <c r="K24" s="501">
        <v>3</v>
      </c>
      <c r="L24" s="501">
        <v>8</v>
      </c>
      <c r="M24" s="501">
        <v>8</v>
      </c>
      <c r="N24" s="501">
        <v>8</v>
      </c>
      <c r="O24" s="227">
        <v>25</v>
      </c>
      <c r="P24" s="501">
        <v>14</v>
      </c>
      <c r="Q24" s="226">
        <v>8</v>
      </c>
      <c r="R24" s="226">
        <v>8</v>
      </c>
      <c r="S24" s="226">
        <v>8</v>
      </c>
      <c r="T24" s="226">
        <v>8</v>
      </c>
      <c r="U24" s="1156">
        <v>8</v>
      </c>
      <c r="V24" s="1156">
        <v>8</v>
      </c>
      <c r="W24" s="1156">
        <v>8</v>
      </c>
      <c r="X24" s="1156">
        <v>8</v>
      </c>
      <c r="Y24" s="1156">
        <v>8</v>
      </c>
      <c r="Z24" s="1156">
        <v>8</v>
      </c>
      <c r="AA24" s="1156">
        <v>8</v>
      </c>
      <c r="AB24" s="1156">
        <v>8</v>
      </c>
      <c r="AC24" s="1156">
        <v>8</v>
      </c>
      <c r="AD24" s="1156">
        <v>8</v>
      </c>
      <c r="AE24" s="1156">
        <v>8</v>
      </c>
      <c r="AF24" s="1156">
        <v>8</v>
      </c>
      <c r="AG24" s="1156">
        <v>8</v>
      </c>
      <c r="AH24" s="1156">
        <v>8</v>
      </c>
      <c r="AI24" s="1156">
        <v>8</v>
      </c>
      <c r="AJ24" s="1156">
        <v>8</v>
      </c>
      <c r="AK24" s="1156">
        <v>8</v>
      </c>
      <c r="AL24" s="1156">
        <v>8</v>
      </c>
      <c r="AM24" s="1156">
        <v>8</v>
      </c>
      <c r="AN24" s="1156">
        <v>8</v>
      </c>
      <c r="AO24" s="1156">
        <v>8</v>
      </c>
      <c r="AP24" s="1156">
        <v>8</v>
      </c>
      <c r="AQ24" s="1156">
        <v>8</v>
      </c>
      <c r="AR24" s="1156">
        <v>8</v>
      </c>
      <c r="AS24" s="1156">
        <v>8</v>
      </c>
      <c r="AT24" s="1156">
        <v>8</v>
      </c>
      <c r="AU24" s="1156">
        <v>8</v>
      </c>
      <c r="AV24" s="1156">
        <v>8</v>
      </c>
      <c r="AW24" s="1156">
        <v>8</v>
      </c>
      <c r="AX24" s="1156">
        <v>8</v>
      </c>
      <c r="AY24" s="1156">
        <v>8</v>
      </c>
      <c r="AZ24" s="1156">
        <v>8</v>
      </c>
      <c r="BA24" s="1156">
        <v>8</v>
      </c>
      <c r="BB24" s="1156">
        <v>8</v>
      </c>
      <c r="BC24" s="1156">
        <v>8</v>
      </c>
      <c r="BD24" s="1156">
        <v>8</v>
      </c>
      <c r="BE24" s="1156">
        <v>8</v>
      </c>
      <c r="BF24" s="1156">
        <v>8</v>
      </c>
      <c r="BG24" s="1156">
        <v>8</v>
      </c>
      <c r="BH24" s="1156">
        <v>8</v>
      </c>
      <c r="BI24" s="1156">
        <v>8</v>
      </c>
      <c r="BJ24" s="1156">
        <v>8</v>
      </c>
      <c r="BK24" s="1156">
        <v>8</v>
      </c>
      <c r="BL24" s="1156">
        <v>8</v>
      </c>
      <c r="BM24" s="1156">
        <v>8</v>
      </c>
      <c r="BN24" s="1156">
        <v>8</v>
      </c>
      <c r="BO24" s="1156">
        <v>8</v>
      </c>
      <c r="BP24" s="1156">
        <v>8</v>
      </c>
      <c r="BQ24" s="1156">
        <v>8</v>
      </c>
      <c r="BR24" s="1156">
        <v>8</v>
      </c>
      <c r="BS24" s="1156">
        <v>8</v>
      </c>
      <c r="BT24" s="1156">
        <v>8</v>
      </c>
      <c r="BU24" s="1156">
        <v>8</v>
      </c>
      <c r="BV24" s="1156">
        <v>8</v>
      </c>
      <c r="BW24" s="1156">
        <v>8</v>
      </c>
      <c r="BX24" s="1156">
        <v>8</v>
      </c>
      <c r="BY24" s="1156">
        <v>8</v>
      </c>
      <c r="BZ24" s="1156">
        <v>8</v>
      </c>
      <c r="CA24" s="1156">
        <v>8</v>
      </c>
      <c r="CB24" s="1156">
        <v>8</v>
      </c>
      <c r="CC24" s="1156">
        <v>8</v>
      </c>
      <c r="CD24" s="1156">
        <v>8</v>
      </c>
      <c r="CE24" s="1156">
        <v>8</v>
      </c>
      <c r="CF24" s="1156">
        <v>8</v>
      </c>
      <c r="CG24" s="1156">
        <v>8</v>
      </c>
      <c r="CH24" s="1156">
        <v>8</v>
      </c>
      <c r="CI24" s="1156">
        <v>8</v>
      </c>
      <c r="CJ24" s="1156">
        <v>8</v>
      </c>
      <c r="CK24" s="1156">
        <v>8</v>
      </c>
      <c r="CL24" s="1156">
        <v>8</v>
      </c>
      <c r="CM24" s="1156">
        <v>8</v>
      </c>
      <c r="CN24" s="1156">
        <v>8</v>
      </c>
      <c r="CO24" s="1156">
        <v>8</v>
      </c>
      <c r="CP24" s="1156">
        <v>8</v>
      </c>
      <c r="CQ24" s="1156">
        <v>8</v>
      </c>
      <c r="CR24" s="1156">
        <v>8</v>
      </c>
      <c r="CS24" s="1156">
        <v>8</v>
      </c>
      <c r="CT24" s="1156">
        <v>8</v>
      </c>
      <c r="CU24" s="1156">
        <v>8</v>
      </c>
      <c r="CV24" s="1156">
        <v>8</v>
      </c>
      <c r="CW24" s="1156">
        <v>8</v>
      </c>
      <c r="CX24" s="1156">
        <v>8</v>
      </c>
      <c r="CY24" s="1156">
        <v>8</v>
      </c>
      <c r="CZ24" s="1156">
        <v>8</v>
      </c>
      <c r="DA24" s="1156">
        <v>8</v>
      </c>
      <c r="DB24" s="1156">
        <v>8</v>
      </c>
      <c r="DC24" s="1156">
        <v>8</v>
      </c>
      <c r="DD24" s="1156">
        <v>8</v>
      </c>
      <c r="DE24" s="1156">
        <v>8</v>
      </c>
      <c r="DF24" s="1156">
        <v>8</v>
      </c>
      <c r="DG24" s="1156">
        <v>8</v>
      </c>
      <c r="DH24" s="1156">
        <v>8</v>
      </c>
      <c r="DI24" s="1156">
        <v>8</v>
      </c>
      <c r="DJ24" s="1156">
        <v>8</v>
      </c>
      <c r="DK24" s="1156">
        <v>8</v>
      </c>
      <c r="DL24" s="1156">
        <v>8</v>
      </c>
      <c r="DM24" s="1156">
        <v>8</v>
      </c>
      <c r="DN24" s="1156">
        <v>8</v>
      </c>
      <c r="DO24" s="1156">
        <v>8</v>
      </c>
      <c r="DP24" s="1156">
        <v>8</v>
      </c>
      <c r="DQ24" s="1156">
        <v>8</v>
      </c>
      <c r="DR24" s="1156">
        <v>8</v>
      </c>
      <c r="DS24" s="1156">
        <v>8</v>
      </c>
      <c r="DT24" s="1156">
        <v>8</v>
      </c>
      <c r="DU24" s="1156">
        <v>8</v>
      </c>
      <c r="DV24" s="1156">
        <v>8</v>
      </c>
      <c r="DW24" s="1156">
        <v>8</v>
      </c>
      <c r="DX24" s="1156">
        <v>8</v>
      </c>
      <c r="DY24" s="1156">
        <v>8</v>
      </c>
      <c r="DZ24" s="1156">
        <v>8</v>
      </c>
      <c r="EA24" s="1156">
        <v>8</v>
      </c>
      <c r="EB24" s="1156">
        <v>8</v>
      </c>
      <c r="EC24" s="1156">
        <v>8</v>
      </c>
      <c r="ED24" s="1156">
        <v>8</v>
      </c>
      <c r="EE24" s="1156">
        <v>8</v>
      </c>
      <c r="EF24" s="1156">
        <v>8</v>
      </c>
      <c r="EG24" s="1156">
        <v>8</v>
      </c>
      <c r="EH24" s="1156">
        <v>8</v>
      </c>
      <c r="EI24" s="1156">
        <v>8</v>
      </c>
      <c r="EJ24" s="1156">
        <v>8</v>
      </c>
      <c r="EK24" s="1156">
        <v>8</v>
      </c>
      <c r="EL24" s="1156">
        <v>8</v>
      </c>
      <c r="EM24" s="1156">
        <v>8</v>
      </c>
      <c r="EN24" s="1156">
        <v>8</v>
      </c>
      <c r="EO24" s="1156">
        <v>8</v>
      </c>
      <c r="EP24" s="1156">
        <v>8</v>
      </c>
      <c r="EQ24" s="1156">
        <v>8</v>
      </c>
      <c r="ER24" s="1156">
        <v>8</v>
      </c>
      <c r="ES24" s="1156">
        <v>8</v>
      </c>
      <c r="ET24" s="1156">
        <v>8</v>
      </c>
      <c r="EU24" s="1156">
        <v>8</v>
      </c>
      <c r="EV24" s="1156">
        <v>8</v>
      </c>
      <c r="EW24" s="1156">
        <v>8</v>
      </c>
      <c r="EX24" s="1156">
        <v>8</v>
      </c>
      <c r="EY24" s="1156">
        <v>8</v>
      </c>
      <c r="EZ24" s="1156">
        <v>8</v>
      </c>
      <c r="FA24" s="1156">
        <v>8</v>
      </c>
      <c r="FB24" s="1156">
        <v>8</v>
      </c>
      <c r="FC24" s="1156">
        <v>8</v>
      </c>
      <c r="FD24" s="1156">
        <v>8</v>
      </c>
      <c r="FE24" s="1156">
        <v>8</v>
      </c>
      <c r="FF24" s="1156">
        <v>8</v>
      </c>
      <c r="FG24" s="1156">
        <v>8</v>
      </c>
      <c r="FH24" s="1156">
        <v>8</v>
      </c>
      <c r="FI24" s="1156">
        <v>8</v>
      </c>
      <c r="FJ24" s="1156">
        <v>8</v>
      </c>
      <c r="FK24" s="1156">
        <v>8</v>
      </c>
      <c r="FL24" s="1156">
        <v>8</v>
      </c>
      <c r="FM24" s="1156">
        <v>8</v>
      </c>
      <c r="FN24" s="1156">
        <v>8</v>
      </c>
      <c r="FO24" s="1156">
        <v>8</v>
      </c>
      <c r="FP24" s="1156">
        <v>8</v>
      </c>
      <c r="FQ24" s="1156">
        <v>8</v>
      </c>
      <c r="FR24" s="1156">
        <v>8</v>
      </c>
      <c r="FS24" s="1156">
        <v>8</v>
      </c>
      <c r="FT24" s="1156">
        <v>8</v>
      </c>
      <c r="FU24" s="1156">
        <v>8</v>
      </c>
      <c r="FV24" s="1156">
        <v>8</v>
      </c>
      <c r="FW24" s="1156">
        <v>8</v>
      </c>
      <c r="FX24" s="1156">
        <v>8</v>
      </c>
      <c r="FY24" s="1156">
        <v>8</v>
      </c>
      <c r="FZ24" s="1156">
        <v>8</v>
      </c>
      <c r="GA24" s="1156">
        <v>8</v>
      </c>
      <c r="GB24" s="1156">
        <v>8</v>
      </c>
      <c r="GC24" s="1156">
        <v>8</v>
      </c>
      <c r="GD24" s="1156">
        <v>8</v>
      </c>
      <c r="GE24" s="1156">
        <v>8</v>
      </c>
      <c r="GF24" s="1156">
        <v>8</v>
      </c>
      <c r="GG24" s="1156">
        <v>8</v>
      </c>
      <c r="GH24" s="1156">
        <v>8</v>
      </c>
      <c r="GI24" s="1156">
        <v>8</v>
      </c>
      <c r="GJ24" s="1156">
        <v>8</v>
      </c>
      <c r="GK24" s="1156">
        <v>8</v>
      </c>
      <c r="GL24" s="1156">
        <v>8</v>
      </c>
      <c r="GM24" s="1156">
        <v>8</v>
      </c>
      <c r="GN24" s="1156">
        <v>8</v>
      </c>
      <c r="GO24" s="1156">
        <v>8</v>
      </c>
      <c r="GP24" s="1156">
        <v>8</v>
      </c>
      <c r="GQ24" s="1156">
        <v>8</v>
      </c>
      <c r="GR24" s="1156">
        <v>8</v>
      </c>
      <c r="GS24" s="1156">
        <v>8</v>
      </c>
      <c r="GT24" s="1156">
        <v>8</v>
      </c>
      <c r="GU24" s="1156">
        <v>8</v>
      </c>
      <c r="GV24" s="1156">
        <v>8</v>
      </c>
      <c r="GW24" s="1156">
        <v>8</v>
      </c>
      <c r="GX24" s="1156">
        <v>8</v>
      </c>
      <c r="GY24" s="1156">
        <v>8</v>
      </c>
      <c r="GZ24" s="1156">
        <v>8</v>
      </c>
      <c r="HA24" s="1156">
        <v>8</v>
      </c>
      <c r="HB24" s="1156">
        <v>8</v>
      </c>
      <c r="HC24" s="1156">
        <v>8</v>
      </c>
      <c r="HD24" s="1156">
        <v>8</v>
      </c>
      <c r="HE24" s="1156">
        <v>8</v>
      </c>
      <c r="HF24" s="1156">
        <v>8</v>
      </c>
      <c r="HG24" s="1156">
        <v>8</v>
      </c>
      <c r="HH24" s="1156">
        <v>8</v>
      </c>
      <c r="HI24" s="1156">
        <v>8</v>
      </c>
      <c r="HJ24" s="1156">
        <v>8</v>
      </c>
      <c r="HK24" s="1156">
        <v>8</v>
      </c>
      <c r="HL24" s="1156">
        <v>8</v>
      </c>
      <c r="HM24" s="1156">
        <v>8</v>
      </c>
      <c r="HN24" s="1156">
        <v>8</v>
      </c>
      <c r="HO24" s="1156">
        <v>8</v>
      </c>
      <c r="HP24" s="1156">
        <v>8</v>
      </c>
      <c r="HQ24" s="1156">
        <v>8</v>
      </c>
      <c r="HR24" s="1156">
        <v>8</v>
      </c>
      <c r="HS24" s="1156">
        <v>8</v>
      </c>
      <c r="HT24" s="1156">
        <v>8</v>
      </c>
      <c r="HU24" s="1156">
        <v>8</v>
      </c>
      <c r="HV24" s="1156">
        <v>8</v>
      </c>
      <c r="HW24" s="1156">
        <v>8</v>
      </c>
      <c r="HX24" s="1156">
        <v>8</v>
      </c>
      <c r="HY24" s="1156">
        <v>8</v>
      </c>
      <c r="HZ24" s="1156">
        <v>8</v>
      </c>
      <c r="IA24" s="1156">
        <v>8</v>
      </c>
      <c r="IB24" s="1156">
        <v>8</v>
      </c>
      <c r="IC24" s="1156">
        <v>8</v>
      </c>
      <c r="ID24" s="1156">
        <v>8</v>
      </c>
      <c r="IE24" s="1156">
        <v>8</v>
      </c>
      <c r="IF24" s="1156">
        <v>8</v>
      </c>
      <c r="IG24" s="1156">
        <v>8</v>
      </c>
      <c r="IH24" s="1156">
        <v>8</v>
      </c>
      <c r="II24" s="1156">
        <v>8</v>
      </c>
      <c r="IJ24" s="1156">
        <v>8</v>
      </c>
      <c r="IK24" s="1156">
        <v>8</v>
      </c>
      <c r="IL24" s="1156">
        <v>8</v>
      </c>
      <c r="IM24" s="1156">
        <v>8</v>
      </c>
      <c r="IN24" s="1156">
        <v>8</v>
      </c>
      <c r="IO24" s="1156">
        <v>8</v>
      </c>
      <c r="IP24" s="1156">
        <v>8</v>
      </c>
      <c r="IQ24" s="1156">
        <v>8</v>
      </c>
      <c r="IR24" s="1156">
        <v>8</v>
      </c>
      <c r="IS24" s="1156">
        <v>8</v>
      </c>
      <c r="IT24" s="1156">
        <v>8</v>
      </c>
      <c r="IU24" s="1156">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prompt="ОГРН состоит из 13 цифр, ОГРНИП - из 15" sqref="I9 I2">
      <formula1>13</formula1>
      <formula2>15</formula2>
    </dataValidation>
    <dataValidation type="textLength" allowBlank="1" showInputMessage="1" showErrorMessage="1" sqref="I3">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2983417-BAB1-7A3C-B579-0.000CBF84}" mc:Ignorable="x14ac xr xr2 xr3">
  <dimension ref="A1:IW15"/>
  <sheetViews>
    <sheetView topLeftCell="A1" showGridLines="0" zoomScale="90" workbookViewId="0">
      <selection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16.00390625" customWidth="1"/>
    <col min="8" max="8" style="1636" width="12.00390625" customWidth="1"/>
    <col min="9" max="9" style="1636" width="32.00390625" customWidth="1"/>
    <col min="10" max="11" style="1636" width="41.00390625" customWidth="1"/>
    <col min="12" max="12" style="1636" width="89.00390625" customWidth="1"/>
    <col min="13" max="13" style="1625" width="3.00390625" customWidth="1"/>
    <col min="14" max="16" style="1625" width="8.00390625" customWidth="1"/>
    <col min="17" max="17" style="1625" width="25.00390625" customWidth="1"/>
    <col min="18" max="18" style="1625" width="14.00390625" customWidth="1"/>
    <col min="19" max="22" style="226" width="8.00390625" customWidth="1"/>
    <col min="23" max="256" style="1636" width="8.00390625" customWidth="1"/>
    <col min="257" max="257" style="1636" width="9.140625" hidden="1"/>
  </cols>
  <sheetData>
    <row customHeight="1" ht="22.5" hidden="1">
      <c r="IW1" s="1156" t="s">
        <v>14</v>
      </c>
    </row>
    <row s="1851" customFormat="1" customHeight="1" ht="22.5" hidden="1">
      <c r="A2" s="832"/>
      <c r="B2" s="1161">
        <v>1</v>
      </c>
      <c r="C2" s="1161"/>
      <c r="D2" s="1929" t="s">
        <v>234</v>
      </c>
      <c r="E2" s="1890"/>
      <c r="F2" s="1893" t="str">
        <f>IF(ROIV_INFO_NAME="","",ROIV_INFO_NAME)</f>
        <v>ИМУП «ПОСЖИЛКОМСЕРВИС»</v>
      </c>
      <c r="G2" s="1918" t="s">
        <v>28</v>
      </c>
      <c r="H2" s="1917"/>
      <c r="I2" s="1539"/>
      <c r="J2" s="819"/>
      <c r="K2" s="819"/>
      <c r="L2" s="229"/>
      <c r="M2" s="1536">
        <f>MERGEVALUE(F2)</f>
      </c>
      <c r="N2" s="512"/>
      <c r="O2" s="512"/>
      <c r="P2" s="501" t="str">
        <f t="array" ref="P2:P2">IF(ISERROR(MATCH(MID(Q2,1,250),MID(note_ter,1,250),0)),"n","y")</f>
        <v>n</v>
      </c>
      <c r="Q2" s="512"/>
      <c r="R2" s="501" t="str">
        <f>G2&amp;"("&amp;L2&amp;")"</f>
        <v>()</v>
      </c>
      <c r="S2" s="1161"/>
      <c r="T2" s="1161"/>
      <c r="U2" s="421"/>
      <c r="V2" s="1161"/>
      <c r="W2" s="1161"/>
      <c r="X2" s="1161"/>
      <c r="Y2" s="423"/>
      <c r="Z2" s="423"/>
      <c r="AA2" s="420"/>
      <c r="AB2" s="420"/>
      <c r="AC2" s="420"/>
      <c r="AD2" s="420"/>
      <c r="AE2" s="420"/>
      <c r="AF2" s="420"/>
      <c r="AG2" s="420"/>
      <c r="AH2" s="420"/>
      <c r="AI2" s="420"/>
      <c r="AJ2" s="420"/>
      <c r="AK2" s="420"/>
      <c r="AL2" s="420"/>
      <c r="AM2" s="420"/>
      <c r="AN2" s="420"/>
      <c r="AO2" s="420"/>
      <c r="AP2" s="420"/>
      <c r="AQ2" s="420"/>
      <c r="AR2" s="420"/>
      <c r="AS2" s="420"/>
      <c r="AT2" s="420"/>
      <c r="AU2" s="420"/>
      <c r="AV2" s="420"/>
      <c r="AW2" s="420"/>
      <c r="AX2" s="420"/>
      <c r="AY2" s="420"/>
      <c r="AZ2" s="420"/>
      <c r="BA2" s="420"/>
      <c r="BB2" s="420"/>
      <c r="BC2" s="420"/>
      <c r="BD2" s="420"/>
      <c r="BE2" s="420"/>
      <c r="BF2" s="420"/>
      <c r="BG2" s="420"/>
      <c r="BH2" s="420"/>
      <c r="BI2" s="420"/>
      <c r="BJ2" s="420"/>
      <c r="BK2" s="420"/>
      <c r="BL2" s="420"/>
      <c r="BM2" s="420"/>
      <c r="BN2" s="420"/>
      <c r="BO2" s="420"/>
      <c r="BP2" s="420"/>
      <c r="BQ2" s="420"/>
      <c r="BR2" s="420"/>
      <c r="BS2" s="420"/>
      <c r="BT2" s="420"/>
      <c r="BU2" s="420"/>
      <c r="BV2" s="423"/>
      <c r="BW2" s="423"/>
      <c r="BX2" s="423"/>
      <c r="BY2" s="423"/>
      <c r="BZ2" s="423"/>
      <c r="CA2" s="423"/>
      <c r="CB2" s="423"/>
      <c r="CC2" s="423"/>
      <c r="CD2" s="423"/>
      <c r="CE2" s="423"/>
      <c r="IW2" s="424">
        <v>0</v>
      </c>
    </row>
    <row s="1643" customFormat="1" customHeight="1" ht="5.25" hidden="1">
      <c r="A3" s="497"/>
      <c r="D3" s="495"/>
      <c r="F3" s="248" t="s">
        <v>85</v>
      </c>
      <c r="G3" s="1736" t="s">
        <v>86</v>
      </c>
      <c r="H3" s="495"/>
      <c r="I3" s="495"/>
      <c r="J3" s="495"/>
      <c r="K3" s="495"/>
      <c r="L3" s="228" t="s">
        <v>87</v>
      </c>
      <c r="M3" s="248" t="s">
        <v>85</v>
      </c>
      <c r="N3" s="248"/>
      <c r="O3" s="248"/>
      <c r="P3" s="248"/>
      <c r="Q3" s="249"/>
      <c r="R3" s="248"/>
      <c r="S3" s="248"/>
      <c r="T3" s="248"/>
      <c r="U3" s="248"/>
      <c r="V3" s="24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228"/>
      <c r="IV3" s="228"/>
      <c r="IW3" s="512">
        <v>0</v>
      </c>
    </row>
    <row s="1820" customFormat="1" customHeight="1" ht="14.699999999999998">
      <c r="A4" s="1156"/>
      <c r="B4" s="1161"/>
      <c r="C4" s="1156"/>
      <c r="D4" s="1496"/>
      <c r="E4" s="510"/>
      <c r="F4" s="510"/>
      <c r="G4" s="510"/>
      <c r="H4" s="510"/>
      <c r="I4" s="510"/>
      <c r="J4" s="510"/>
      <c r="K4" s="510"/>
      <c r="L4" s="167"/>
      <c r="M4" s="248"/>
      <c r="N4" s="501"/>
      <c r="O4" s="501"/>
      <c r="P4" s="501"/>
      <c r="Q4" s="227"/>
      <c r="R4" s="501"/>
      <c r="S4" s="226"/>
      <c r="T4" s="226"/>
      <c r="U4" s="226"/>
      <c r="V4" s="226"/>
      <c r="IW4" s="508">
        <v>14</v>
      </c>
    </row>
    <row s="1820" customFormat="1" customHeight="1" ht="27.299999999999997">
      <c r="A5" s="1156"/>
      <c r="B5" s="1161"/>
      <c r="C5" s="1156"/>
      <c r="D5" s="1496"/>
      <c r="E5" s="2101"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01"/>
      <c r="G5" s="2101"/>
      <c r="H5" s="2101"/>
      <c r="I5" s="2101"/>
      <c r="J5" s="2101"/>
      <c r="K5" s="2101"/>
      <c r="L5" s="589"/>
      <c r="M5" s="248"/>
      <c r="N5" s="501"/>
      <c r="O5" s="501"/>
      <c r="P5" s="501"/>
      <c r="Q5" s="227"/>
      <c r="R5" s="501"/>
      <c r="S5" s="226"/>
      <c r="T5" s="226"/>
      <c r="U5" s="226"/>
      <c r="V5" s="226"/>
      <c r="IW5" s="508">
        <v>26</v>
      </c>
    </row>
    <row s="1820" customFormat="1" customHeight="1" ht="14.699999999999998">
      <c r="A6" s="1156"/>
      <c r="B6" s="1161"/>
      <c r="C6" s="1156"/>
      <c r="D6" s="1496"/>
      <c r="E6" s="510"/>
      <c r="F6" s="168"/>
      <c r="G6" s="168"/>
      <c r="H6" s="168"/>
      <c r="I6" s="168"/>
      <c r="J6" s="168"/>
      <c r="K6" s="168"/>
      <c r="L6" s="169"/>
      <c r="M6" s="501"/>
      <c r="N6" s="501"/>
      <c r="O6" s="501"/>
      <c r="P6" s="501"/>
      <c r="Q6" s="227"/>
      <c r="R6" s="501"/>
      <c r="S6" s="226"/>
      <c r="T6" s="226"/>
      <c r="U6" s="226"/>
      <c r="V6" s="226"/>
      <c r="IW6" s="508">
        <v>14</v>
      </c>
    </row>
    <row s="1820" customFormat="1" customHeight="1" ht="14.699999999999998">
      <c r="A7" s="1156"/>
      <c r="B7" s="1161"/>
      <c r="C7" s="1156"/>
      <c r="D7" s="1496"/>
      <c r="E7" s="2102" t="s">
        <v>312</v>
      </c>
      <c r="F7" s="2103"/>
      <c r="G7" s="2103"/>
      <c r="H7" s="2103"/>
      <c r="I7" s="2103"/>
      <c r="J7" s="2103"/>
      <c r="K7" s="2103"/>
      <c r="L7" s="2475" t="s">
        <v>313</v>
      </c>
      <c r="M7" s="501"/>
      <c r="N7" s="501"/>
      <c r="O7" s="501"/>
      <c r="P7" s="501"/>
      <c r="Q7" s="227"/>
      <c r="R7" s="501"/>
      <c r="S7" s="226"/>
      <c r="T7" s="226"/>
      <c r="U7" s="226"/>
      <c r="V7" s="226"/>
      <c r="IW7" s="508">
        <v>14</v>
      </c>
    </row>
    <row s="1820" customFormat="1" customHeight="1" ht="67.2">
      <c r="A8" s="1156"/>
      <c r="B8" s="1161"/>
      <c r="C8" s="1156"/>
      <c r="D8" s="1496"/>
      <c r="E8" s="2479" t="s">
        <v>90</v>
      </c>
      <c r="F8" s="2479"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481"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482"/>
      <c r="I8" s="2483"/>
      <c r="J8" s="2479"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479"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7"/>
      <c r="M8" s="501"/>
      <c r="N8" s="501"/>
      <c r="O8" s="501"/>
      <c r="P8" s="501"/>
      <c r="Q8" s="227"/>
      <c r="R8" s="501"/>
      <c r="S8" s="226"/>
      <c r="T8" s="226"/>
      <c r="U8" s="226"/>
      <c r="V8" s="226"/>
      <c r="IW8" s="508">
        <v>64</v>
      </c>
    </row>
    <row s="1820" customFormat="1" customHeight="1" ht="29.25">
      <c r="A9" s="1156"/>
      <c r="B9" s="1161"/>
      <c r="C9" s="1156"/>
      <c r="D9" s="1496"/>
      <c r="E9" s="2480"/>
      <c r="F9" s="2480"/>
      <c r="G9" s="1538" t="s">
        <v>1889</v>
      </c>
      <c r="H9" s="1538" t="s">
        <v>1890</v>
      </c>
      <c r="I9" s="1538" t="s">
        <v>1891</v>
      </c>
      <c r="J9" s="2480"/>
      <c r="K9" s="2480"/>
      <c r="L9" s="2476"/>
      <c r="M9" s="501"/>
      <c r="N9" s="501"/>
      <c r="O9" s="501"/>
      <c r="P9" s="501"/>
      <c r="Q9" s="227"/>
      <c r="R9" s="501"/>
      <c r="S9" s="226"/>
      <c r="T9" s="226"/>
      <c r="U9" s="226"/>
      <c r="V9" s="226"/>
      <c r="IW9" s="508">
        <v>28</v>
      </c>
    </row>
    <row s="1851" customFormat="1" customHeight="1" ht="23.25">
      <c r="A10" s="2100"/>
      <c r="B10" s="1161">
        <v>1</v>
      </c>
      <c r="C10" s="1161"/>
      <c r="D10" s="801"/>
      <c r="E10" s="799">
        <v>1</v>
      </c>
      <c r="F10" s="1540" t="str">
        <f>IF(ROIV_INFO_NAME="","",ROIV_INFO_NAME)</f>
        <v>ИМУП «ПОСЖИЛКОМСЕРВИС»</v>
      </c>
      <c r="G10" s="1733" t="s">
        <v>28</v>
      </c>
      <c r="H10" s="1917"/>
      <c r="I10" s="1535"/>
      <c r="J10" s="819"/>
      <c r="K10" s="819"/>
      <c r="L10" s="2433"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536">
        <f>MERGEVALUE(F10)</f>
      </c>
      <c r="N10" s="512"/>
      <c r="O10" s="512"/>
      <c r="P10" s="501" t="str">
        <f t="array" ref="P10:P10">IF(ISERROR(MATCH(MID(Q10,1,250),MID(note_ter,1,250),0)),"n","y")</f>
        <v>n</v>
      </c>
      <c r="Q10" s="512"/>
      <c r="R10" s="501"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161"/>
      <c r="T10" s="1161"/>
      <c r="U10" s="421"/>
      <c r="V10" s="1161"/>
      <c r="W10" s="1161"/>
      <c r="X10" s="1161"/>
      <c r="Y10" s="423"/>
      <c r="Z10" s="423"/>
      <c r="AA10" s="420"/>
      <c r="AB10" s="420"/>
      <c r="AC10" s="420"/>
      <c r="AD10" s="420"/>
      <c r="AE10" s="420"/>
      <c r="AF10" s="420"/>
      <c r="AG10" s="420"/>
      <c r="AH10" s="420"/>
      <c r="AI10" s="420"/>
      <c r="AJ10" s="420"/>
      <c r="AK10" s="420"/>
      <c r="AL10" s="420"/>
      <c r="AM10" s="420"/>
      <c r="AN10" s="420"/>
      <c r="AO10" s="420"/>
      <c r="AP10" s="420"/>
      <c r="AQ10" s="420"/>
      <c r="AR10" s="420"/>
      <c r="AS10" s="420"/>
      <c r="AT10" s="420"/>
      <c r="AU10" s="420"/>
      <c r="AV10" s="420"/>
      <c r="AW10" s="420"/>
      <c r="AX10" s="420"/>
      <c r="AY10" s="420"/>
      <c r="AZ10" s="420"/>
      <c r="BA10" s="420"/>
      <c r="BB10" s="420"/>
      <c r="BC10" s="420"/>
      <c r="BD10" s="420"/>
      <c r="BE10" s="420"/>
      <c r="BF10" s="420"/>
      <c r="BG10" s="420"/>
      <c r="BH10" s="420"/>
      <c r="BI10" s="420"/>
      <c r="BJ10" s="420"/>
      <c r="BK10" s="420"/>
      <c r="BL10" s="420"/>
      <c r="BM10" s="420"/>
      <c r="BN10" s="420"/>
      <c r="BO10" s="420"/>
      <c r="BP10" s="420"/>
      <c r="BQ10" s="420"/>
      <c r="BR10" s="420"/>
      <c r="BS10" s="420"/>
      <c r="BT10" s="420"/>
      <c r="BU10" s="420"/>
      <c r="BV10" s="423"/>
      <c r="BW10" s="423"/>
      <c r="BX10" s="423"/>
      <c r="BY10" s="423"/>
      <c r="BZ10" s="423"/>
      <c r="CA10" s="423"/>
      <c r="CB10" s="423"/>
      <c r="CC10" s="423"/>
      <c r="CD10" s="423"/>
      <c r="CE10" s="423"/>
      <c r="IW10" s="424">
        <v>22</v>
      </c>
    </row>
    <row s="1851" customFormat="1" customHeight="1" ht="15.75">
      <c r="A11" s="2100"/>
      <c r="B11" s="1161"/>
      <c r="C11" s="413"/>
      <c r="D11" s="802"/>
      <c r="E11" s="422"/>
      <c r="F11" s="417" t="s">
        <v>1892</v>
      </c>
      <c r="G11" s="188"/>
      <c r="H11" s="188"/>
      <c r="I11" s="188"/>
      <c r="J11" s="188"/>
      <c r="K11" s="425"/>
      <c r="L11" s="2478"/>
      <c r="M11" s="1537"/>
      <c r="N11" s="512"/>
      <c r="O11" s="512"/>
      <c r="P11" s="512"/>
      <c r="Q11" s="501"/>
      <c r="R11" s="512"/>
      <c r="S11" s="1161"/>
      <c r="T11" s="1161"/>
      <c r="U11" s="421"/>
      <c r="V11" s="1161"/>
      <c r="W11" s="1161"/>
      <c r="X11" s="1161"/>
      <c r="Y11" s="423"/>
      <c r="Z11" s="423"/>
      <c r="AA11" s="420"/>
      <c r="AB11" s="420"/>
      <c r="AC11" s="420"/>
      <c r="AD11" s="420"/>
      <c r="AE11" s="420"/>
      <c r="AF11" s="420"/>
      <c r="AG11" s="420"/>
      <c r="AH11" s="420"/>
      <c r="AI11" s="420"/>
      <c r="AJ11" s="420"/>
      <c r="AK11" s="420"/>
      <c r="AL11" s="420"/>
      <c r="AM11" s="420"/>
      <c r="AN11" s="420"/>
      <c r="AO11" s="420"/>
      <c r="AP11" s="420"/>
      <c r="AQ11" s="420"/>
      <c r="AR11" s="420"/>
      <c r="AS11" s="420"/>
      <c r="AT11" s="420"/>
      <c r="AU11" s="420"/>
      <c r="AV11" s="420"/>
      <c r="AW11" s="420"/>
      <c r="AX11" s="420"/>
      <c r="AY11" s="420"/>
      <c r="AZ11" s="420"/>
      <c r="BA11" s="420"/>
      <c r="BB11" s="420"/>
      <c r="BC11" s="420"/>
      <c r="BD11" s="420"/>
      <c r="BE11" s="420"/>
      <c r="BF11" s="420"/>
      <c r="BG11" s="420"/>
      <c r="BH11" s="420"/>
      <c r="BI11" s="420"/>
      <c r="BJ11" s="420"/>
      <c r="BK11" s="420"/>
      <c r="BL11" s="420"/>
      <c r="BM11" s="420"/>
      <c r="BN11" s="420"/>
      <c r="BO11" s="420"/>
      <c r="BP11" s="420"/>
      <c r="BQ11" s="420"/>
      <c r="BR11" s="420"/>
      <c r="BS11" s="420"/>
      <c r="BT11" s="420"/>
      <c r="BU11" s="420"/>
      <c r="BV11" s="423"/>
      <c r="BW11" s="423"/>
      <c r="BX11" s="423"/>
      <c r="BY11" s="423"/>
      <c r="BZ11" s="423"/>
      <c r="CA11" s="423"/>
      <c r="CB11" s="423"/>
      <c r="CC11" s="423"/>
      <c r="CD11" s="423"/>
      <c r="CE11" s="423"/>
      <c r="IW11" s="424">
        <v>15</v>
      </c>
    </row>
    <row s="1820" customFormat="1" customHeight="1" ht="22.049999999999997">
      <c r="A12" s="1156"/>
      <c r="B12" s="1161"/>
      <c r="C12" s="1156"/>
      <c r="D12" s="452"/>
      <c r="E12" s="181"/>
      <c r="F12" s="181"/>
      <c r="G12" s="181"/>
      <c r="H12" s="181"/>
      <c r="I12" s="181"/>
      <c r="J12" s="181"/>
      <c r="K12" s="181"/>
      <c r="L12" s="181"/>
      <c r="M12" s="501"/>
      <c r="N12" s="501"/>
      <c r="O12" s="501"/>
      <c r="P12" s="501"/>
      <c r="Q12" s="227"/>
      <c r="R12" s="501"/>
      <c r="S12" s="226"/>
      <c r="T12" s="226"/>
      <c r="U12" s="226"/>
      <c r="V12" s="226"/>
      <c r="IW12" s="508">
        <v>21</v>
      </c>
    </row>
    <row s="1820" customFormat="1" customHeight="1" ht="14.699999999999998">
      <c r="A13" s="1156"/>
      <c r="B13" s="1161"/>
      <c r="C13" s="1156"/>
      <c r="D13" s="452"/>
      <c r="E13" s="1156"/>
      <c r="F13" s="1156"/>
      <c r="G13" s="1156"/>
      <c r="H13" s="1156"/>
      <c r="I13" s="1156"/>
      <c r="J13" s="1156"/>
      <c r="K13" s="1156"/>
      <c r="L13" s="1156"/>
      <c r="M13" s="501"/>
      <c r="N13" s="501"/>
      <c r="O13" s="501"/>
      <c r="P13" s="501"/>
      <c r="Q13" s="227"/>
      <c r="R13" s="501"/>
      <c r="S13" s="226"/>
      <c r="T13" s="226"/>
      <c r="U13" s="226"/>
      <c r="V13" s="226"/>
      <c r="IW13" s="508">
        <v>14</v>
      </c>
    </row>
    <row s="1820" customFormat="1" customHeight="1" ht="1.05">
      <c r="A14" s="1156"/>
      <c r="B14" s="1161"/>
      <c r="C14" s="1156"/>
      <c r="D14" s="452"/>
      <c r="E14" s="1156"/>
      <c r="F14" s="1156"/>
      <c r="G14" s="1156"/>
      <c r="H14" s="1156"/>
      <c r="I14" s="1156"/>
      <c r="J14" s="1156"/>
      <c r="K14" s="1156"/>
      <c r="L14" s="1156"/>
      <c r="M14" s="501"/>
      <c r="N14" s="501"/>
      <c r="O14" s="501"/>
      <c r="P14" s="501"/>
      <c r="Q14" s="227"/>
      <c r="R14" s="501"/>
      <c r="S14" s="226"/>
      <c r="T14" s="226"/>
      <c r="U14" s="226"/>
      <c r="V14" s="226"/>
      <c r="IW14" s="508">
        <v>1</v>
      </c>
    </row>
    <row customHeight="1" ht="22.5" hidden="1">
      <c r="A15" s="1156" t="s">
        <v>84</v>
      </c>
      <c r="B15" s="1161">
        <v>0</v>
      </c>
      <c r="C15" s="1156">
        <v>0</v>
      </c>
      <c r="D15" s="452">
        <v>3</v>
      </c>
      <c r="E15" s="1156">
        <v>6</v>
      </c>
      <c r="F15" s="1156">
        <v>27</v>
      </c>
      <c r="G15" s="1156">
        <v>16</v>
      </c>
      <c r="H15" s="1156">
        <v>12</v>
      </c>
      <c r="I15" s="1156">
        <v>32</v>
      </c>
      <c r="J15" s="1156">
        <v>41</v>
      </c>
      <c r="K15" s="1156">
        <v>41</v>
      </c>
      <c r="L15" s="1156">
        <v>89</v>
      </c>
      <c r="M15" s="501">
        <v>3</v>
      </c>
      <c r="N15" s="501">
        <v>8</v>
      </c>
      <c r="O15" s="501">
        <v>8</v>
      </c>
      <c r="P15" s="501">
        <v>8</v>
      </c>
      <c r="Q15" s="227">
        <v>25</v>
      </c>
      <c r="R15" s="501">
        <v>14</v>
      </c>
      <c r="S15" s="226">
        <v>8</v>
      </c>
      <c r="T15" s="226">
        <v>8</v>
      </c>
      <c r="U15" s="226">
        <v>8</v>
      </c>
      <c r="V15" s="226">
        <v>8</v>
      </c>
      <c r="W15" s="1156">
        <v>8</v>
      </c>
      <c r="X15" s="1156">
        <v>8</v>
      </c>
      <c r="Y15" s="1156">
        <v>8</v>
      </c>
      <c r="Z15" s="1156">
        <v>8</v>
      </c>
      <c r="AA15" s="1156">
        <v>8</v>
      </c>
      <c r="AB15" s="1156">
        <v>8</v>
      </c>
      <c r="AC15" s="1156">
        <v>8</v>
      </c>
      <c r="AD15" s="1156">
        <v>8</v>
      </c>
      <c r="AE15" s="1156">
        <v>8</v>
      </c>
      <c r="AF15" s="1156">
        <v>8</v>
      </c>
      <c r="AG15" s="1156">
        <v>8</v>
      </c>
      <c r="AH15" s="1156">
        <v>8</v>
      </c>
      <c r="AI15" s="1156">
        <v>8</v>
      </c>
      <c r="AJ15" s="1156">
        <v>8</v>
      </c>
      <c r="AK15" s="1156">
        <v>8</v>
      </c>
      <c r="AL15" s="1156">
        <v>8</v>
      </c>
      <c r="AM15" s="1156">
        <v>8</v>
      </c>
      <c r="AN15" s="1156">
        <v>8</v>
      </c>
      <c r="AO15" s="1156">
        <v>8</v>
      </c>
      <c r="AP15" s="1156">
        <v>8</v>
      </c>
      <c r="AQ15" s="1156">
        <v>8</v>
      </c>
      <c r="AR15" s="1156">
        <v>8</v>
      </c>
      <c r="AS15" s="1156">
        <v>8</v>
      </c>
      <c r="AT15" s="1156">
        <v>8</v>
      </c>
      <c r="AU15" s="1156">
        <v>8</v>
      </c>
      <c r="AV15" s="1156">
        <v>8</v>
      </c>
      <c r="AW15" s="1156">
        <v>8</v>
      </c>
      <c r="AX15" s="1156">
        <v>8</v>
      </c>
      <c r="AY15" s="1156">
        <v>8</v>
      </c>
      <c r="AZ15" s="1156">
        <v>8</v>
      </c>
      <c r="BA15" s="1156">
        <v>8</v>
      </c>
      <c r="BB15" s="1156">
        <v>8</v>
      </c>
      <c r="BC15" s="1156">
        <v>8</v>
      </c>
      <c r="BD15" s="1156">
        <v>8</v>
      </c>
      <c r="BE15" s="1156">
        <v>8</v>
      </c>
      <c r="BF15" s="1156">
        <v>8</v>
      </c>
      <c r="BG15" s="1156">
        <v>8</v>
      </c>
      <c r="BH15" s="1156">
        <v>8</v>
      </c>
      <c r="BI15" s="1156">
        <v>8</v>
      </c>
      <c r="BJ15" s="1156">
        <v>8</v>
      </c>
      <c r="BK15" s="1156">
        <v>8</v>
      </c>
      <c r="BL15" s="1156">
        <v>8</v>
      </c>
      <c r="BM15" s="1156">
        <v>8</v>
      </c>
      <c r="BN15" s="1156">
        <v>8</v>
      </c>
      <c r="BO15" s="1156">
        <v>8</v>
      </c>
      <c r="BP15" s="1156">
        <v>8</v>
      </c>
      <c r="BQ15" s="1156">
        <v>8</v>
      </c>
      <c r="BR15" s="1156">
        <v>8</v>
      </c>
      <c r="BS15" s="1156">
        <v>8</v>
      </c>
      <c r="BT15" s="1156">
        <v>8</v>
      </c>
      <c r="BU15" s="1156">
        <v>8</v>
      </c>
      <c r="BV15" s="1156">
        <v>8</v>
      </c>
      <c r="BW15" s="1156">
        <v>8</v>
      </c>
      <c r="BX15" s="1156">
        <v>8</v>
      </c>
      <c r="BY15" s="1156">
        <v>8</v>
      </c>
      <c r="BZ15" s="1156">
        <v>8</v>
      </c>
      <c r="CA15" s="1156">
        <v>8</v>
      </c>
      <c r="CB15" s="1156">
        <v>8</v>
      </c>
      <c r="CC15" s="1156">
        <v>8</v>
      </c>
      <c r="CD15" s="1156">
        <v>8</v>
      </c>
      <c r="CE15" s="1156">
        <v>8</v>
      </c>
      <c r="CF15" s="1156">
        <v>8</v>
      </c>
      <c r="CG15" s="1156">
        <v>8</v>
      </c>
      <c r="CH15" s="1156">
        <v>8</v>
      </c>
      <c r="CI15" s="1156">
        <v>8</v>
      </c>
      <c r="CJ15" s="1156">
        <v>8</v>
      </c>
      <c r="CK15" s="1156">
        <v>8</v>
      </c>
      <c r="CL15" s="1156">
        <v>8</v>
      </c>
      <c r="CM15" s="1156">
        <v>8</v>
      </c>
      <c r="CN15" s="1156">
        <v>8</v>
      </c>
      <c r="CO15" s="1156">
        <v>8</v>
      </c>
      <c r="CP15" s="1156">
        <v>8</v>
      </c>
      <c r="CQ15" s="1156">
        <v>8</v>
      </c>
      <c r="CR15" s="1156">
        <v>8</v>
      </c>
      <c r="CS15" s="1156">
        <v>8</v>
      </c>
      <c r="CT15" s="1156">
        <v>8</v>
      </c>
      <c r="CU15" s="1156">
        <v>8</v>
      </c>
      <c r="CV15" s="1156">
        <v>8</v>
      </c>
      <c r="CW15" s="1156">
        <v>8</v>
      </c>
      <c r="CX15" s="1156">
        <v>8</v>
      </c>
      <c r="CY15" s="1156">
        <v>8</v>
      </c>
      <c r="CZ15" s="1156">
        <v>8</v>
      </c>
      <c r="DA15" s="1156">
        <v>8</v>
      </c>
      <c r="DB15" s="1156">
        <v>8</v>
      </c>
      <c r="DC15" s="1156">
        <v>8</v>
      </c>
      <c r="DD15" s="1156">
        <v>8</v>
      </c>
      <c r="DE15" s="1156">
        <v>8</v>
      </c>
      <c r="DF15" s="1156">
        <v>8</v>
      </c>
      <c r="DG15" s="1156">
        <v>8</v>
      </c>
      <c r="DH15" s="1156">
        <v>8</v>
      </c>
      <c r="DI15" s="1156">
        <v>8</v>
      </c>
      <c r="DJ15" s="1156">
        <v>8</v>
      </c>
      <c r="DK15" s="1156">
        <v>8</v>
      </c>
      <c r="DL15" s="1156">
        <v>8</v>
      </c>
      <c r="DM15" s="1156">
        <v>8</v>
      </c>
      <c r="DN15" s="1156">
        <v>8</v>
      </c>
      <c r="DO15" s="1156">
        <v>8</v>
      </c>
      <c r="DP15" s="1156">
        <v>8</v>
      </c>
      <c r="DQ15" s="1156">
        <v>8</v>
      </c>
      <c r="DR15" s="1156">
        <v>8</v>
      </c>
      <c r="DS15" s="1156">
        <v>8</v>
      </c>
      <c r="DT15" s="1156">
        <v>8</v>
      </c>
      <c r="DU15" s="1156">
        <v>8</v>
      </c>
      <c r="DV15" s="1156">
        <v>8</v>
      </c>
      <c r="DW15" s="1156">
        <v>8</v>
      </c>
      <c r="DX15" s="1156">
        <v>8</v>
      </c>
      <c r="DY15" s="1156">
        <v>8</v>
      </c>
      <c r="DZ15" s="1156">
        <v>8</v>
      </c>
      <c r="EA15" s="1156">
        <v>8</v>
      </c>
      <c r="EB15" s="1156">
        <v>8</v>
      </c>
      <c r="EC15" s="1156">
        <v>8</v>
      </c>
      <c r="ED15" s="1156">
        <v>8</v>
      </c>
      <c r="EE15" s="1156">
        <v>8</v>
      </c>
      <c r="EF15" s="1156">
        <v>8</v>
      </c>
      <c r="EG15" s="1156">
        <v>8</v>
      </c>
      <c r="EH15" s="1156">
        <v>8</v>
      </c>
      <c r="EI15" s="1156">
        <v>8</v>
      </c>
      <c r="EJ15" s="1156">
        <v>8</v>
      </c>
      <c r="EK15" s="1156">
        <v>8</v>
      </c>
      <c r="EL15" s="1156">
        <v>8</v>
      </c>
      <c r="EM15" s="1156">
        <v>8</v>
      </c>
      <c r="EN15" s="1156">
        <v>8</v>
      </c>
      <c r="EO15" s="1156">
        <v>8</v>
      </c>
      <c r="EP15" s="1156">
        <v>8</v>
      </c>
      <c r="EQ15" s="1156">
        <v>8</v>
      </c>
      <c r="ER15" s="1156">
        <v>8</v>
      </c>
      <c r="ES15" s="1156">
        <v>8</v>
      </c>
      <c r="ET15" s="1156">
        <v>8</v>
      </c>
      <c r="EU15" s="1156">
        <v>8</v>
      </c>
      <c r="EV15" s="1156">
        <v>8</v>
      </c>
      <c r="EW15" s="1156">
        <v>8</v>
      </c>
      <c r="EX15" s="1156">
        <v>8</v>
      </c>
      <c r="EY15" s="1156">
        <v>8</v>
      </c>
      <c r="EZ15" s="1156">
        <v>8</v>
      </c>
      <c r="FA15" s="1156">
        <v>8</v>
      </c>
      <c r="FB15" s="1156">
        <v>8</v>
      </c>
      <c r="FC15" s="1156">
        <v>8</v>
      </c>
      <c r="FD15" s="1156">
        <v>8</v>
      </c>
      <c r="FE15" s="1156">
        <v>8</v>
      </c>
      <c r="FF15" s="1156">
        <v>8</v>
      </c>
      <c r="FG15" s="1156">
        <v>8</v>
      </c>
      <c r="FH15" s="1156">
        <v>8</v>
      </c>
      <c r="FI15" s="1156">
        <v>8</v>
      </c>
      <c r="FJ15" s="1156">
        <v>8</v>
      </c>
      <c r="FK15" s="1156">
        <v>8</v>
      </c>
      <c r="FL15" s="1156">
        <v>8</v>
      </c>
      <c r="FM15" s="1156">
        <v>8</v>
      </c>
      <c r="FN15" s="1156">
        <v>8</v>
      </c>
      <c r="FO15" s="1156">
        <v>8</v>
      </c>
      <c r="FP15" s="1156">
        <v>8</v>
      </c>
      <c r="FQ15" s="1156">
        <v>8</v>
      </c>
      <c r="FR15" s="1156">
        <v>8</v>
      </c>
      <c r="FS15" s="1156">
        <v>8</v>
      </c>
      <c r="FT15" s="1156">
        <v>8</v>
      </c>
      <c r="FU15" s="1156">
        <v>8</v>
      </c>
      <c r="FV15" s="1156">
        <v>8</v>
      </c>
      <c r="FW15" s="1156">
        <v>8</v>
      </c>
      <c r="FX15" s="1156">
        <v>8</v>
      </c>
      <c r="FY15" s="1156">
        <v>8</v>
      </c>
      <c r="FZ15" s="1156">
        <v>8</v>
      </c>
      <c r="GA15" s="1156">
        <v>8</v>
      </c>
      <c r="GB15" s="1156">
        <v>8</v>
      </c>
      <c r="GC15" s="1156">
        <v>8</v>
      </c>
      <c r="GD15" s="1156">
        <v>8</v>
      </c>
      <c r="GE15" s="1156">
        <v>8</v>
      </c>
      <c r="GF15" s="1156">
        <v>8</v>
      </c>
      <c r="GG15" s="1156">
        <v>8</v>
      </c>
      <c r="GH15" s="1156">
        <v>8</v>
      </c>
      <c r="GI15" s="1156">
        <v>8</v>
      </c>
      <c r="GJ15" s="1156">
        <v>8</v>
      </c>
      <c r="GK15" s="1156">
        <v>8</v>
      </c>
      <c r="GL15" s="1156">
        <v>8</v>
      </c>
      <c r="GM15" s="1156">
        <v>8</v>
      </c>
      <c r="GN15" s="1156">
        <v>8</v>
      </c>
      <c r="GO15" s="1156">
        <v>8</v>
      </c>
      <c r="GP15" s="1156">
        <v>8</v>
      </c>
      <c r="GQ15" s="1156">
        <v>8</v>
      </c>
      <c r="GR15" s="1156">
        <v>8</v>
      </c>
      <c r="GS15" s="1156">
        <v>8</v>
      </c>
      <c r="GT15" s="1156">
        <v>8</v>
      </c>
      <c r="GU15" s="1156">
        <v>8</v>
      </c>
      <c r="GV15" s="1156">
        <v>8</v>
      </c>
      <c r="GW15" s="1156">
        <v>8</v>
      </c>
      <c r="GX15" s="1156">
        <v>8</v>
      </c>
      <c r="GY15" s="1156">
        <v>8</v>
      </c>
      <c r="GZ15" s="1156">
        <v>8</v>
      </c>
      <c r="HA15" s="1156">
        <v>8</v>
      </c>
      <c r="HB15" s="1156">
        <v>8</v>
      </c>
      <c r="HC15" s="1156">
        <v>8</v>
      </c>
      <c r="HD15" s="1156">
        <v>8</v>
      </c>
      <c r="HE15" s="1156">
        <v>8</v>
      </c>
      <c r="HF15" s="1156">
        <v>8</v>
      </c>
      <c r="HG15" s="1156">
        <v>8</v>
      </c>
      <c r="HH15" s="1156">
        <v>8</v>
      </c>
      <c r="HI15" s="1156">
        <v>8</v>
      </c>
      <c r="HJ15" s="1156">
        <v>8</v>
      </c>
      <c r="HK15" s="1156">
        <v>8</v>
      </c>
      <c r="HL15" s="1156">
        <v>8</v>
      </c>
      <c r="HM15" s="1156">
        <v>8</v>
      </c>
      <c r="HN15" s="1156">
        <v>8</v>
      </c>
      <c r="HO15" s="1156">
        <v>8</v>
      </c>
      <c r="HP15" s="1156">
        <v>8</v>
      </c>
      <c r="HQ15" s="1156">
        <v>8</v>
      </c>
      <c r="HR15" s="1156">
        <v>8</v>
      </c>
      <c r="HS15" s="1156">
        <v>8</v>
      </c>
      <c r="HT15" s="1156">
        <v>8</v>
      </c>
      <c r="HU15" s="1156">
        <v>8</v>
      </c>
      <c r="HV15" s="1156">
        <v>8</v>
      </c>
      <c r="HW15" s="1156">
        <v>8</v>
      </c>
      <c r="HX15" s="1156">
        <v>8</v>
      </c>
      <c r="HY15" s="1156">
        <v>8</v>
      </c>
      <c r="HZ15" s="1156">
        <v>8</v>
      </c>
      <c r="IA15" s="1156">
        <v>8</v>
      </c>
      <c r="IB15" s="1156">
        <v>8</v>
      </c>
      <c r="IC15" s="1156">
        <v>8</v>
      </c>
      <c r="ID15" s="1156">
        <v>8</v>
      </c>
      <c r="IE15" s="1156">
        <v>8</v>
      </c>
      <c r="IF15" s="1156">
        <v>8</v>
      </c>
      <c r="IG15" s="1156">
        <v>8</v>
      </c>
      <c r="IH15" s="1156">
        <v>8</v>
      </c>
      <c r="II15" s="1156">
        <v>8</v>
      </c>
      <c r="IJ15" s="1156">
        <v>8</v>
      </c>
      <c r="IK15" s="1156">
        <v>8</v>
      </c>
      <c r="IL15" s="1156">
        <v>8</v>
      </c>
      <c r="IM15" s="1156">
        <v>8</v>
      </c>
      <c r="IN15" s="1156">
        <v>8</v>
      </c>
      <c r="IO15" s="1156">
        <v>8</v>
      </c>
      <c r="IP15" s="1156">
        <v>8</v>
      </c>
      <c r="IQ15" s="1156">
        <v>8</v>
      </c>
      <c r="IR15" s="1156">
        <v>8</v>
      </c>
      <c r="IS15" s="1156">
        <v>8</v>
      </c>
      <c r="IT15" s="1156">
        <v>8</v>
      </c>
      <c r="IU15" s="1156">
        <v>8</v>
      </c>
      <c r="IV15" s="1156">
        <v>8</v>
      </c>
      <c r="IW15" s="1156">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operator="lessThanOrEqual" allowBlank="1" showInputMessage="1" showErrorMessage="1" sqref="I10 I2">
      <formula1>990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3:I3">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3CC222D-543B-D0B2-43E6-0.5D6A3BB3}" mc:Ignorable="x14ac xr xr2 xr3">
  <dimension ref="A1:IW15"/>
  <sheetViews>
    <sheetView topLeftCell="A1" showGridLines="0" zoomScale="90" workbookViewId="0">
      <selection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16.00390625" customWidth="1"/>
    <col min="8" max="8" style="1636" width="12.00390625" customWidth="1"/>
    <col min="9" max="9" style="1636" width="32.00390625" customWidth="1"/>
    <col min="10" max="11" style="1636" width="41.00390625" customWidth="1"/>
    <col min="12" max="12" style="1636" width="89.00390625" customWidth="1"/>
    <col min="13" max="13" style="1625" width="3.00390625" customWidth="1"/>
    <col min="14" max="16" style="1625" width="8.00390625" customWidth="1"/>
    <col min="17" max="17" style="1625" width="25.00390625" customWidth="1"/>
    <col min="18" max="18" style="1625" width="14.00390625" customWidth="1"/>
    <col min="19" max="22" style="226" width="8.00390625" customWidth="1"/>
    <col min="23" max="256" style="1636" width="8.00390625" customWidth="1"/>
    <col min="257" max="257" style="1636" width="9.140625" hidden="1"/>
  </cols>
  <sheetData>
    <row customHeight="1" ht="22.5" hidden="1">
      <c r="IW1" s="1632" t="s">
        <v>14</v>
      </c>
    </row>
    <row s="1851" customFormat="1" customHeight="1" ht="22.5" hidden="1">
      <c r="A2" s="832"/>
      <c r="B2" s="1367">
        <v>1</v>
      </c>
      <c r="C2" s="1367"/>
      <c r="D2" s="1929" t="s">
        <v>234</v>
      </c>
      <c r="E2" s="1905"/>
      <c r="F2" s="1907" t="str">
        <f>IF(ROIV_INFO_NAME="","",ROIV_INFO_NAME)</f>
        <v>ИМУП «ПОСЖИЛКОМСЕРВИС»</v>
      </c>
      <c r="G2" s="1733" t="s">
        <v>28</v>
      </c>
      <c r="H2" s="1917"/>
      <c r="I2" s="1539"/>
      <c r="J2" s="819"/>
      <c r="K2" s="819"/>
      <c r="L2" s="229"/>
      <c r="M2" s="1536">
        <f>MERGEVALUE(F2)</f>
      </c>
      <c r="N2" s="1637"/>
      <c r="O2" s="1637"/>
      <c r="P2" s="1625" t="str">
        <f t="array" ref="P2:P2">IF(ISERROR(MATCH(MID(Q2,1,250),MID(note_ter,1,250),0)),"n","y")</f>
        <v>n</v>
      </c>
      <c r="Q2" s="1637"/>
      <c r="R2" s="1625" t="str">
        <f>G2&amp;"("&amp;L2&amp;")"</f>
        <v>()</v>
      </c>
      <c r="S2" s="1367"/>
      <c r="T2" s="1367"/>
      <c r="U2" s="421"/>
      <c r="V2" s="1367"/>
      <c r="W2" s="1367"/>
      <c r="X2" s="1367"/>
      <c r="Y2" s="834"/>
      <c r="Z2" s="834"/>
      <c r="AA2" s="628"/>
      <c r="AB2" s="628"/>
      <c r="AC2" s="628"/>
      <c r="AD2" s="628"/>
      <c r="AE2" s="628"/>
      <c r="AF2" s="628"/>
      <c r="AG2" s="628"/>
      <c r="AH2" s="628"/>
      <c r="AI2" s="628"/>
      <c r="AJ2" s="628"/>
      <c r="AK2" s="628"/>
      <c r="AL2" s="628"/>
      <c r="AM2" s="628"/>
      <c r="AN2" s="628"/>
      <c r="AO2" s="628"/>
      <c r="AP2" s="628"/>
      <c r="AQ2" s="628"/>
      <c r="AR2" s="628"/>
      <c r="AS2" s="628"/>
      <c r="AT2" s="628"/>
      <c r="AU2" s="628"/>
      <c r="AV2" s="628"/>
      <c r="AW2" s="628"/>
      <c r="AX2" s="628"/>
      <c r="AY2" s="628"/>
      <c r="AZ2" s="628"/>
      <c r="BA2" s="628"/>
      <c r="BB2" s="628"/>
      <c r="BC2" s="628"/>
      <c r="BD2" s="628"/>
      <c r="BE2" s="628"/>
      <c r="BF2" s="628"/>
      <c r="BG2" s="628"/>
      <c r="BH2" s="628"/>
      <c r="BI2" s="628"/>
      <c r="BJ2" s="628"/>
      <c r="BK2" s="628"/>
      <c r="BL2" s="628"/>
      <c r="BM2" s="628"/>
      <c r="BN2" s="628"/>
      <c r="BO2" s="628"/>
      <c r="BP2" s="628"/>
      <c r="BQ2" s="628"/>
      <c r="BR2" s="628"/>
      <c r="BS2" s="628"/>
      <c r="BT2" s="628"/>
      <c r="BU2" s="628"/>
      <c r="BV2" s="834"/>
      <c r="BW2" s="834"/>
      <c r="BX2" s="834"/>
      <c r="BY2" s="834"/>
      <c r="BZ2" s="834"/>
      <c r="CA2" s="834"/>
      <c r="CB2" s="834"/>
      <c r="CC2" s="834"/>
      <c r="CD2" s="834"/>
      <c r="CE2" s="834"/>
      <c r="IW2" s="625">
        <v>0</v>
      </c>
    </row>
    <row s="1643" customFormat="1" customHeight="1" ht="5.25" hidden="1">
      <c r="A3" s="1642"/>
      <c r="D3" s="1894"/>
      <c r="F3" s="249" t="s">
        <v>85</v>
      </c>
      <c r="G3" s="1736" t="s">
        <v>86</v>
      </c>
      <c r="H3" s="1894"/>
      <c r="I3" s="1894"/>
      <c r="J3" s="1894"/>
      <c r="K3" s="1894"/>
      <c r="L3" s="228" t="s">
        <v>87</v>
      </c>
      <c r="M3" s="249" t="s">
        <v>85</v>
      </c>
      <c r="N3" s="249"/>
      <c r="O3" s="249"/>
      <c r="P3" s="249"/>
      <c r="Q3" s="249"/>
      <c r="R3" s="249"/>
      <c r="S3" s="249"/>
      <c r="T3" s="249"/>
      <c r="U3" s="249"/>
      <c r="V3" s="249"/>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228"/>
      <c r="IV3" s="228"/>
      <c r="IW3" s="1637">
        <v>0</v>
      </c>
    </row>
    <row s="1820" customFormat="1" customHeight="1" ht="14.699999999999998">
      <c r="A4" s="1632"/>
      <c r="B4" s="1367"/>
      <c r="C4" s="1632"/>
      <c r="D4" s="1516"/>
      <c r="E4" s="1636"/>
      <c r="F4" s="1636"/>
      <c r="G4" s="1636"/>
      <c r="H4" s="1636"/>
      <c r="I4" s="1636"/>
      <c r="J4" s="1636"/>
      <c r="K4" s="1636"/>
      <c r="L4" s="1896"/>
      <c r="M4" s="249"/>
      <c r="N4" s="1625"/>
      <c r="O4" s="1625"/>
      <c r="P4" s="1625"/>
      <c r="Q4" s="1625"/>
      <c r="R4" s="1625"/>
      <c r="S4" s="226"/>
      <c r="T4" s="226"/>
      <c r="U4" s="226"/>
      <c r="V4" s="226"/>
      <c r="IW4" s="1610">
        <v>14</v>
      </c>
    </row>
    <row s="1820" customFormat="1" customHeight="1" ht="27.299999999999997">
      <c r="A5" s="1632"/>
      <c r="B5" s="1367"/>
      <c r="C5" s="1632"/>
      <c r="D5" s="1516"/>
      <c r="E5" s="2101"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01"/>
      <c r="G5" s="2101"/>
      <c r="H5" s="2101"/>
      <c r="I5" s="2101"/>
      <c r="J5" s="2101"/>
      <c r="K5" s="2101"/>
      <c r="L5" s="1636"/>
      <c r="M5" s="249"/>
      <c r="N5" s="1625"/>
      <c r="O5" s="1625"/>
      <c r="P5" s="1625"/>
      <c r="Q5" s="1625"/>
      <c r="R5" s="1625"/>
      <c r="S5" s="226"/>
      <c r="T5" s="226"/>
      <c r="U5" s="226"/>
      <c r="V5" s="226"/>
      <c r="IW5" s="1610">
        <v>26</v>
      </c>
    </row>
    <row s="1820" customFormat="1" customHeight="1" ht="14.699999999999998">
      <c r="A6" s="1632"/>
      <c r="B6" s="1367"/>
      <c r="C6" s="1632"/>
      <c r="D6" s="1516"/>
      <c r="E6" s="1636"/>
      <c r="F6" s="617"/>
      <c r="G6" s="617"/>
      <c r="H6" s="617"/>
      <c r="I6" s="617"/>
      <c r="J6" s="617"/>
      <c r="K6" s="617"/>
      <c r="L6" s="1253"/>
      <c r="M6" s="1625"/>
      <c r="N6" s="1625"/>
      <c r="O6" s="1625"/>
      <c r="P6" s="1625"/>
      <c r="Q6" s="1625"/>
      <c r="R6" s="1625"/>
      <c r="S6" s="226"/>
      <c r="T6" s="226"/>
      <c r="U6" s="226"/>
      <c r="V6" s="226"/>
      <c r="IW6" s="1610">
        <v>14</v>
      </c>
    </row>
    <row s="1820" customFormat="1" customHeight="1" ht="14.699999999999998">
      <c r="A7" s="1632"/>
      <c r="B7" s="1367"/>
      <c r="C7" s="1632"/>
      <c r="D7" s="1516"/>
      <c r="E7" s="2102" t="s">
        <v>312</v>
      </c>
      <c r="F7" s="2103"/>
      <c r="G7" s="2103"/>
      <c r="H7" s="2103"/>
      <c r="I7" s="2103"/>
      <c r="J7" s="2103"/>
      <c r="K7" s="2103"/>
      <c r="L7" s="2475" t="s">
        <v>313</v>
      </c>
      <c r="M7" s="1625"/>
      <c r="N7" s="1625"/>
      <c r="O7" s="1625"/>
      <c r="P7" s="1625"/>
      <c r="Q7" s="1625"/>
      <c r="R7" s="1625"/>
      <c r="S7" s="226"/>
      <c r="T7" s="226"/>
      <c r="U7" s="226"/>
      <c r="V7" s="226"/>
      <c r="IW7" s="1610">
        <v>14</v>
      </c>
    </row>
    <row s="1820" customFormat="1" customHeight="1" ht="67.2">
      <c r="A8" s="1632"/>
      <c r="B8" s="1367"/>
      <c r="C8" s="1632"/>
      <c r="D8" s="1516"/>
      <c r="E8" s="2479" t="s">
        <v>90</v>
      </c>
      <c r="F8" s="2479" t="s">
        <v>1893</v>
      </c>
      <c r="G8" s="2481" t="s">
        <v>1894</v>
      </c>
      <c r="H8" s="2482"/>
      <c r="I8" s="2483"/>
      <c r="J8" s="2479" t="s">
        <v>1895</v>
      </c>
      <c r="K8" s="2479"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7"/>
      <c r="M8" s="1625"/>
      <c r="N8" s="1625"/>
      <c r="O8" s="1625"/>
      <c r="P8" s="1625"/>
      <c r="Q8" s="1625"/>
      <c r="R8" s="1625"/>
      <c r="S8" s="226"/>
      <c r="T8" s="226"/>
      <c r="U8" s="226"/>
      <c r="V8" s="226"/>
      <c r="IW8" s="1610">
        <v>64</v>
      </c>
    </row>
    <row s="1820" customFormat="1" customHeight="1" ht="29.25">
      <c r="A9" s="1632"/>
      <c r="B9" s="1367"/>
      <c r="C9" s="1632"/>
      <c r="D9" s="1516"/>
      <c r="E9" s="2480"/>
      <c r="F9" s="2480"/>
      <c r="G9" s="1895" t="s">
        <v>1889</v>
      </c>
      <c r="H9" s="1895" t="s">
        <v>1890</v>
      </c>
      <c r="I9" s="1895" t="s">
        <v>1891</v>
      </c>
      <c r="J9" s="2480"/>
      <c r="K9" s="2480"/>
      <c r="L9" s="2476"/>
      <c r="M9" s="1625"/>
      <c r="N9" s="1625"/>
      <c r="O9" s="1625"/>
      <c r="P9" s="1625"/>
      <c r="Q9" s="1625"/>
      <c r="R9" s="1625"/>
      <c r="S9" s="226"/>
      <c r="T9" s="226"/>
      <c r="U9" s="226"/>
      <c r="V9" s="226"/>
      <c r="IW9" s="1610">
        <v>28</v>
      </c>
    </row>
    <row s="1851" customFormat="1" customHeight="1" ht="1.05">
      <c r="A10" s="2100"/>
      <c r="B10" s="1367">
        <v>1</v>
      </c>
      <c r="C10" s="1367"/>
      <c r="D10" s="801"/>
      <c r="E10" s="796">
        <v>0</v>
      </c>
      <c r="F10" s="1892" t="str">
        <f>IF(ROIV_INFO_NAME="","",ROIV_INFO_NAME)</f>
        <v>ИМУП «ПОСЖИЛКОМСЕРВИС»</v>
      </c>
      <c r="G10" s="1734" t="s">
        <v>28</v>
      </c>
      <c r="H10" s="1904"/>
      <c r="I10" s="1904"/>
      <c r="J10" s="520"/>
      <c r="K10" s="520"/>
      <c r="L10" s="2433"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6">
        <f>MERGEVALUE(F10)</f>
      </c>
      <c r="N10" s="1637"/>
      <c r="O10" s="1637"/>
      <c r="P10" s="1625" t="str">
        <f t="array" ref="P10:P10">IF(ISERROR(MATCH(MID(Q10,1,250),MID(note_ter,1,250),0)),"n","y")</f>
        <v>n</v>
      </c>
      <c r="Q10" s="1637"/>
      <c r="R10" s="1625"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67"/>
      <c r="T10" s="1367"/>
      <c r="U10" s="421"/>
      <c r="V10" s="1367"/>
      <c r="W10" s="1367"/>
      <c r="X10" s="1367"/>
      <c r="Y10" s="834"/>
      <c r="Z10" s="834"/>
      <c r="AA10" s="628"/>
      <c r="AB10" s="628"/>
      <c r="AC10" s="628"/>
      <c r="AD10" s="628"/>
      <c r="AE10" s="628"/>
      <c r="AF10" s="628"/>
      <c r="AG10" s="628"/>
      <c r="AH10" s="628"/>
      <c r="AI10" s="628"/>
      <c r="AJ10" s="628"/>
      <c r="AK10" s="628"/>
      <c r="AL10" s="628"/>
      <c r="AM10" s="628"/>
      <c r="AN10" s="628"/>
      <c r="AO10" s="628"/>
      <c r="AP10" s="628"/>
      <c r="AQ10" s="628"/>
      <c r="AR10" s="628"/>
      <c r="AS10" s="628"/>
      <c r="AT10" s="628"/>
      <c r="AU10" s="628"/>
      <c r="AV10" s="628"/>
      <c r="AW10" s="628"/>
      <c r="AX10" s="628"/>
      <c r="AY10" s="628"/>
      <c r="AZ10" s="628"/>
      <c r="BA10" s="628"/>
      <c r="BB10" s="628"/>
      <c r="BC10" s="628"/>
      <c r="BD10" s="628"/>
      <c r="BE10" s="628"/>
      <c r="BF10" s="628"/>
      <c r="BG10" s="628"/>
      <c r="BH10" s="628"/>
      <c r="BI10" s="628"/>
      <c r="BJ10" s="628"/>
      <c r="BK10" s="628"/>
      <c r="BL10" s="628"/>
      <c r="BM10" s="628"/>
      <c r="BN10" s="628"/>
      <c r="BO10" s="628"/>
      <c r="BP10" s="628"/>
      <c r="BQ10" s="628"/>
      <c r="BR10" s="628"/>
      <c r="BS10" s="628"/>
      <c r="BT10" s="628"/>
      <c r="BU10" s="628"/>
      <c r="BV10" s="834"/>
      <c r="BW10" s="834"/>
      <c r="BX10" s="834"/>
      <c r="BY10" s="834"/>
      <c r="BZ10" s="834"/>
      <c r="CA10" s="834"/>
      <c r="CB10" s="834"/>
      <c r="CC10" s="834"/>
      <c r="CD10" s="834"/>
      <c r="CE10" s="834"/>
      <c r="IW10" s="625">
        <v>1</v>
      </c>
    </row>
    <row s="1851" customFormat="1" customHeight="1" ht="15.75">
      <c r="A11" s="2100"/>
      <c r="B11" s="1367"/>
      <c r="C11" s="413"/>
      <c r="D11" s="802"/>
      <c r="E11" s="422"/>
      <c r="F11" s="652" t="s">
        <v>1892</v>
      </c>
      <c r="G11" s="188"/>
      <c r="H11" s="188"/>
      <c r="I11" s="188"/>
      <c r="J11" s="188"/>
      <c r="K11" s="425"/>
      <c r="L11" s="2478"/>
      <c r="M11" s="1537"/>
      <c r="N11" s="1637"/>
      <c r="O11" s="1637"/>
      <c r="P11" s="1637"/>
      <c r="Q11" s="1625"/>
      <c r="R11" s="1637"/>
      <c r="S11" s="1367"/>
      <c r="T11" s="1367"/>
      <c r="U11" s="421"/>
      <c r="V11" s="1367"/>
      <c r="W11" s="1367"/>
      <c r="X11" s="1367"/>
      <c r="Y11" s="834"/>
      <c r="Z11" s="834"/>
      <c r="AA11" s="628"/>
      <c r="AB11" s="628"/>
      <c r="AC11" s="628"/>
      <c r="AD11" s="628"/>
      <c r="AE11" s="628"/>
      <c r="AF11" s="628"/>
      <c r="AG11" s="628"/>
      <c r="AH11" s="628"/>
      <c r="AI11" s="628"/>
      <c r="AJ11" s="628"/>
      <c r="AK11" s="628"/>
      <c r="AL11" s="628"/>
      <c r="AM11" s="628"/>
      <c r="AN11" s="628"/>
      <c r="AO11" s="628"/>
      <c r="AP11" s="628"/>
      <c r="AQ11" s="628"/>
      <c r="AR11" s="628"/>
      <c r="AS11" s="628"/>
      <c r="AT11" s="628"/>
      <c r="AU11" s="628"/>
      <c r="AV11" s="628"/>
      <c r="AW11" s="628"/>
      <c r="AX11" s="628"/>
      <c r="AY11" s="628"/>
      <c r="AZ11" s="628"/>
      <c r="BA11" s="628"/>
      <c r="BB11" s="628"/>
      <c r="BC11" s="628"/>
      <c r="BD11" s="628"/>
      <c r="BE11" s="628"/>
      <c r="BF11" s="628"/>
      <c r="BG11" s="628"/>
      <c r="BH11" s="628"/>
      <c r="BI11" s="628"/>
      <c r="BJ11" s="628"/>
      <c r="BK11" s="628"/>
      <c r="BL11" s="628"/>
      <c r="BM11" s="628"/>
      <c r="BN11" s="628"/>
      <c r="BO11" s="628"/>
      <c r="BP11" s="628"/>
      <c r="BQ11" s="628"/>
      <c r="BR11" s="628"/>
      <c r="BS11" s="628"/>
      <c r="BT11" s="628"/>
      <c r="BU11" s="628"/>
      <c r="BV11" s="834"/>
      <c r="BW11" s="834"/>
      <c r="BX11" s="834"/>
      <c r="BY11" s="834"/>
      <c r="BZ11" s="834"/>
      <c r="CA11" s="834"/>
      <c r="CB11" s="834"/>
      <c r="CC11" s="834"/>
      <c r="CD11" s="834"/>
      <c r="CE11" s="834"/>
      <c r="IW11" s="625">
        <v>15</v>
      </c>
    </row>
    <row s="1820" customFormat="1" customHeight="1" ht="22.049999999999997">
      <c r="A12" s="1632"/>
      <c r="B12" s="1367"/>
      <c r="C12" s="1632"/>
      <c r="D12" s="1634"/>
      <c r="E12" s="181"/>
      <c r="F12" s="181"/>
      <c r="G12" s="181"/>
      <c r="H12" s="181"/>
      <c r="I12" s="181"/>
      <c r="J12" s="181"/>
      <c r="K12" s="181"/>
      <c r="L12" s="181"/>
      <c r="M12" s="1625"/>
      <c r="N12" s="1625"/>
      <c r="O12" s="1625"/>
      <c r="P12" s="1625"/>
      <c r="Q12" s="1625"/>
      <c r="R12" s="1625"/>
      <c r="S12" s="226"/>
      <c r="T12" s="226"/>
      <c r="U12" s="226"/>
      <c r="V12" s="226"/>
      <c r="IW12" s="1610">
        <v>21</v>
      </c>
    </row>
    <row s="1820" customFormat="1" customHeight="1" ht="14.699999999999998">
      <c r="A13" s="1632"/>
      <c r="B13" s="1367"/>
      <c r="C13" s="1632"/>
      <c r="D13" s="1634"/>
      <c r="E13" s="1632"/>
      <c r="F13" s="1632"/>
      <c r="G13" s="1632"/>
      <c r="H13" s="1632"/>
      <c r="I13" s="1632"/>
      <c r="J13" s="1632"/>
      <c r="K13" s="1632"/>
      <c r="L13" s="1632"/>
      <c r="M13" s="1625"/>
      <c r="N13" s="1625"/>
      <c r="O13" s="1625"/>
      <c r="P13" s="1625"/>
      <c r="Q13" s="1625"/>
      <c r="R13" s="1625"/>
      <c r="S13" s="226"/>
      <c r="T13" s="226"/>
      <c r="U13" s="226"/>
      <c r="V13" s="226"/>
      <c r="IW13" s="1610">
        <v>14</v>
      </c>
    </row>
    <row s="1820" customFormat="1" customHeight="1" ht="1.05">
      <c r="A14" s="1632"/>
      <c r="B14" s="1367"/>
      <c r="C14" s="1632"/>
      <c r="D14" s="1634"/>
      <c r="E14" s="1632"/>
      <c r="F14" s="1632"/>
      <c r="G14" s="1632"/>
      <c r="H14" s="1632"/>
      <c r="I14" s="1632"/>
      <c r="J14" s="1632"/>
      <c r="K14" s="1632"/>
      <c r="L14" s="1632"/>
      <c r="M14" s="1625"/>
      <c r="N14" s="1625"/>
      <c r="O14" s="1625"/>
      <c r="P14" s="1625"/>
      <c r="Q14" s="1625"/>
      <c r="R14" s="1625"/>
      <c r="S14" s="226"/>
      <c r="T14" s="226"/>
      <c r="U14" s="226"/>
      <c r="V14" s="226"/>
      <c r="IW14" s="1610">
        <v>1</v>
      </c>
    </row>
    <row customHeight="1" ht="22.5" hidden="1">
      <c r="A15" s="1632" t="s">
        <v>84</v>
      </c>
      <c r="B15" s="1367">
        <v>0</v>
      </c>
      <c r="C15" s="1632">
        <v>0</v>
      </c>
      <c r="D15" s="1634">
        <v>3</v>
      </c>
      <c r="E15" s="1632">
        <v>6</v>
      </c>
      <c r="F15" s="1632">
        <v>27</v>
      </c>
      <c r="G15" s="1632">
        <v>16</v>
      </c>
      <c r="H15" s="1632">
        <v>12</v>
      </c>
      <c r="I15" s="1632">
        <v>32</v>
      </c>
      <c r="J15" s="1632">
        <v>41</v>
      </c>
      <c r="K15" s="1632">
        <v>41</v>
      </c>
      <c r="L15" s="1632">
        <v>89</v>
      </c>
      <c r="M15" s="1625">
        <v>3</v>
      </c>
      <c r="N15" s="1625">
        <v>8</v>
      </c>
      <c r="O15" s="1625">
        <v>8</v>
      </c>
      <c r="P15" s="1625">
        <v>8</v>
      </c>
      <c r="Q15" s="1625">
        <v>25</v>
      </c>
      <c r="R15" s="1625">
        <v>14</v>
      </c>
      <c r="S15" s="226">
        <v>8</v>
      </c>
      <c r="T15" s="226">
        <v>8</v>
      </c>
      <c r="U15" s="226">
        <v>8</v>
      </c>
      <c r="V15" s="226">
        <v>8</v>
      </c>
      <c r="W15" s="1632">
        <v>8</v>
      </c>
      <c r="X15" s="1632">
        <v>8</v>
      </c>
      <c r="Y15" s="1632">
        <v>8</v>
      </c>
      <c r="Z15" s="1632">
        <v>8</v>
      </c>
      <c r="AA15" s="1632">
        <v>8</v>
      </c>
      <c r="AB15" s="1632">
        <v>8</v>
      </c>
      <c r="AC15" s="1632">
        <v>8</v>
      </c>
      <c r="AD15" s="1632">
        <v>8</v>
      </c>
      <c r="AE15" s="1632">
        <v>8</v>
      </c>
      <c r="AF15" s="1632">
        <v>8</v>
      </c>
      <c r="AG15" s="1632">
        <v>8</v>
      </c>
      <c r="AH15" s="1632">
        <v>8</v>
      </c>
      <c r="AI15" s="1632">
        <v>8</v>
      </c>
      <c r="AJ15" s="1632">
        <v>8</v>
      </c>
      <c r="AK15" s="1632">
        <v>8</v>
      </c>
      <c r="AL15" s="1632">
        <v>8</v>
      </c>
      <c r="AM15" s="1632">
        <v>8</v>
      </c>
      <c r="AN15" s="1632">
        <v>8</v>
      </c>
      <c r="AO15" s="1632">
        <v>8</v>
      </c>
      <c r="AP15" s="1632">
        <v>8</v>
      </c>
      <c r="AQ15" s="1632">
        <v>8</v>
      </c>
      <c r="AR15" s="1632">
        <v>8</v>
      </c>
      <c r="AS15" s="1632">
        <v>8</v>
      </c>
      <c r="AT15" s="1632">
        <v>8</v>
      </c>
      <c r="AU15" s="1632">
        <v>8</v>
      </c>
      <c r="AV15" s="1632">
        <v>8</v>
      </c>
      <c r="AW15" s="1632">
        <v>8</v>
      </c>
      <c r="AX15" s="1632">
        <v>8</v>
      </c>
      <c r="AY15" s="1632">
        <v>8</v>
      </c>
      <c r="AZ15" s="1632">
        <v>8</v>
      </c>
      <c r="BA15" s="1632">
        <v>8</v>
      </c>
      <c r="BB15" s="1632">
        <v>8</v>
      </c>
      <c r="BC15" s="1632">
        <v>8</v>
      </c>
      <c r="BD15" s="1632">
        <v>8</v>
      </c>
      <c r="BE15" s="1632">
        <v>8</v>
      </c>
      <c r="BF15" s="1632">
        <v>8</v>
      </c>
      <c r="BG15" s="1632">
        <v>8</v>
      </c>
      <c r="BH15" s="1632">
        <v>8</v>
      </c>
      <c r="BI15" s="1632">
        <v>8</v>
      </c>
      <c r="BJ15" s="1632">
        <v>8</v>
      </c>
      <c r="BK15" s="1632">
        <v>8</v>
      </c>
      <c r="BL15" s="1632">
        <v>8</v>
      </c>
      <c r="BM15" s="1632">
        <v>8</v>
      </c>
      <c r="BN15" s="1632">
        <v>8</v>
      </c>
      <c r="BO15" s="1632">
        <v>8</v>
      </c>
      <c r="BP15" s="1632">
        <v>8</v>
      </c>
      <c r="BQ15" s="1632">
        <v>8</v>
      </c>
      <c r="BR15" s="1632">
        <v>8</v>
      </c>
      <c r="BS15" s="1632">
        <v>8</v>
      </c>
      <c r="BT15" s="1632">
        <v>8</v>
      </c>
      <c r="BU15" s="1632">
        <v>8</v>
      </c>
      <c r="BV15" s="1632">
        <v>8</v>
      </c>
      <c r="BW15" s="1632">
        <v>8</v>
      </c>
      <c r="BX15" s="1632">
        <v>8</v>
      </c>
      <c r="BY15" s="1632">
        <v>8</v>
      </c>
      <c r="BZ15" s="1632">
        <v>8</v>
      </c>
      <c r="CA15" s="1632">
        <v>8</v>
      </c>
      <c r="CB15" s="1632">
        <v>8</v>
      </c>
      <c r="CC15" s="1632">
        <v>8</v>
      </c>
      <c r="CD15" s="1632">
        <v>8</v>
      </c>
      <c r="CE15" s="1632">
        <v>8</v>
      </c>
      <c r="CF15" s="1632">
        <v>8</v>
      </c>
      <c r="CG15" s="1632">
        <v>8</v>
      </c>
      <c r="CH15" s="1632">
        <v>8</v>
      </c>
      <c r="CI15" s="1632">
        <v>8</v>
      </c>
      <c r="CJ15" s="1632">
        <v>8</v>
      </c>
      <c r="CK15" s="1632">
        <v>8</v>
      </c>
      <c r="CL15" s="1632">
        <v>8</v>
      </c>
      <c r="CM15" s="1632">
        <v>8</v>
      </c>
      <c r="CN15" s="1632">
        <v>8</v>
      </c>
      <c r="CO15" s="1632">
        <v>8</v>
      </c>
      <c r="CP15" s="1632">
        <v>8</v>
      </c>
      <c r="CQ15" s="1632">
        <v>8</v>
      </c>
      <c r="CR15" s="1632">
        <v>8</v>
      </c>
      <c r="CS15" s="1632">
        <v>8</v>
      </c>
      <c r="CT15" s="1632">
        <v>8</v>
      </c>
      <c r="CU15" s="1632">
        <v>8</v>
      </c>
      <c r="CV15" s="1632">
        <v>8</v>
      </c>
      <c r="CW15" s="1632">
        <v>8</v>
      </c>
      <c r="CX15" s="1632">
        <v>8</v>
      </c>
      <c r="CY15" s="1632">
        <v>8</v>
      </c>
      <c r="CZ15" s="1632">
        <v>8</v>
      </c>
      <c r="DA15" s="1632">
        <v>8</v>
      </c>
      <c r="DB15" s="1632">
        <v>8</v>
      </c>
      <c r="DC15" s="1632">
        <v>8</v>
      </c>
      <c r="DD15" s="1632">
        <v>8</v>
      </c>
      <c r="DE15" s="1632">
        <v>8</v>
      </c>
      <c r="DF15" s="1632">
        <v>8</v>
      </c>
      <c r="DG15" s="1632">
        <v>8</v>
      </c>
      <c r="DH15" s="1632">
        <v>8</v>
      </c>
      <c r="DI15" s="1632">
        <v>8</v>
      </c>
      <c r="DJ15" s="1632">
        <v>8</v>
      </c>
      <c r="DK15" s="1632">
        <v>8</v>
      </c>
      <c r="DL15" s="1632">
        <v>8</v>
      </c>
      <c r="DM15" s="1632">
        <v>8</v>
      </c>
      <c r="DN15" s="1632">
        <v>8</v>
      </c>
      <c r="DO15" s="1632">
        <v>8</v>
      </c>
      <c r="DP15" s="1632">
        <v>8</v>
      </c>
      <c r="DQ15" s="1632">
        <v>8</v>
      </c>
      <c r="DR15" s="1632">
        <v>8</v>
      </c>
      <c r="DS15" s="1632">
        <v>8</v>
      </c>
      <c r="DT15" s="1632">
        <v>8</v>
      </c>
      <c r="DU15" s="1632">
        <v>8</v>
      </c>
      <c r="DV15" s="1632">
        <v>8</v>
      </c>
      <c r="DW15" s="1632">
        <v>8</v>
      </c>
      <c r="DX15" s="1632">
        <v>8</v>
      </c>
      <c r="DY15" s="1632">
        <v>8</v>
      </c>
      <c r="DZ15" s="1632">
        <v>8</v>
      </c>
      <c r="EA15" s="1632">
        <v>8</v>
      </c>
      <c r="EB15" s="1632">
        <v>8</v>
      </c>
      <c r="EC15" s="1632">
        <v>8</v>
      </c>
      <c r="ED15" s="1632">
        <v>8</v>
      </c>
      <c r="EE15" s="1632">
        <v>8</v>
      </c>
      <c r="EF15" s="1632">
        <v>8</v>
      </c>
      <c r="EG15" s="1632">
        <v>8</v>
      </c>
      <c r="EH15" s="1632">
        <v>8</v>
      </c>
      <c r="EI15" s="1632">
        <v>8</v>
      </c>
      <c r="EJ15" s="1632">
        <v>8</v>
      </c>
      <c r="EK15" s="1632">
        <v>8</v>
      </c>
      <c r="EL15" s="1632">
        <v>8</v>
      </c>
      <c r="EM15" s="1632">
        <v>8</v>
      </c>
      <c r="EN15" s="1632">
        <v>8</v>
      </c>
      <c r="EO15" s="1632">
        <v>8</v>
      </c>
      <c r="EP15" s="1632">
        <v>8</v>
      </c>
      <c r="EQ15" s="1632">
        <v>8</v>
      </c>
      <c r="ER15" s="1632">
        <v>8</v>
      </c>
      <c r="ES15" s="1632">
        <v>8</v>
      </c>
      <c r="ET15" s="1632">
        <v>8</v>
      </c>
      <c r="EU15" s="1632">
        <v>8</v>
      </c>
      <c r="EV15" s="1632">
        <v>8</v>
      </c>
      <c r="EW15" s="1632">
        <v>8</v>
      </c>
      <c r="EX15" s="1632">
        <v>8</v>
      </c>
      <c r="EY15" s="1632">
        <v>8</v>
      </c>
      <c r="EZ15" s="1632">
        <v>8</v>
      </c>
      <c r="FA15" s="1632">
        <v>8</v>
      </c>
      <c r="FB15" s="1632">
        <v>8</v>
      </c>
      <c r="FC15" s="1632">
        <v>8</v>
      </c>
      <c r="FD15" s="1632">
        <v>8</v>
      </c>
      <c r="FE15" s="1632">
        <v>8</v>
      </c>
      <c r="FF15" s="1632">
        <v>8</v>
      </c>
      <c r="FG15" s="1632">
        <v>8</v>
      </c>
      <c r="FH15" s="1632">
        <v>8</v>
      </c>
      <c r="FI15" s="1632">
        <v>8</v>
      </c>
      <c r="FJ15" s="1632">
        <v>8</v>
      </c>
      <c r="FK15" s="1632">
        <v>8</v>
      </c>
      <c r="FL15" s="1632">
        <v>8</v>
      </c>
      <c r="FM15" s="1632">
        <v>8</v>
      </c>
      <c r="FN15" s="1632">
        <v>8</v>
      </c>
      <c r="FO15" s="1632">
        <v>8</v>
      </c>
      <c r="FP15" s="1632">
        <v>8</v>
      </c>
      <c r="FQ15" s="1632">
        <v>8</v>
      </c>
      <c r="FR15" s="1632">
        <v>8</v>
      </c>
      <c r="FS15" s="1632">
        <v>8</v>
      </c>
      <c r="FT15" s="1632">
        <v>8</v>
      </c>
      <c r="FU15" s="1632">
        <v>8</v>
      </c>
      <c r="FV15" s="1632">
        <v>8</v>
      </c>
      <c r="FW15" s="1632">
        <v>8</v>
      </c>
      <c r="FX15" s="1632">
        <v>8</v>
      </c>
      <c r="FY15" s="1632">
        <v>8</v>
      </c>
      <c r="FZ15" s="1632">
        <v>8</v>
      </c>
      <c r="GA15" s="1632">
        <v>8</v>
      </c>
      <c r="GB15" s="1632">
        <v>8</v>
      </c>
      <c r="GC15" s="1632">
        <v>8</v>
      </c>
      <c r="GD15" s="1632">
        <v>8</v>
      </c>
      <c r="GE15" s="1632">
        <v>8</v>
      </c>
      <c r="GF15" s="1632">
        <v>8</v>
      </c>
      <c r="GG15" s="1632">
        <v>8</v>
      </c>
      <c r="GH15" s="1632">
        <v>8</v>
      </c>
      <c r="GI15" s="1632">
        <v>8</v>
      </c>
      <c r="GJ15" s="1632">
        <v>8</v>
      </c>
      <c r="GK15" s="1632">
        <v>8</v>
      </c>
      <c r="GL15" s="1632">
        <v>8</v>
      </c>
      <c r="GM15" s="1632">
        <v>8</v>
      </c>
      <c r="GN15" s="1632">
        <v>8</v>
      </c>
      <c r="GO15" s="1632">
        <v>8</v>
      </c>
      <c r="GP15" s="1632">
        <v>8</v>
      </c>
      <c r="GQ15" s="1632">
        <v>8</v>
      </c>
      <c r="GR15" s="1632">
        <v>8</v>
      </c>
      <c r="GS15" s="1632">
        <v>8</v>
      </c>
      <c r="GT15" s="1632">
        <v>8</v>
      </c>
      <c r="GU15" s="1632">
        <v>8</v>
      </c>
      <c r="GV15" s="1632">
        <v>8</v>
      </c>
      <c r="GW15" s="1632">
        <v>8</v>
      </c>
      <c r="GX15" s="1632">
        <v>8</v>
      </c>
      <c r="GY15" s="1632">
        <v>8</v>
      </c>
      <c r="GZ15" s="1632">
        <v>8</v>
      </c>
      <c r="HA15" s="1632">
        <v>8</v>
      </c>
      <c r="HB15" s="1632">
        <v>8</v>
      </c>
      <c r="HC15" s="1632">
        <v>8</v>
      </c>
      <c r="HD15" s="1632">
        <v>8</v>
      </c>
      <c r="HE15" s="1632">
        <v>8</v>
      </c>
      <c r="HF15" s="1632">
        <v>8</v>
      </c>
      <c r="HG15" s="1632">
        <v>8</v>
      </c>
      <c r="HH15" s="1632">
        <v>8</v>
      </c>
      <c r="HI15" s="1632">
        <v>8</v>
      </c>
      <c r="HJ15" s="1632">
        <v>8</v>
      </c>
      <c r="HK15" s="1632">
        <v>8</v>
      </c>
      <c r="HL15" s="1632">
        <v>8</v>
      </c>
      <c r="HM15" s="1632">
        <v>8</v>
      </c>
      <c r="HN15" s="1632">
        <v>8</v>
      </c>
      <c r="HO15" s="1632">
        <v>8</v>
      </c>
      <c r="HP15" s="1632">
        <v>8</v>
      </c>
      <c r="HQ15" s="1632">
        <v>8</v>
      </c>
      <c r="HR15" s="1632">
        <v>8</v>
      </c>
      <c r="HS15" s="1632">
        <v>8</v>
      </c>
      <c r="HT15" s="1632">
        <v>8</v>
      </c>
      <c r="HU15" s="1632">
        <v>8</v>
      </c>
      <c r="HV15" s="1632">
        <v>8</v>
      </c>
      <c r="HW15" s="1632">
        <v>8</v>
      </c>
      <c r="HX15" s="1632">
        <v>8</v>
      </c>
      <c r="HY15" s="1632">
        <v>8</v>
      </c>
      <c r="HZ15" s="1632">
        <v>8</v>
      </c>
      <c r="IA15" s="1632">
        <v>8</v>
      </c>
      <c r="IB15" s="1632">
        <v>8</v>
      </c>
      <c r="IC15" s="1632">
        <v>8</v>
      </c>
      <c r="ID15" s="1632">
        <v>8</v>
      </c>
      <c r="IE15" s="1632">
        <v>8</v>
      </c>
      <c r="IF15" s="1632">
        <v>8</v>
      </c>
      <c r="IG15" s="1632">
        <v>8</v>
      </c>
      <c r="IH15" s="1632">
        <v>8</v>
      </c>
      <c r="II15" s="1632">
        <v>8</v>
      </c>
      <c r="IJ15" s="1632">
        <v>8</v>
      </c>
      <c r="IK15" s="1632">
        <v>8</v>
      </c>
      <c r="IL15" s="1632">
        <v>8</v>
      </c>
      <c r="IM15" s="1632">
        <v>8</v>
      </c>
      <c r="IN15" s="1632">
        <v>8</v>
      </c>
      <c r="IO15" s="1632">
        <v>8</v>
      </c>
      <c r="IP15" s="1632">
        <v>8</v>
      </c>
      <c r="IQ15" s="1632">
        <v>8</v>
      </c>
      <c r="IR15" s="1632">
        <v>8</v>
      </c>
      <c r="IS15" s="1632">
        <v>8</v>
      </c>
      <c r="IT15" s="1632">
        <v>8</v>
      </c>
      <c r="IU15" s="1632">
        <v>8</v>
      </c>
      <c r="IV15" s="1632">
        <v>8</v>
      </c>
      <c r="IW15" s="1632">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ime" allowBlank="1" showInputMessage="1" showErrorMessage="1" prompt="Укажите время в формате ЧЧ:ММ" sqref="H2">
      <formula1>0</formula1>
      <formula2>0.9993055555555556</formula2>
    </dataValidation>
    <dataValidation type="textLength" operator="lessThanOrEqual" allowBlank="1" showInputMessage="1" showErrorMessage="1" sqref="I2">
      <formula1>990</formula1>
    </dataValidation>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1074283-4BEA-CC95-7481-0.C55FA4BE}" mc:Ignorable="x14ac xr xr2 xr3">
  <dimension ref="A1:Q19"/>
  <sheetViews>
    <sheetView topLeftCell="A1" showGridLines="0" zoomScale="90" workbookViewId="0">
      <selection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29.00390625" customWidth="1"/>
    <col min="8" max="8" style="1636" width="25.00390625" customWidth="1"/>
    <col min="9" max="9" style="1636" width="5.00390625" customWidth="1"/>
    <col min="10" max="10" style="1636" width="6.00390625" customWidth="1"/>
    <col min="11" max="11" style="1636" width="41.00390625" customWidth="1"/>
    <col min="12" max="12" style="1636" width="42.00390625" customWidth="1"/>
    <col min="13" max="13" style="1636" width="41.00390625" customWidth="1"/>
    <col min="14" max="14" style="1636" width="89.00390625" customWidth="1"/>
    <col min="15" max="15" style="1625" width="3.00390625" customWidth="1"/>
    <col min="16" max="16" style="1625" width="8.00390625" customWidth="1"/>
    <col min="17" max="17" style="1636" width="9.140625" hidden="1"/>
  </cols>
  <sheetData>
    <row customHeight="1" ht="22.5" hidden="1">
      <c r="Q1" s="1156" t="s">
        <v>14</v>
      </c>
    </row>
    <row s="1851" customFormat="1" customHeight="1" ht="22.5" hidden="1">
      <c r="A2" s="497"/>
      <c r="B2" s="1161">
        <v>1</v>
      </c>
      <c r="C2" s="1161"/>
      <c r="D2" s="1929" t="s">
        <v>234</v>
      </c>
      <c r="E2" s="2128">
        <v>1</v>
      </c>
      <c r="F2" s="2304" t="str">
        <f>IF(region_name="","",region_name)</f>
        <v>Ненецкий автономный округ</v>
      </c>
      <c r="G2" s="2484"/>
      <c r="H2" s="2485"/>
      <c r="I2" s="475"/>
      <c r="J2" s="1911">
        <v>1</v>
      </c>
      <c r="K2" s="1913"/>
      <c r="L2" s="1913"/>
      <c r="M2" s="1913"/>
      <c r="N2" s="493"/>
      <c r="O2" s="1536"/>
      <c r="P2" s="512"/>
      <c r="Q2" s="424">
        <v>0</v>
      </c>
    </row>
    <row s="1851" customFormat="1" customHeight="1" ht="22.5" hidden="1">
      <c r="A3" s="832"/>
      <c r="B3" s="1161"/>
      <c r="C3" s="1161"/>
      <c r="D3" s="802"/>
      <c r="E3" s="2128"/>
      <c r="F3" s="2304"/>
      <c r="G3" s="2484"/>
      <c r="H3" s="2486"/>
      <c r="I3" s="422"/>
      <c r="J3" s="1501"/>
      <c r="K3" s="1501" t="s">
        <v>1896</v>
      </c>
      <c r="L3" s="1544"/>
      <c r="M3" s="1921"/>
      <c r="N3" s="1914"/>
      <c r="O3" s="1536"/>
      <c r="P3" s="512"/>
      <c r="Q3" s="424">
        <v>0</v>
      </c>
    </row>
    <row s="1643" customFormat="1" customHeight="1" ht="5.25" hidden="1">
      <c r="A4" s="497"/>
      <c r="D4" s="495"/>
      <c r="F4" s="248" t="s">
        <v>85</v>
      </c>
      <c r="G4" s="495" t="s">
        <v>86</v>
      </c>
      <c r="H4" s="495"/>
      <c r="I4" s="1924"/>
      <c r="J4" s="1545"/>
      <c r="K4" s="1912"/>
      <c r="L4" s="1912"/>
      <c r="M4" s="1912"/>
      <c r="N4" s="1908"/>
      <c r="O4" s="248" t="s">
        <v>85</v>
      </c>
      <c r="P4" s="248"/>
      <c r="Q4" s="512">
        <v>0</v>
      </c>
    </row>
    <row s="1851" customFormat="1" customHeight="1" ht="22.5" hidden="1">
      <c r="A5" s="1642"/>
      <c r="B5" s="1367">
        <v>1</v>
      </c>
      <c r="C5" s="1367"/>
      <c r="D5" s="802"/>
      <c r="E5" s="1914"/>
      <c r="F5" s="1914"/>
      <c r="G5" s="1914"/>
      <c r="H5" s="1925"/>
      <c r="I5" s="1930" t="s">
        <v>234</v>
      </c>
      <c r="J5" s="1923">
        <v>1</v>
      </c>
      <c r="K5" s="1913"/>
      <c r="L5" s="1913"/>
      <c r="M5" s="1913"/>
      <c r="N5" s="493"/>
      <c r="O5" s="1536"/>
      <c r="P5" s="1637"/>
      <c r="Q5" s="625">
        <v>0</v>
      </c>
    </row>
    <row s="1820" customFormat="1" customHeight="1" ht="14.699999999999998">
      <c r="A6" s="1156"/>
      <c r="B6" s="1161"/>
      <c r="C6" s="1156"/>
      <c r="D6" s="1496"/>
      <c r="E6" s="510"/>
      <c r="F6" s="510"/>
      <c r="G6" s="510"/>
      <c r="H6" s="510"/>
      <c r="I6" s="510"/>
      <c r="J6" s="510"/>
      <c r="K6" s="510"/>
      <c r="L6" s="510"/>
      <c r="M6" s="510"/>
      <c r="N6" s="1636"/>
      <c r="O6" s="248"/>
      <c r="P6" s="501"/>
      <c r="Q6" s="508">
        <v>14</v>
      </c>
    </row>
    <row s="1820" customFormat="1" customHeight="1" ht="27.299999999999997">
      <c r="A7" s="1156"/>
      <c r="B7" s="1161"/>
      <c r="C7" s="1156"/>
      <c r="D7" s="1496"/>
      <c r="E7" s="2491"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1"/>
      <c r="G7" s="2491"/>
      <c r="H7" s="2491"/>
      <c r="I7" s="2491"/>
      <c r="J7" s="2491"/>
      <c r="K7" s="2491"/>
      <c r="L7" s="2491"/>
      <c r="M7" s="2491"/>
      <c r="N7" s="1253"/>
      <c r="O7" s="248"/>
      <c r="P7" s="501"/>
      <c r="Q7" s="508">
        <v>26</v>
      </c>
    </row>
    <row s="1820" customFormat="1" customHeight="1" ht="14.699999999999998">
      <c r="A8" s="1156"/>
      <c r="B8" s="1161"/>
      <c r="C8" s="1156"/>
      <c r="D8" s="1496"/>
      <c r="E8" s="510"/>
      <c r="F8" s="168"/>
      <c r="G8" s="168"/>
      <c r="H8" s="168"/>
      <c r="I8" s="168"/>
      <c r="J8" s="168"/>
      <c r="K8" s="168"/>
      <c r="L8" s="168"/>
      <c r="M8" s="168"/>
      <c r="N8" s="617"/>
      <c r="O8" s="501"/>
      <c r="P8" s="501"/>
      <c r="Q8" s="508">
        <v>14</v>
      </c>
    </row>
    <row s="1547" customFormat="1" customHeight="1" ht="14.25" hidden="1">
      <c r="A9" s="1469"/>
      <c r="B9" s="1479"/>
      <c r="C9" s="1469"/>
      <c r="D9" s="1496"/>
      <c r="E9" s="1915"/>
      <c r="F9" s="1915"/>
      <c r="G9" s="1915"/>
      <c r="H9" s="1915"/>
      <c r="I9" s="2494"/>
      <c r="J9" s="2494"/>
      <c r="K9" s="2494"/>
      <c r="L9" s="1915"/>
      <c r="M9" s="1916"/>
      <c r="O9" s="1546"/>
      <c r="P9" s="1546"/>
      <c r="Q9" s="1547">
        <v>0</v>
      </c>
    </row>
    <row s="1820" customFormat="1" customHeight="1" ht="14.699999999999998">
      <c r="A10" s="1156"/>
      <c r="B10" s="1161"/>
      <c r="C10" s="1156"/>
      <c r="D10" s="1496"/>
      <c r="E10" s="2128" t="s">
        <v>312</v>
      </c>
      <c r="F10" s="2128"/>
      <c r="G10" s="2128"/>
      <c r="H10" s="2128"/>
      <c r="I10" s="2128"/>
      <c r="J10" s="2128"/>
      <c r="K10" s="2128"/>
      <c r="L10" s="2128"/>
      <c r="M10" s="2102"/>
      <c r="N10" s="2479" t="s">
        <v>313</v>
      </c>
      <c r="O10" s="501"/>
      <c r="P10" s="501"/>
      <c r="Q10" s="508">
        <v>14</v>
      </c>
    </row>
    <row s="1820" customFormat="1" customHeight="1" ht="44.25">
      <c r="A11" s="1632"/>
      <c r="B11" s="1367"/>
      <c r="C11" s="1632"/>
      <c r="D11" s="1516"/>
      <c r="E11" s="2493" t="s">
        <v>90</v>
      </c>
      <c r="F11" s="2493" t="s">
        <v>316</v>
      </c>
      <c r="G11" s="2493" t="s">
        <v>1897</v>
      </c>
      <c r="H11" s="2493"/>
      <c r="I11" s="2493" t="s">
        <v>1898</v>
      </c>
      <c r="J11" s="2493"/>
      <c r="K11" s="2493"/>
      <c r="L11" s="2493" t="s">
        <v>1899</v>
      </c>
      <c r="M11" s="2481" t="s">
        <v>1900</v>
      </c>
      <c r="N11" s="2492"/>
      <c r="O11" s="1625"/>
      <c r="P11" s="1625"/>
      <c r="Q11" s="1610">
        <v>42</v>
      </c>
    </row>
    <row s="1820" customFormat="1" customHeight="1" ht="29.25">
      <c r="A12" s="1156"/>
      <c r="B12" s="1161"/>
      <c r="C12" s="1156"/>
      <c r="D12" s="1496"/>
      <c r="E12" s="2479"/>
      <c r="F12" s="2493"/>
      <c r="G12" s="1910" t="s">
        <v>1901</v>
      </c>
      <c r="H12" s="1910" t="s">
        <v>320</v>
      </c>
      <c r="I12" s="2493"/>
      <c r="J12" s="2493"/>
      <c r="K12" s="2493"/>
      <c r="L12" s="2493"/>
      <c r="M12" s="2481"/>
      <c r="N12" s="2480"/>
      <c r="O12" s="501"/>
      <c r="P12" s="501"/>
      <c r="Q12" s="508">
        <v>28</v>
      </c>
    </row>
    <row s="1851" customFormat="1" customHeight="1" ht="23.25">
      <c r="A13" s="2100">
        <v>26379339</v>
      </c>
      <c r="B13" s="1161">
        <v>1</v>
      </c>
      <c r="C13" s="1161"/>
      <c r="D13" s="802"/>
      <c r="E13" s="2128">
        <v>1</v>
      </c>
      <c r="F13" s="2487" t="str">
        <f>IF(region_name="","",region_name)</f>
        <v>Ненецкий автономный округ</v>
      </c>
      <c r="G13" s="2488"/>
      <c r="H13" s="2495"/>
      <c r="I13" s="475"/>
      <c r="J13" s="1906">
        <v>1</v>
      </c>
      <c r="K13" s="1919"/>
      <c r="L13" s="1920"/>
      <c r="M13" s="1920"/>
      <c r="N13" s="2489" t="s">
        <v>1902</v>
      </c>
      <c r="O13" s="1536"/>
      <c r="P13" s="512"/>
      <c r="Q13" s="424">
        <v>22</v>
      </c>
    </row>
    <row s="1851" customFormat="1" customHeight="1" ht="23.25">
      <c r="A14" s="2100"/>
      <c r="B14" s="1161"/>
      <c r="C14" s="1161"/>
      <c r="D14" s="802"/>
      <c r="E14" s="2128"/>
      <c r="F14" s="2487"/>
      <c r="G14" s="2488"/>
      <c r="H14" s="2496"/>
      <c r="I14" s="422"/>
      <c r="J14" s="1501"/>
      <c r="K14" s="1501" t="s">
        <v>1896</v>
      </c>
      <c r="L14" s="1544"/>
      <c r="M14" s="1544"/>
      <c r="N14" s="2490"/>
      <c r="O14" s="1536"/>
      <c r="P14" s="512"/>
      <c r="Q14" s="424">
        <v>22</v>
      </c>
    </row>
    <row s="1851" customFormat="1" customHeight="1" ht="23.25">
      <c r="A15" s="2100"/>
      <c r="B15" s="1161"/>
      <c r="C15" s="413"/>
      <c r="D15" s="802"/>
      <c r="E15" s="422"/>
      <c r="F15" s="1501" t="s">
        <v>1888</v>
      </c>
      <c r="G15" s="1543"/>
      <c r="H15" s="1543"/>
      <c r="I15" s="188"/>
      <c r="J15" s="188"/>
      <c r="K15" s="188"/>
      <c r="L15" s="188"/>
      <c r="M15" s="188"/>
      <c r="N15" s="2490"/>
      <c r="O15" s="1537"/>
      <c r="P15" s="512"/>
      <c r="Q15" s="424">
        <v>22</v>
      </c>
    </row>
    <row s="1820" customFormat="1" customHeight="1" ht="22.049999999999997">
      <c r="A16" s="1156"/>
      <c r="B16" s="1161"/>
      <c r="C16" s="1156"/>
      <c r="D16" s="452"/>
      <c r="E16" s="181"/>
      <c r="F16" s="181"/>
      <c r="G16" s="181"/>
      <c r="H16" s="181"/>
      <c r="I16" s="181"/>
      <c r="J16" s="181"/>
      <c r="K16" s="181"/>
      <c r="L16" s="181"/>
      <c r="M16" s="510"/>
      <c r="N16" s="1636"/>
      <c r="O16" s="501"/>
      <c r="P16" s="501"/>
      <c r="Q16" s="508">
        <v>21</v>
      </c>
    </row>
    <row s="1820" customFormat="1" customHeight="1" ht="14.699999999999998">
      <c r="A17" s="1156"/>
      <c r="B17" s="1161"/>
      <c r="C17" s="1156"/>
      <c r="D17" s="452"/>
      <c r="E17" s="1156"/>
      <c r="F17" s="1156"/>
      <c r="G17" s="1156"/>
      <c r="H17" s="1156"/>
      <c r="I17" s="1156"/>
      <c r="J17" s="1156"/>
      <c r="K17" s="1156"/>
      <c r="L17" s="1156"/>
      <c r="M17" s="1156"/>
      <c r="N17" s="1632"/>
      <c r="O17" s="501"/>
      <c r="P17" s="501"/>
      <c r="Q17" s="508">
        <v>14</v>
      </c>
    </row>
    <row s="1820" customFormat="1" customHeight="1" ht="1.05">
      <c r="A18" s="1156"/>
      <c r="B18" s="1161"/>
      <c r="C18" s="1156"/>
      <c r="D18" s="452"/>
      <c r="E18" s="1156"/>
      <c r="F18" s="1156"/>
      <c r="G18" s="1156"/>
      <c r="H18" s="1156"/>
      <c r="I18" s="1156"/>
      <c r="J18" s="1156"/>
      <c r="K18" s="1156"/>
      <c r="L18" s="1156"/>
      <c r="M18" s="1156"/>
      <c r="N18" s="1632"/>
      <c r="O18" s="501"/>
      <c r="P18" s="501"/>
      <c r="Q18" s="508">
        <v>1</v>
      </c>
    </row>
    <row customHeight="1" ht="22.5" hidden="1">
      <c r="A19" s="1156" t="s">
        <v>84</v>
      </c>
      <c r="B19" s="1161">
        <v>0</v>
      </c>
      <c r="C19" s="1156">
        <v>0</v>
      </c>
      <c r="D19" s="452">
        <v>3</v>
      </c>
      <c r="E19" s="1156">
        <v>6</v>
      </c>
      <c r="F19" s="1156">
        <v>27</v>
      </c>
      <c r="G19" s="1156">
        <v>29</v>
      </c>
      <c r="H19" s="1156">
        <v>25</v>
      </c>
      <c r="I19" s="1156">
        <v>5</v>
      </c>
      <c r="J19" s="1156">
        <v>6</v>
      </c>
      <c r="K19" s="1156">
        <v>41</v>
      </c>
      <c r="L19" s="1156">
        <v>42</v>
      </c>
      <c r="M19" s="1156">
        <v>41</v>
      </c>
      <c r="N19" s="1632">
        <v>89</v>
      </c>
      <c r="O19" s="501">
        <v>3</v>
      </c>
      <c r="P19" s="501">
        <v>8</v>
      </c>
      <c r="Q19" s="1156">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B17432-4BF8-5F0B-33F3-0.468C47BE}" mc:Ignorable="x14ac xr xr2 xr3">
  <sheetPr>
    <tabColor rgb="FFEAEBEE"/>
    <pageSetUpPr fitToPage="1"/>
  </sheetPr>
  <dimension ref="A1:M16"/>
  <sheetViews>
    <sheetView topLeftCell="A1" showGridLines="0" zoomScale="90" workbookViewId="0">
      <selection activeCell="A1" sqref="A1"/>
    </sheetView>
  </sheetViews>
  <sheetFormatPr defaultColWidth="9.140625" customHeight="1" defaultRowHeight="14.25"/>
  <cols>
    <col min="1" max="1" style="359" width="9.140625" hidden="1"/>
    <col min="2" max="2" style="1824" width="9.140625" hidden="1"/>
    <col min="3" max="3" style="121" width="3.00390625" customWidth="1"/>
    <col min="4" max="4" style="1824" width="6.00390625" customWidth="1"/>
    <col min="5" max="5" style="1824" width="22.00390625" customWidth="1"/>
    <col min="6" max="6" style="1824" width="15.00390625" customWidth="1"/>
    <col min="7" max="7" style="1824" width="14.00390625" customWidth="1"/>
    <col min="8" max="8" style="1824" width="47.00390625" customWidth="1"/>
    <col min="9" max="9" style="1824" width="115.00390625" customWidth="1"/>
    <col min="10" max="10" style="1824" width="3.00390625" customWidth="1"/>
    <col min="11" max="12" style="1824" width="8.00390625" customWidth="1"/>
    <col min="13" max="13" style="1824" width="9.140625" hidden="1"/>
  </cols>
  <sheetData>
    <row customHeight="1" ht="14.25" hidden="1">
      <c r="M1" s="122" t="s">
        <v>14</v>
      </c>
    </row>
    <row customHeight="1" ht="14.25" hidden="1">
      <c r="M2" s="122">
        <v>0</v>
      </c>
    </row>
    <row customHeight="1" ht="14.25" hidden="1">
      <c r="M3" s="122">
        <v>0</v>
      </c>
    </row>
    <row customHeight="1" ht="3">
      <c r="M4" s="122">
        <v>3</v>
      </c>
    </row>
    <row s="1636" customFormat="1" customHeight="1" ht="31.5">
      <c r="A5" s="116"/>
      <c r="C5" s="91"/>
      <c r="D5" s="2101" t="s">
        <v>1903</v>
      </c>
      <c r="E5" s="2101"/>
      <c r="F5" s="2101"/>
      <c r="G5" s="2101"/>
      <c r="H5" s="2101"/>
      <c r="I5" s="266"/>
      <c r="M5" s="84">
        <v>30</v>
      </c>
    </row>
    <row customHeight="1" ht="3" hidden="1">
      <c r="D6" s="123"/>
      <c r="E6" s="123"/>
      <c r="F6" s="123"/>
      <c r="G6" s="123"/>
      <c r="H6" s="123"/>
      <c r="I6" s="123"/>
      <c r="M6" s="122">
        <v>0</v>
      </c>
    </row>
    <row s="359" customFormat="1" customHeight="1" ht="14.699999999999998">
      <c r="B7" s="120"/>
      <c r="C7" s="121"/>
      <c r="D7" s="124"/>
      <c r="E7" s="124"/>
      <c r="F7" s="124"/>
      <c r="G7" s="124"/>
      <c r="H7" s="753"/>
      <c r="I7" s="124"/>
      <c r="J7" s="125"/>
      <c r="M7" s="119">
        <v>14</v>
      </c>
    </row>
    <row customHeight="1" ht="14.699999999999998">
      <c r="D8" s="2210" t="s">
        <v>312</v>
      </c>
      <c r="E8" s="2210"/>
      <c r="F8" s="2210"/>
      <c r="G8" s="2210"/>
      <c r="H8" s="2210"/>
      <c r="I8" s="2210" t="s">
        <v>313</v>
      </c>
      <c r="M8" s="122">
        <v>14</v>
      </c>
    </row>
    <row customHeight="1" ht="29.25">
      <c r="D9" s="2210" t="s">
        <v>90</v>
      </c>
      <c r="E9" s="2210" t="s">
        <v>1904</v>
      </c>
      <c r="F9" s="2210"/>
      <c r="G9" s="2210"/>
      <c r="H9" s="2210"/>
      <c r="I9" s="2210"/>
      <c r="M9" s="122">
        <v>28</v>
      </c>
    </row>
    <row customHeight="1" ht="24">
      <c r="D10" s="2210"/>
      <c r="E10" s="128" t="s">
        <v>1905</v>
      </c>
      <c r="F10" s="128" t="s">
        <v>1906</v>
      </c>
      <c r="G10" s="128" t="s">
        <v>1907</v>
      </c>
      <c r="H10" s="128" t="s">
        <v>402</v>
      </c>
      <c r="I10" s="2210"/>
      <c r="M10" s="122">
        <v>23</v>
      </c>
    </row>
    <row customHeight="1" ht="12" hidden="1">
      <c r="D11" s="88" t="s">
        <v>112</v>
      </c>
      <c r="E11" s="88" t="s">
        <v>93</v>
      </c>
      <c r="F11" s="88" t="s">
        <v>114</v>
      </c>
      <c r="G11" s="88" t="s">
        <v>94</v>
      </c>
      <c r="H11" s="88" t="s">
        <v>95</v>
      </c>
      <c r="I11" s="88" t="s">
        <v>115</v>
      </c>
      <c r="M11" s="122">
        <v>0</v>
      </c>
    </row>
    <row s="1824" customFormat="1" customHeight="1" ht="26.25">
      <c r="A12" s="146" t="s">
        <v>92</v>
      </c>
      <c r="B12" s="126" t="s">
        <v>28</v>
      </c>
      <c r="C12" s="127"/>
      <c r="D12" s="129" t="s">
        <v>112</v>
      </c>
      <c r="E12" s="382"/>
      <c r="F12" s="382"/>
      <c r="G12" s="1735" t="s">
        <v>28</v>
      </c>
      <c r="H12" s="383"/>
      <c r="I12" s="2170" t="s">
        <v>1908</v>
      </c>
      <c r="K12" s="273"/>
      <c r="L12" s="274"/>
      <c r="M12" s="118">
        <v>25</v>
      </c>
    </row>
    <row customHeight="1" ht="15.75">
      <c r="A13" s="122"/>
      <c r="B13" s="122"/>
      <c r="C13" s="122"/>
      <c r="D13" s="110"/>
      <c r="E13" s="131" t="s">
        <v>477</v>
      </c>
      <c r="F13" s="130"/>
      <c r="G13" s="130"/>
      <c r="H13" s="215"/>
      <c r="I13" s="2172"/>
      <c r="M13" s="122">
        <v>15</v>
      </c>
    </row>
    <row customHeight="1" ht="3">
      <c r="A14" s="122"/>
      <c r="B14" s="122"/>
      <c r="C14" s="122"/>
      <c r="M14" s="122">
        <v>3</v>
      </c>
    </row>
    <row customHeight="1" ht="29.25">
      <c r="E15" s="2497" t="s">
        <v>1909</v>
      </c>
      <c r="F15" s="2497"/>
      <c r="G15" s="2497"/>
      <c r="H15" s="2497"/>
      <c r="M15" s="122">
        <v>28</v>
      </c>
    </row>
    <row customHeight="1" ht="14.25" hidden="1">
      <c r="A16" s="119" t="s">
        <v>84</v>
      </c>
      <c r="B16" s="120">
        <v>0</v>
      </c>
      <c r="C16" s="121">
        <v>3</v>
      </c>
      <c r="D16" s="122">
        <v>6</v>
      </c>
      <c r="E16" s="122">
        <v>22</v>
      </c>
      <c r="F16" s="122">
        <v>15</v>
      </c>
      <c r="G16" s="122">
        <v>14</v>
      </c>
      <c r="H16" s="122">
        <v>47</v>
      </c>
      <c r="I16" s="122">
        <v>115</v>
      </c>
      <c r="J16" s="122">
        <v>3</v>
      </c>
      <c r="K16" s="122">
        <v>8</v>
      </c>
      <c r="L16" s="122">
        <v>8</v>
      </c>
      <c r="M16" s="122">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3C23194-DB19-5773-8922-0.507E71CE}" mc:Ignorable="x14ac xr xr2 xr3">
  <sheetPr>
    <tabColor rgb="FFCCCCFF"/>
    <pageSetUpPr fitToPage="1"/>
  </sheetPr>
  <dimension ref="A1:J16"/>
  <sheetViews>
    <sheetView topLeftCell="A1" showGridLines="0" zoomScale="90" workbookViewId="0">
      <selection activeCell="E12" sqref="E12"/>
    </sheetView>
  </sheetViews>
  <sheetFormatPr defaultColWidth="9.140625" customHeight="1" defaultRowHeight="14.25"/>
  <cols>
    <col min="1" max="2" style="265" width="9.140625" hidden="1"/>
    <col min="3" max="3" style="92" width="3.00390625" customWidth="1"/>
    <col min="4" max="4" style="265" width="6.00390625" customWidth="1"/>
    <col min="5" max="5" style="265" width="94.00390625" customWidth="1"/>
    <col min="6" max="9" style="265" width="8.00390625" customWidth="1"/>
    <col min="10" max="10" style="265" width="9.140625" hidden="1"/>
  </cols>
  <sheetData>
    <row customHeight="1" ht="14.25" hidden="1">
      <c r="J1" s="70" t="s">
        <v>14</v>
      </c>
    </row>
    <row customHeight="1" ht="14.25" hidden="1">
      <c r="J2" s="70">
        <v>0</v>
      </c>
    </row>
    <row customHeight="1" ht="14.25" hidden="1">
      <c r="J3" s="70">
        <v>0</v>
      </c>
    </row>
    <row customHeight="1" ht="14.25" hidden="1">
      <c r="J4" s="70">
        <v>0</v>
      </c>
    </row>
    <row customHeight="1" ht="14.25" hidden="1">
      <c r="J5" s="70">
        <v>0</v>
      </c>
    </row>
    <row customHeight="1" ht="3">
      <c r="C6" s="93"/>
      <c r="D6" s="71"/>
      <c r="E6" s="71"/>
      <c r="J6" s="70">
        <v>3</v>
      </c>
    </row>
    <row customHeight="1" ht="23.25">
      <c r="C7" s="93"/>
      <c r="D7" s="2498" t="s">
        <v>1910</v>
      </c>
      <c r="E7" s="2499"/>
      <c r="F7" s="268"/>
      <c r="J7" s="70">
        <v>22</v>
      </c>
    </row>
    <row customHeight="1" ht="3">
      <c r="C8" s="93"/>
      <c r="D8" s="71"/>
      <c r="E8" s="71"/>
      <c r="J8" s="70">
        <v>3</v>
      </c>
    </row>
    <row customHeight="1" ht="16.8">
      <c r="C9" s="93"/>
      <c r="D9" s="106" t="s">
        <v>90</v>
      </c>
      <c r="E9" s="261" t="s">
        <v>1911</v>
      </c>
      <c r="J9" s="70">
        <v>16</v>
      </c>
    </row>
    <row customHeight="1" ht="1.05">
      <c r="C10" s="93"/>
      <c r="D10" s="88"/>
      <c r="E10" s="88"/>
      <c r="J10" s="70">
        <v>1</v>
      </c>
    </row>
    <row customHeight="1" ht="11.25" hidden="1">
      <c r="C11" s="93"/>
      <c r="D11" s="151">
        <v>0</v>
      </c>
      <c r="E11" s="262"/>
      <c r="J11" s="70">
        <v>0</v>
      </c>
    </row>
    <row customHeight="1" ht="15.75">
      <c r="C12" s="137"/>
      <c r="D12" s="114">
        <v>1</v>
      </c>
      <c r="E12" s="378" t="s">
        <v>1912</v>
      </c>
      <c r="J12" s="70">
        <v>15</v>
      </c>
    </row>
    <row customHeight="1" ht="12.75">
      <c r="C13" s="93"/>
      <c r="D13" s="263"/>
      <c r="E13" s="264" t="s">
        <v>1913</v>
      </c>
      <c r="J13" s="70">
        <v>12</v>
      </c>
    </row>
    <row customHeight="1" ht="3">
      <c r="J14" s="70">
        <v>3</v>
      </c>
    </row>
    <row customHeight="1" ht="23.25">
      <c r="C15" s="138"/>
      <c r="D15" s="2500" t="s">
        <v>1914</v>
      </c>
      <c r="E15" s="2500"/>
      <c r="F15" s="139"/>
      <c r="G15" s="139"/>
      <c r="H15" s="139"/>
      <c r="I15" s="139"/>
      <c r="J15" s="70">
        <v>22</v>
      </c>
    </row>
    <row customHeight="1" ht="14.25" hidden="1">
      <c r="A16" s="70" t="s">
        <v>84</v>
      </c>
      <c r="B16" s="70">
        <v>0</v>
      </c>
      <c r="C16" s="92">
        <v>3</v>
      </c>
      <c r="D16" s="70">
        <v>6</v>
      </c>
      <c r="E16" s="70">
        <v>94</v>
      </c>
      <c r="F16" s="70">
        <v>8</v>
      </c>
      <c r="G16" s="70">
        <v>8</v>
      </c>
      <c r="H16" s="70">
        <v>8</v>
      </c>
      <c r="I16" s="70">
        <v>8</v>
      </c>
      <c r="J16" s="70">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ED57B4D-846A-0AFC-E498-0.F4BF3B1D}" mc:Ignorable="x14ac xr xr2 xr3">
  <sheetPr>
    <tabColor rgb="FFCCCCFF"/>
    <pageSetUpPr fitToPage="1"/>
  </sheetPr>
  <dimension ref="A1:M13"/>
  <sheetViews>
    <sheetView topLeftCell="A1" showGridLines="0" zoomScale="90" workbookViewId="0">
      <selection activeCell="A1" sqref="A1"/>
    </sheetView>
  </sheetViews>
  <sheetFormatPr defaultColWidth="9.140625" customHeight="1" defaultRowHeight="14.25"/>
  <cols>
    <col min="1" max="2" style="265" width="9.140625" hidden="1"/>
    <col min="3" max="3" style="92" width="3.00390625" customWidth="1"/>
    <col min="4" max="4" style="265" width="6.00390625" customWidth="1"/>
    <col min="5" max="5" style="265" width="94.00390625" customWidth="1"/>
    <col min="6" max="12" style="265" width="8.00390625" customWidth="1"/>
    <col min="13" max="13" style="265" width="9.140625" hidden="1"/>
  </cols>
  <sheetData>
    <row customHeight="1" ht="14.25" hidden="1">
      <c r="L1" s="265"/>
      <c r="M1" s="70" t="s">
        <v>14</v>
      </c>
    </row>
    <row customHeight="1" ht="14.25" hidden="1">
      <c r="M2" s="70">
        <v>0</v>
      </c>
    </row>
    <row customHeight="1" ht="14.25" hidden="1">
      <c r="M3" s="70">
        <v>0</v>
      </c>
    </row>
    <row customHeight="1" ht="14.25" hidden="1">
      <c r="M4" s="70">
        <v>0</v>
      </c>
    </row>
    <row customHeight="1" ht="14.25" hidden="1">
      <c r="M5" s="70">
        <v>0</v>
      </c>
    </row>
    <row customHeight="1" ht="3">
      <c r="C6" s="93"/>
      <c r="D6" s="71"/>
      <c r="E6" s="71"/>
      <c r="M6" s="70">
        <v>3</v>
      </c>
    </row>
    <row customHeight="1" ht="23.25">
      <c r="C7" s="93"/>
      <c r="D7" s="2101" t="s">
        <v>1915</v>
      </c>
      <c r="E7" s="2101"/>
      <c r="F7" s="268"/>
      <c r="M7" s="70">
        <v>22</v>
      </c>
    </row>
    <row customHeight="1" ht="3">
      <c r="C8" s="93"/>
      <c r="D8" s="71"/>
      <c r="E8" s="71"/>
      <c r="M8" s="70">
        <v>3</v>
      </c>
    </row>
    <row customHeight="1" ht="16.8">
      <c r="C9" s="93"/>
      <c r="D9" s="106" t="s">
        <v>90</v>
      </c>
      <c r="E9" s="109" t="s">
        <v>299</v>
      </c>
      <c r="M9" s="70">
        <v>16</v>
      </c>
    </row>
    <row customHeight="1" ht="12.75">
      <c r="C10" s="93"/>
      <c r="D10" s="88" t="s">
        <v>112</v>
      </c>
      <c r="E10" s="88" t="s">
        <v>113</v>
      </c>
      <c r="M10" s="70">
        <v>12</v>
      </c>
    </row>
    <row customHeight="1" ht="15" hidden="1">
      <c r="C11" s="93"/>
      <c r="D11" s="114">
        <v>0</v>
      </c>
      <c r="E11" s="150"/>
      <c r="M11" s="70">
        <v>0</v>
      </c>
    </row>
    <row customHeight="1" ht="14.699999999999998">
      <c r="C12" s="93"/>
      <c r="D12" s="110"/>
      <c r="E12" s="108" t="s">
        <v>1913</v>
      </c>
      <c r="M12" s="70">
        <v>14</v>
      </c>
    </row>
    <row customHeight="1" ht="14.25" hidden="1">
      <c r="A13" s="70" t="s">
        <v>84</v>
      </c>
      <c r="B13" s="70">
        <v>0</v>
      </c>
      <c r="C13" s="92">
        <v>3</v>
      </c>
      <c r="D13" s="70">
        <v>6</v>
      </c>
      <c r="E13" s="70">
        <v>94</v>
      </c>
      <c r="F13" s="70">
        <v>8</v>
      </c>
      <c r="G13" s="70">
        <v>8</v>
      </c>
      <c r="H13" s="70">
        <v>8</v>
      </c>
      <c r="I13" s="70">
        <v>8</v>
      </c>
      <c r="J13" s="70">
        <v>8</v>
      </c>
      <c r="K13" s="70">
        <v>8</v>
      </c>
      <c r="L13" s="70">
        <v>8</v>
      </c>
      <c r="M13" s="70">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7EEE21-031A-B55C-4D47-0.3B125852}"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1" width="1.7109375" customWidth="1"/>
    <col min="2" max="2" style="1851" width="34.57421875" customWidth="1"/>
    <col min="3" max="3" style="1851" width="85.00390625" customWidth="1"/>
    <col min="4" max="4" style="1851" width="17.00390625" customWidth="1"/>
    <col min="5" max="5" style="1851" width="8.00390625" customWidth="1"/>
    <col min="6" max="6" style="1851" width="9.140625" hidden="1"/>
  </cols>
  <sheetData>
    <row customHeight="1" ht="3">
      <c r="F1" s="90" t="s">
        <v>14</v>
      </c>
    </row>
    <row customHeight="1" ht="22.5">
      <c r="B2" s="2614" t="s">
        <v>1916</v>
      </c>
      <c r="C2" s="2501"/>
      <c r="D2" s="2501"/>
      <c r="E2" s="269"/>
      <c r="F2" s="90">
        <v>22</v>
      </c>
    </row>
    <row customHeight="1" ht="3">
      <c r="F3" s="90">
        <v>3</v>
      </c>
    </row>
    <row customHeight="1" ht="23.25">
      <c r="B4" s="2615" t="s">
        <v>1917</v>
      </c>
      <c r="C4" s="384" t="s">
        <v>1918</v>
      </c>
      <c r="D4" s="384" t="s">
        <v>1919</v>
      </c>
      <c r="F4" s="90">
        <v>22</v>
      </c>
    </row>
    <row customHeight="1" ht="11.25" hidden="1">
      <c r="A5" s="90" t="s">
        <v>84</v>
      </c>
      <c r="B5" s="90">
        <v>34</v>
      </c>
      <c r="C5" s="90">
        <v>85</v>
      </c>
      <c r="D5" s="90">
        <v>17</v>
      </c>
      <c r="E5" s="90">
        <v>8</v>
      </c>
      <c r="F5" s="90">
        <v>11</v>
      </c>
    </row>
  </sheetData>
  <sheetProtection formatColumns="0" formatRows="0" autoFilter="0" sort="0" insertRows="0" insertColumns="1" deleteRows="0" deleteColumns="0"/>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F5B6654-8BC6-BE5B-3CE2-0.77417AD5}"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1" width="26.57421875" customWidth="1"/>
    <col min="2" max="2" style="1851" width="10.00390625" customWidth="1"/>
    <col min="3" max="3" style="1851" width="9.140625"/>
    <col min="4" max="4" style="1851" width="11.140625" customWidth="1"/>
    <col min="5" max="5" style="1851" width="16.57421875" customWidth="1"/>
    <col min="6" max="6" style="1851" width="16.28125" customWidth="1"/>
    <col min="7" max="7" style="1851" width="19.140625" customWidth="1"/>
    <col min="8" max="11" style="1851" width="10.00390625" customWidth="1"/>
    <col min="12" max="12" style="1851" width="12.7109375" customWidth="1"/>
    <col min="13" max="13" style="1851" width="61.28125" customWidth="1"/>
    <col min="14" max="14" style="1851" width="10.00390625" customWidth="1"/>
    <col min="15" max="17" style="1851" width="23.7109375" customWidth="1"/>
    <col min="18" max="18" style="1851" width="11.7109375" customWidth="1"/>
    <col min="19" max="19" style="1851" width="8.57421875" customWidth="1"/>
    <col min="20" max="20" style="1851" width="11.7109375" customWidth="1"/>
    <col min="21" max="21" style="1851" width="8.57421875" customWidth="1"/>
    <col min="22" max="22" style="1851" width="4.7109375" customWidth="1"/>
    <col min="23" max="23" style="1851" width="115.7109375" customWidth="1"/>
    <col min="24" max="24" style="1851" width="115.28125" customWidth="1"/>
    <col min="25" max="27" style="1851" width="9.140625"/>
    <col min="28" max="28" style="1851" width="115.7109375" customWidth="1"/>
    <col min="29" max="29" style="1851" width="9.140625"/>
    <col min="30" max="90" style="1851" width="115.7109375" customWidth="1"/>
    <col min="91" max="184" style="1851" width="9.140625"/>
  </cols>
  <sheetData>
    <row r="2" s="1816" customFormat="1" customHeight="1" ht="17.25">
      <c r="A2" s="1816" t="s">
        <v>1920</v>
      </c>
    </row>
    <row r="4" s="265" customFormat="1" customHeight="1" ht="15">
      <c r="C4" s="1817"/>
      <c r="D4" s="114"/>
      <c r="E4" s="378"/>
    </row>
    <row r="6" s="1816" customFormat="1" customHeight="1" ht="17.25">
      <c r="A6" s="1816" t="s">
        <v>1921</v>
      </c>
    </row>
    <row r="8" s="265" customFormat="1" customHeight="1" ht="17.25">
      <c r="C8" s="1818"/>
      <c r="D8" s="114"/>
      <c r="E8" s="115"/>
    </row>
    <row r="11" s="1816" customFormat="1" customHeight="1" ht="17.25">
      <c r="A11" s="1816" t="s">
        <v>1922</v>
      </c>
    </row>
    <row r="13" s="1820" customFormat="1" customHeight="1" ht="15">
      <c r="A13" s="2218">
        <v>1</v>
      </c>
      <c r="B13" s="1161"/>
      <c r="C13" s="802" t="s">
        <v>234</v>
      </c>
      <c r="D13" s="1819"/>
      <c r="E13" s="1806">
        <f>A13</f>
        <v>1</v>
      </c>
      <c r="F13" s="805"/>
      <c r="G13" s="541" t="str">
        <f>"Территория "&amp;E13</f>
        <v>Территория 1</v>
      </c>
      <c r="H13" s="793"/>
      <c r="I13" s="793"/>
      <c r="J13" s="790"/>
      <c r="K13" s="1625"/>
      <c r="L13" s="1625"/>
      <c r="M13" s="1625"/>
      <c r="N13" s="227"/>
      <c r="O13" s="1625"/>
      <c r="P13" s="226"/>
      <c r="Q13" s="226"/>
      <c r="R13" s="226"/>
      <c r="S13" s="226"/>
    </row>
    <row s="1851" customFormat="1" customHeight="1" ht="15">
      <c r="A14" s="2218"/>
      <c r="B14" s="1161">
        <v>1</v>
      </c>
      <c r="C14" s="1161"/>
      <c r="D14" s="801"/>
      <c r="E14" s="1814" t="str">
        <f>A13&amp;"."&amp;B14</f>
        <v>1.1</v>
      </c>
      <c r="F14" s="804">
        <f>$F$20</f>
        <v>0</v>
      </c>
      <c r="G14" s="794"/>
      <c r="H14" s="794"/>
      <c r="I14" s="792"/>
      <c r="J14" s="1625"/>
      <c r="K14" s="1637"/>
      <c r="L14" s="1637"/>
      <c r="M14" s="1625" t="str">
        <f t="array" ref="M14:M14">IF(ISERROR(MATCH(MID(N14,1,250),MID(note_ter,1,250),0)),"n","y")</f>
        <v>n</v>
      </c>
      <c r="N14" s="1637"/>
      <c r="O14" s="1625" t="str">
        <f>H14&amp;"("&amp;I14&amp;")"</f>
        <v>()</v>
      </c>
      <c r="P14" s="1161"/>
      <c r="Q14" s="1161"/>
      <c r="R14" s="421"/>
      <c r="S14" s="1161"/>
      <c r="T14" s="1161"/>
      <c r="U14" s="1161"/>
      <c r="V14" s="423"/>
      <c r="W14" s="423"/>
      <c r="X14" s="420"/>
      <c r="Y14" s="420"/>
      <c r="Z14" s="420"/>
      <c r="AA14" s="420"/>
      <c r="AB14" s="420"/>
      <c r="AC14" s="420"/>
      <c r="AD14" s="420"/>
      <c r="AE14" s="420"/>
      <c r="AF14" s="420"/>
      <c r="AG14" s="420"/>
      <c r="AH14" s="420"/>
      <c r="AI14" s="420"/>
      <c r="AJ14" s="420"/>
      <c r="AK14" s="420"/>
      <c r="AL14" s="420"/>
      <c r="AM14" s="420"/>
      <c r="AN14" s="420"/>
      <c r="AO14" s="420"/>
      <c r="AP14" s="420"/>
      <c r="AQ14" s="420"/>
      <c r="AR14" s="420"/>
      <c r="AS14" s="420"/>
      <c r="AT14" s="420"/>
      <c r="AU14" s="420"/>
      <c r="AV14" s="420"/>
      <c r="AW14" s="420"/>
      <c r="AX14" s="420"/>
      <c r="AY14" s="420"/>
      <c r="AZ14" s="420"/>
      <c r="BA14" s="420"/>
      <c r="BB14" s="420"/>
      <c r="BC14" s="420"/>
      <c r="BD14" s="420"/>
      <c r="BE14" s="420"/>
      <c r="BF14" s="420"/>
      <c r="BG14" s="420"/>
      <c r="BH14" s="420"/>
      <c r="BI14" s="420"/>
      <c r="BJ14" s="420"/>
      <c r="BK14" s="420"/>
      <c r="BL14" s="420"/>
      <c r="BM14" s="420"/>
      <c r="BN14" s="420"/>
      <c r="BO14" s="420"/>
      <c r="BP14" s="420"/>
      <c r="BQ14" s="420"/>
      <c r="BR14" s="420"/>
      <c r="BS14" s="423"/>
      <c r="BT14" s="423"/>
      <c r="BU14" s="423"/>
      <c r="BV14" s="423"/>
      <c r="BW14" s="423"/>
      <c r="BX14" s="423"/>
      <c r="BY14" s="423"/>
      <c r="BZ14" s="423"/>
      <c r="CA14" s="423"/>
      <c r="CB14" s="423"/>
    </row>
    <row s="1851" customFormat="1" customHeight="1" ht="15">
      <c r="A15" s="2218"/>
      <c r="B15" s="1161"/>
      <c r="C15" s="413"/>
      <c r="D15" s="802"/>
      <c r="E15" s="422"/>
      <c r="F15" s="178"/>
      <c r="G15" s="416" t="s">
        <v>105</v>
      </c>
      <c r="H15" s="188"/>
      <c r="I15" s="425"/>
      <c r="J15" s="1637"/>
      <c r="K15" s="1637"/>
      <c r="L15" s="1637"/>
      <c r="M15" s="1637"/>
      <c r="N15" s="1625"/>
      <c r="O15" s="1637"/>
      <c r="P15" s="1161"/>
      <c r="Q15" s="1161"/>
      <c r="R15" s="421"/>
      <c r="S15" s="1161"/>
      <c r="T15" s="1161"/>
      <c r="U15" s="1161"/>
      <c r="V15" s="423"/>
      <c r="W15" s="423"/>
      <c r="X15" s="420"/>
      <c r="Y15" s="420"/>
      <c r="Z15" s="420"/>
      <c r="AA15" s="420"/>
      <c r="AB15" s="420"/>
      <c r="AC15" s="420"/>
      <c r="AD15" s="420"/>
      <c r="AE15" s="420"/>
      <c r="AF15" s="420"/>
      <c r="AG15" s="420"/>
      <c r="AH15" s="420"/>
      <c r="AI15" s="420"/>
      <c r="AJ15" s="420"/>
      <c r="AK15" s="420"/>
      <c r="AL15" s="420"/>
      <c r="AM15" s="420"/>
      <c r="AN15" s="420"/>
      <c r="AO15" s="420"/>
      <c r="AP15" s="420"/>
      <c r="AQ15" s="420"/>
      <c r="AR15" s="420"/>
      <c r="AS15" s="420"/>
      <c r="AT15" s="420"/>
      <c r="AU15" s="420"/>
      <c r="AV15" s="420"/>
      <c r="AW15" s="420"/>
      <c r="AX15" s="420"/>
      <c r="AY15" s="420"/>
      <c r="AZ15" s="420"/>
      <c r="BA15" s="420"/>
      <c r="BB15" s="420"/>
      <c r="BC15" s="420"/>
      <c r="BD15" s="420"/>
      <c r="BE15" s="420"/>
      <c r="BF15" s="420"/>
      <c r="BG15" s="420"/>
      <c r="BH15" s="420"/>
      <c r="BI15" s="420"/>
      <c r="BJ15" s="420"/>
      <c r="BK15" s="420"/>
      <c r="BL15" s="420"/>
      <c r="BM15" s="420"/>
      <c r="BN15" s="420"/>
      <c r="BO15" s="420"/>
      <c r="BP15" s="420"/>
      <c r="BQ15" s="420"/>
      <c r="BR15" s="420"/>
      <c r="BS15" s="423"/>
      <c r="BT15" s="423"/>
      <c r="BU15" s="423"/>
      <c r="BV15" s="423"/>
      <c r="BW15" s="423"/>
      <c r="BX15" s="423"/>
      <c r="BY15" s="423"/>
      <c r="BZ15" s="423"/>
      <c r="CA15" s="423"/>
      <c r="CB15" s="423"/>
    </row>
    <row r="17" s="1816" customFormat="1" customHeight="1" ht="17.25">
      <c r="A17" s="1816" t="s">
        <v>1923</v>
      </c>
    </row>
    <row r="19" s="1851" customFormat="1" customHeight="1" ht="15">
      <c r="A19" s="1883"/>
      <c r="B19" s="1367">
        <v>1</v>
      </c>
      <c r="C19" s="1367"/>
      <c r="D19" s="801" t="s">
        <v>234</v>
      </c>
      <c r="E19" s="1879"/>
      <c r="F19" s="1884">
        <f>$F$20</f>
        <v>0</v>
      </c>
      <c r="G19" s="1888"/>
      <c r="H19" s="1888"/>
      <c r="I19" s="1886"/>
      <c r="J19" s="1625"/>
      <c r="K19" s="1637"/>
      <c r="L19" s="1637"/>
      <c r="M19" s="1625" t="str">
        <f t="array" ref="M19:M19">IF(ISERROR(MATCH(MID(N19,1,250),MID(note_ter,1,250),0)),"n","y")</f>
        <v>n</v>
      </c>
      <c r="N19" s="1637"/>
      <c r="O19" s="1625" t="str">
        <f>H19&amp;"("&amp;I19&amp;")"</f>
        <v>()</v>
      </c>
      <c r="P19" s="1367"/>
      <c r="Q19" s="1367"/>
      <c r="R19" s="421"/>
      <c r="S19" s="1367"/>
      <c r="T19" s="1367"/>
      <c r="U19" s="1367"/>
      <c r="V19" s="834"/>
      <c r="W19" s="834"/>
      <c r="X19" s="628"/>
      <c r="Y19" s="628"/>
      <c r="Z19" s="628"/>
      <c r="AA19" s="628"/>
      <c r="AB19" s="628"/>
      <c r="AC19" s="628"/>
      <c r="AD19" s="628"/>
      <c r="AE19" s="628"/>
      <c r="AF19" s="628"/>
      <c r="AG19" s="628"/>
      <c r="AH19" s="628"/>
      <c r="AI19" s="628"/>
      <c r="AJ19" s="628"/>
      <c r="AK19" s="628"/>
      <c r="AL19" s="628"/>
      <c r="AM19" s="628"/>
      <c r="AN19" s="628"/>
      <c r="AO19" s="628"/>
      <c r="AP19" s="628"/>
      <c r="AQ19" s="628"/>
      <c r="AR19" s="628"/>
      <c r="AS19" s="628"/>
      <c r="AT19" s="628"/>
      <c r="AU19" s="628"/>
      <c r="AV19" s="628"/>
      <c r="AW19" s="628"/>
      <c r="AX19" s="628"/>
      <c r="AY19" s="628"/>
      <c r="AZ19" s="628"/>
      <c r="BA19" s="628"/>
      <c r="BB19" s="628"/>
      <c r="BC19" s="628"/>
      <c r="BD19" s="628"/>
      <c r="BE19" s="628"/>
      <c r="BF19" s="628"/>
      <c r="BG19" s="628"/>
      <c r="BH19" s="628"/>
      <c r="BI19" s="628"/>
      <c r="BJ19" s="628"/>
      <c r="BK19" s="628"/>
      <c r="BL19" s="628"/>
      <c r="BM19" s="628"/>
      <c r="BN19" s="628"/>
      <c r="BO19" s="628"/>
      <c r="BP19" s="628"/>
      <c r="BQ19" s="628"/>
      <c r="BR19" s="628"/>
      <c r="BS19" s="834"/>
      <c r="BT19" s="834"/>
      <c r="BU19" s="834"/>
      <c r="BV19" s="834"/>
      <c r="BW19" s="834"/>
      <c r="BX19" s="834"/>
      <c r="BY19" s="834"/>
      <c r="BZ19" s="834"/>
      <c r="CA19" s="834"/>
      <c r="CB19" s="834"/>
    </row>
    <row r="21" s="1851" customFormat="1" customHeight="1" ht="15">
      <c r="A21" s="1816" t="s">
        <v>1924</v>
      </c>
      <c r="B21" s="1816"/>
      <c r="C21" s="1816"/>
      <c r="D21" s="1816"/>
      <c r="E21" s="1816"/>
      <c r="F21" s="1816"/>
      <c r="G21" s="1816"/>
      <c r="H21" s="1816"/>
      <c r="I21" s="1816"/>
      <c r="J21" s="1816"/>
      <c r="K21" s="1816"/>
      <c r="L21" s="1816"/>
      <c r="M21" s="1816"/>
      <c r="N21" s="1816"/>
      <c r="O21" s="1816"/>
      <c r="P21" s="1816"/>
      <c r="Q21" s="1816"/>
      <c r="R21" s="1816"/>
      <c r="S21" s="1816"/>
      <c r="T21" s="1816"/>
      <c r="U21" s="185"/>
      <c r="V21" s="1816"/>
      <c r="W21" s="1816"/>
    </row>
    <row s="1851" customFormat="1" customHeight="1" ht="15">
      <c r="U22" s="186"/>
    </row>
    <row s="1854" customFormat="1" customHeight="1" ht="15">
      <c r="A23" s="424"/>
      <c r="B23" s="424"/>
      <c r="C23" s="1729" t="s">
        <v>234</v>
      </c>
      <c r="D23" s="2109" t="s">
        <v>112</v>
      </c>
      <c r="E23" s="2110"/>
      <c r="F23" s="2108" t="s">
        <v>19</v>
      </c>
      <c r="G23" s="2558"/>
      <c r="H23" s="2128">
        <v>1</v>
      </c>
      <c r="I23" s="2560" t="str">
        <f>IF(U23="","",INDEX(TERRITORY_MR_LIST,MATCH(U23,TERRITORY_LIST_ID,0)))</f>
        <v/>
      </c>
      <c r="J23" s="2108" t="s">
        <v>19</v>
      </c>
      <c r="K23" s="833"/>
      <c r="L23" s="1783" t="s">
        <v>112</v>
      </c>
      <c r="M23" s="604"/>
      <c r="N23" s="605"/>
      <c r="O23" s="605"/>
      <c r="P23" s="605"/>
      <c r="Q23" s="605"/>
      <c r="R23" s="605"/>
      <c r="S23" s="605"/>
      <c r="T23" s="605"/>
      <c r="U23" s="606"/>
      <c r="V23" s="605"/>
      <c r="W23" s="605"/>
      <c r="X23" s="596"/>
      <c r="Y23" s="596" t="s">
        <v>121</v>
      </c>
      <c r="Z23" s="596">
        <v>1705000</v>
      </c>
      <c r="AA23" s="596"/>
      <c r="AB23" s="596"/>
      <c r="AC23" s="596"/>
      <c r="AD23" s="596"/>
      <c r="AE23" s="596"/>
      <c r="AF23" s="596"/>
      <c r="AG23" s="596"/>
      <c r="AH23" s="596"/>
      <c r="AI23" s="596"/>
      <c r="AJ23" s="596"/>
      <c r="AK23" s="596"/>
      <c r="AL23" s="596"/>
    </row>
    <row s="1854" customFormat="1" customHeight="1" ht="15">
      <c r="A24" s="424"/>
      <c r="B24" s="424"/>
      <c r="C24" s="177"/>
      <c r="D24" s="2109"/>
      <c r="E24" s="2111"/>
      <c r="F24" s="2108"/>
      <c r="G24" s="2559"/>
      <c r="H24" s="2128"/>
      <c r="I24" s="2561"/>
      <c r="J24" s="2108"/>
      <c r="K24" s="422"/>
      <c r="L24" s="178"/>
      <c r="M24" s="608" t="s">
        <v>122</v>
      </c>
      <c r="N24" s="605"/>
      <c r="O24" s="605"/>
      <c r="P24" s="605"/>
      <c r="Q24" s="605"/>
      <c r="R24" s="605"/>
      <c r="S24" s="605"/>
      <c r="T24" s="605"/>
      <c r="U24" s="606"/>
      <c r="V24" s="605"/>
      <c r="W24" s="605"/>
      <c r="X24" s="596"/>
      <c r="Y24" s="596"/>
      <c r="Z24" s="596"/>
      <c r="AA24" s="596"/>
      <c r="AB24" s="596"/>
      <c r="AC24" s="596"/>
      <c r="AD24" s="596"/>
      <c r="AE24" s="596"/>
      <c r="AF24" s="596"/>
      <c r="AG24" s="596"/>
      <c r="AH24" s="596"/>
      <c r="AI24" s="596"/>
      <c r="AJ24" s="596"/>
      <c r="AK24" s="596"/>
      <c r="AL24" s="596"/>
    </row>
    <row s="1854" customFormat="1" customHeight="1" ht="15">
      <c r="A25" s="424"/>
      <c r="B25" s="424"/>
      <c r="C25" s="177"/>
      <c r="D25" s="2109"/>
      <c r="E25" s="2112"/>
      <c r="F25" s="2108"/>
      <c r="G25" s="422"/>
      <c r="H25" s="178"/>
      <c r="I25" s="581" t="s">
        <v>123</v>
      </c>
      <c r="J25" s="178"/>
      <c r="K25" s="178"/>
      <c r="L25" s="178"/>
      <c r="M25" s="609"/>
      <c r="N25" s="605"/>
      <c r="O25" s="605"/>
      <c r="P25" s="605"/>
      <c r="Q25" s="605"/>
      <c r="R25" s="605"/>
      <c r="S25" s="605"/>
      <c r="T25" s="605"/>
      <c r="U25" s="606"/>
      <c r="V25" s="605"/>
      <c r="W25" s="605"/>
      <c r="X25" s="596"/>
      <c r="Y25" s="596"/>
      <c r="Z25" s="596"/>
      <c r="AA25" s="596"/>
      <c r="AB25" s="596"/>
      <c r="AC25" s="596"/>
      <c r="AD25" s="596"/>
      <c r="AE25" s="596"/>
      <c r="AF25" s="596"/>
      <c r="AG25" s="596"/>
      <c r="AH25" s="596"/>
      <c r="AI25" s="596"/>
      <c r="AJ25" s="596"/>
      <c r="AK25" s="596"/>
      <c r="AL25" s="596"/>
    </row>
    <row s="1851" customFormat="1" customHeight="1" ht="15">
      <c r="U26" s="186"/>
    </row>
    <row s="1851" customFormat="1" customHeight="1" ht="15">
      <c r="A27" s="1816" t="s">
        <v>1925</v>
      </c>
      <c r="B27" s="1816"/>
      <c r="C27" s="1816"/>
      <c r="D27" s="1816"/>
      <c r="E27" s="1816"/>
      <c r="F27" s="1816"/>
      <c r="G27" s="1816"/>
      <c r="H27" s="1816"/>
      <c r="I27" s="1816"/>
      <c r="J27" s="1816"/>
      <c r="K27" s="1816"/>
      <c r="L27" s="1816"/>
      <c r="M27" s="1816"/>
      <c r="N27" s="1816"/>
      <c r="O27" s="1816"/>
      <c r="P27" s="1816"/>
      <c r="Q27" s="1816"/>
      <c r="R27" s="1816"/>
      <c r="S27" s="1816"/>
      <c r="T27" s="1816"/>
      <c r="U27" s="185"/>
      <c r="V27" s="1816"/>
      <c r="W27" s="1816"/>
    </row>
    <row s="1851" customFormat="1" customHeight="1" ht="15">
      <c r="U28" s="186"/>
    </row>
    <row s="1854" customFormat="1" customHeight="1" ht="15">
      <c r="A29" s="424"/>
      <c r="B29" s="424"/>
      <c r="C29" s="177"/>
      <c r="D29" s="1822"/>
      <c r="E29" s="1822"/>
      <c r="F29" s="1822"/>
      <c r="G29" s="2562" t="s">
        <v>234</v>
      </c>
      <c r="H29" s="2104">
        <v>1</v>
      </c>
      <c r="I29" s="2563" t="str">
        <f>IF(U29="","",INDEX(TERRITORY_MR_LIST,MATCH(U29,TERRITORY_LIST_ID,0)))</f>
        <v/>
      </c>
      <c r="J29" s="2108" t="s">
        <v>19</v>
      </c>
      <c r="K29" s="833"/>
      <c r="L29" s="1783" t="s">
        <v>112</v>
      </c>
      <c r="M29" s="604"/>
      <c r="N29" s="605"/>
      <c r="O29" s="605"/>
      <c r="P29" s="605"/>
      <c r="Q29" s="605"/>
      <c r="R29" s="605"/>
      <c r="S29" s="605"/>
      <c r="T29" s="605"/>
      <c r="U29" s="606"/>
      <c r="V29" s="605"/>
      <c r="W29" s="605"/>
      <c r="X29" s="596"/>
      <c r="Y29" s="596" t="s">
        <v>121</v>
      </c>
      <c r="Z29" s="596">
        <v>1705000</v>
      </c>
      <c r="AA29" s="596"/>
      <c r="AB29" s="596"/>
      <c r="AC29" s="596"/>
      <c r="AD29" s="596"/>
      <c r="AE29" s="596"/>
      <c r="AF29" s="596"/>
      <c r="AG29" s="596"/>
      <c r="AH29" s="596"/>
      <c r="AI29" s="596"/>
      <c r="AJ29" s="596"/>
      <c r="AK29" s="596"/>
      <c r="AL29" s="596"/>
    </row>
    <row s="1854" customFormat="1" customHeight="1" ht="15">
      <c r="A30" s="424"/>
      <c r="B30" s="424"/>
      <c r="C30" s="177"/>
      <c r="D30" s="1822"/>
      <c r="E30" s="1822"/>
      <c r="F30" s="1822"/>
      <c r="G30" s="2562"/>
      <c r="H30" s="2104"/>
      <c r="I30" s="2563"/>
      <c r="J30" s="2108"/>
      <c r="K30" s="422"/>
      <c r="L30" s="178"/>
      <c r="M30" s="608" t="s">
        <v>122</v>
      </c>
      <c r="N30" s="605"/>
      <c r="O30" s="605"/>
      <c r="P30" s="605"/>
      <c r="Q30" s="605"/>
      <c r="R30" s="605"/>
      <c r="S30" s="605"/>
      <c r="T30" s="605"/>
      <c r="U30" s="606"/>
      <c r="V30" s="605"/>
      <c r="W30" s="605"/>
      <c r="X30" s="596"/>
      <c r="Y30" s="596"/>
      <c r="Z30" s="596"/>
      <c r="AA30" s="596"/>
      <c r="AB30" s="596"/>
      <c r="AC30" s="596"/>
      <c r="AD30" s="596"/>
      <c r="AE30" s="596"/>
      <c r="AF30" s="596"/>
      <c r="AG30" s="596"/>
      <c r="AH30" s="596"/>
      <c r="AI30" s="596"/>
      <c r="AJ30" s="596"/>
      <c r="AK30" s="596"/>
      <c r="AL30" s="596"/>
    </row>
    <row s="1851" customFormat="1" customHeight="1" ht="15">
      <c r="U31" s="186"/>
    </row>
    <row s="1851" customFormat="1" customHeight="1" ht="15">
      <c r="A32" s="1816" t="s">
        <v>1926</v>
      </c>
      <c r="B32" s="1816"/>
      <c r="C32" s="1816"/>
      <c r="D32" s="1816"/>
      <c r="E32" s="1816"/>
      <c r="F32" s="1816"/>
      <c r="G32" s="1816"/>
      <c r="H32" s="1816"/>
      <c r="I32" s="1816"/>
      <c r="J32" s="1816"/>
      <c r="K32" s="1816"/>
      <c r="L32" s="1816"/>
      <c r="M32" s="1816"/>
      <c r="N32" s="1816"/>
      <c r="O32" s="1816"/>
      <c r="P32" s="1816"/>
      <c r="Q32" s="1816"/>
      <c r="R32" s="1816"/>
      <c r="S32" s="1816"/>
      <c r="T32" s="1816"/>
      <c r="U32" s="185"/>
      <c r="V32" s="1816"/>
      <c r="W32" s="1816"/>
    </row>
    <row s="1851" customFormat="1" customHeight="1" ht="15">
      <c r="U33" s="186"/>
    </row>
    <row s="1854" customFormat="1" customHeight="1" ht="15">
      <c r="A34" s="424"/>
      <c r="B34" s="424"/>
      <c r="C34" s="177"/>
      <c r="D34" s="1822"/>
      <c r="E34" s="1822"/>
      <c r="F34" s="1822"/>
      <c r="G34" s="1822"/>
      <c r="H34" s="1822"/>
      <c r="I34" s="1822"/>
      <c r="J34" s="1822"/>
      <c r="K34" s="1800" t="s">
        <v>234</v>
      </c>
      <c r="L34" s="1730" t="s">
        <v>112</v>
      </c>
      <c r="M34" s="812"/>
      <c r="N34" s="813"/>
      <c r="O34" s="605"/>
      <c r="P34" s="605"/>
      <c r="Q34" s="605"/>
      <c r="R34" s="605"/>
      <c r="S34" s="605"/>
      <c r="T34" s="605"/>
      <c r="U34" s="606"/>
      <c r="V34" s="605"/>
      <c r="W34" s="605"/>
      <c r="X34" s="596"/>
      <c r="Y34" s="596" t="s">
        <v>121</v>
      </c>
      <c r="Z34" s="596">
        <v>1705000</v>
      </c>
      <c r="AA34" s="596"/>
      <c r="AB34" s="596"/>
      <c r="AC34" s="596"/>
      <c r="AD34" s="596"/>
      <c r="AE34" s="596"/>
      <c r="AF34" s="596"/>
      <c r="AG34" s="596"/>
      <c r="AH34" s="596"/>
      <c r="AI34" s="596"/>
      <c r="AJ34" s="596"/>
      <c r="AK34" s="596"/>
      <c r="AL34" s="596"/>
    </row>
    <row s="1851" customFormat="1" customHeight="1" ht="15">
      <c r="U35" s="186"/>
    </row>
    <row s="1851" customFormat="1" customHeight="1" ht="15">
      <c r="U36" s="186"/>
    </row>
    <row s="1816" customFormat="1" customHeight="1" ht="11.25">
      <c r="A37" s="1816" t="s">
        <v>1927</v>
      </c>
    </row>
    <row customHeight="1" ht="11.25"/>
    <row s="456" customFormat="1" customHeight="1" ht="22.5">
      <c r="A39" s="1792"/>
      <c r="B39" s="458"/>
      <c r="C39" s="860"/>
      <c r="D39" s="441"/>
      <c r="E39" s="861"/>
      <c r="F39" s="1813"/>
      <c r="G39" s="1823"/>
      <c r="H39" s="476"/>
    </row>
    <row customHeight="1" ht="11.25"/>
    <row s="1816" customFormat="1" customHeight="1" ht="11.25">
      <c r="A41" s="1816" t="s">
        <v>1928</v>
      </c>
    </row>
    <row customHeight="1" ht="11.25"/>
    <row s="456" customFormat="1" customHeight="1" ht="22.5">
      <c r="A43" s="458"/>
      <c r="B43" s="458"/>
      <c r="C43" s="458"/>
      <c r="D43" s="441"/>
      <c r="E43" s="861"/>
      <c r="F43" s="862"/>
      <c r="G43" s="1823"/>
      <c r="H43" s="476"/>
    </row>
    <row customHeight="1" ht="11.25"/>
    <row s="1816" customFormat="1" customHeight="1" ht="11.25">
      <c r="A45" s="1816" t="s">
        <v>1929</v>
      </c>
    </row>
    <row customHeight="1" ht="11.25"/>
    <row s="456" customFormat="1" customHeight="1" ht="24">
      <c r="A47" s="2203" t="s">
        <v>325</v>
      </c>
      <c r="B47" s="503"/>
      <c r="C47" s="2214"/>
      <c r="D47" s="446" t="str">
        <f>A47</f>
        <v>5.1</v>
      </c>
      <c r="E47" s="443" t="s">
        <v>326</v>
      </c>
      <c r="F47" s="1977" t="s">
        <v>318</v>
      </c>
      <c r="G47" s="445" t="s">
        <v>327</v>
      </c>
      <c r="H47" s="476"/>
      <c r="I47" s="853"/>
    </row>
    <row s="456" customFormat="1" customHeight="1" ht="22.5">
      <c r="A48" s="2203"/>
      <c r="B48" s="503"/>
      <c r="C48" s="2214"/>
      <c r="D48" s="441" t="str">
        <f>D47&amp;".1"</f>
        <v>5.1.1</v>
      </c>
      <c r="E48" s="440" t="s">
        <v>328</v>
      </c>
      <c r="F48" s="1978" t="s">
        <v>28</v>
      </c>
      <c r="G48" s="475"/>
      <c r="H48" s="476"/>
      <c r="I48" s="853"/>
    </row>
    <row s="456" customFormat="1" customHeight="1" ht="22.5">
      <c r="A49" s="2203"/>
      <c r="B49" s="503"/>
      <c r="C49" s="2214"/>
      <c r="D49" s="441" t="str">
        <f>D47&amp;".2"</f>
        <v>5.1.2</v>
      </c>
      <c r="E49" s="440" t="s">
        <v>329</v>
      </c>
      <c r="F49" s="1733" t="s">
        <v>28</v>
      </c>
      <c r="G49" s="445" t="s">
        <v>330</v>
      </c>
      <c r="H49" s="476"/>
      <c r="I49" s="853"/>
    </row>
    <row s="456" customFormat="1" customHeight="1" ht="22.5">
      <c r="A50" s="2203"/>
      <c r="B50" s="503"/>
      <c r="C50" s="2214"/>
      <c r="D50" s="441" t="str">
        <f>D47&amp;".3"</f>
        <v>5.1.3</v>
      </c>
      <c r="E50" s="440" t="s">
        <v>331</v>
      </c>
      <c r="F50" s="1978" t="s">
        <v>28</v>
      </c>
      <c r="G50" s="475"/>
      <c r="H50" s="476"/>
      <c r="I50" s="853"/>
    </row>
    <row s="456" customFormat="1" customHeight="1" ht="22.5">
      <c r="A51" s="2203"/>
      <c r="B51" s="503"/>
      <c r="C51" s="2214"/>
      <c r="D51" s="441" t="str">
        <f>D47&amp;".4"</f>
        <v>5.1.4</v>
      </c>
      <c r="E51" s="440" t="s">
        <v>332</v>
      </c>
      <c r="F51" s="1978" t="s">
        <v>28</v>
      </c>
      <c r="G51" s="445" t="s">
        <v>333</v>
      </c>
      <c r="H51" s="476"/>
      <c r="I51" s="853"/>
    </row>
    <row r="54" s="1816" customFormat="1" customHeight="1" ht="17.25">
      <c r="A54" s="1816" t="s">
        <v>1930</v>
      </c>
    </row>
    <row r="56" s="1613" customFormat="1" customHeight="1" ht="18.75">
      <c r="A56" s="90"/>
      <c r="B56" s="1824"/>
      <c r="C56" s="1824"/>
      <c r="D56" s="1825"/>
      <c r="E56" s="1810"/>
      <c r="F56" s="869">
        <v>13</v>
      </c>
      <c r="G56" s="868"/>
      <c r="H56" s="794"/>
      <c r="I56" s="792"/>
      <c r="J56" s="521" t="s">
        <v>63</v>
      </c>
      <c r="K56" s="1826" t="s">
        <v>28</v>
      </c>
      <c r="L56" s="90"/>
      <c r="M56" s="1637"/>
      <c r="N56" s="1637"/>
      <c r="O56" s="1637"/>
      <c r="P56" s="517" t="s">
        <v>404</v>
      </c>
      <c r="Q56" s="517" t="s">
        <v>405</v>
      </c>
      <c r="R56" s="518" t="s">
        <v>406</v>
      </c>
      <c r="S56" s="1637" t="s">
        <v>407</v>
      </c>
      <c r="T56" s="1637"/>
      <c r="U56" s="1637"/>
      <c r="V56" s="1637"/>
    </row>
    <row r="58" s="1816" customFormat="1" customHeight="1" ht="11.25">
      <c r="A58" s="1816" t="s">
        <v>1931</v>
      </c>
    </row>
    <row r="60" s="1636" customFormat="1" customHeight="1" ht="14.25">
      <c r="C60" s="1689"/>
      <c r="D60" s="1870"/>
      <c r="E60" s="1778" t="s">
        <v>28</v>
      </c>
      <c r="F60" s="1869"/>
      <c r="G60" s="857"/>
      <c r="H60" s="1779"/>
      <c r="I60" s="1779"/>
      <c r="J60" s="434"/>
      <c r="K60" s="1864"/>
      <c r="L60" s="433"/>
      <c r="M60" s="1864"/>
      <c r="N60" s="434"/>
      <c r="O60" s="1864"/>
      <c r="P60" s="434"/>
      <c r="Q60" s="1864"/>
      <c r="R60" s="434"/>
      <c r="S60" s="855"/>
      <c r="T60" s="1779"/>
      <c r="U60" s="434"/>
      <c r="V60" s="434"/>
      <c r="W60" s="1868"/>
      <c r="X60" s="1779"/>
      <c r="Y60" s="434"/>
      <c r="Z60" s="434"/>
      <c r="AA60" s="1868"/>
      <c r="AB60" s="1779"/>
      <c r="AC60" s="434"/>
      <c r="AD60" s="1868"/>
      <c r="AE60" s="90"/>
      <c r="AF60" s="90"/>
      <c r="AG60" s="90"/>
      <c r="AH60" s="90"/>
      <c r="AJ60" s="1637"/>
      <c r="AK60" s="1637"/>
      <c r="AL60" s="1637"/>
      <c r="AM60" s="1637"/>
      <c r="AN60" s="1637"/>
      <c r="AO60" s="1637"/>
      <c r="AP60" s="1625" t="s">
        <v>393</v>
      </c>
      <c r="AQ60" s="1625" t="s">
        <v>393</v>
      </c>
      <c r="AR60" s="1637"/>
      <c r="AS60" s="1637"/>
    </row>
    <row r="62" s="1816" customFormat="1" customHeight="1" ht="11.25">
      <c r="A62" s="1816" t="s">
        <v>1932</v>
      </c>
    </row>
    <row r="64" s="1824" customFormat="1" customHeight="1" ht="15">
      <c r="A64" s="146" t="s">
        <v>92</v>
      </c>
      <c r="B64" s="126" t="s">
        <v>28</v>
      </c>
      <c r="C64" s="1827"/>
      <c r="D64" s="129"/>
      <c r="E64" s="382"/>
      <c r="F64" s="382"/>
      <c r="G64" s="1804"/>
      <c r="H64" s="1826"/>
      <c r="I64" s="1805"/>
      <c r="K64" s="273"/>
      <c r="L64" s="274"/>
    </row>
    <row r="66" s="1816" customFormat="1" customHeight="1" ht="11.25">
      <c r="A66" s="1816" t="s">
        <v>1933</v>
      </c>
    </row>
    <row r="68" s="1636" customFormat="1" customHeight="1" ht="14.25">
      <c r="A68" s="344"/>
      <c r="B68" s="1161"/>
      <c r="C68" s="377"/>
      <c r="D68" s="1811"/>
      <c r="E68" s="887"/>
      <c r="F68" s="1826"/>
      <c r="G68" s="90"/>
      <c r="I68" s="1625"/>
      <c r="J68" s="1625"/>
    </row>
    <row r="70" s="1816" customFormat="1" customHeight="1" ht="11.25">
      <c r="A70" s="1816" t="s">
        <v>1934</v>
      </c>
    </row>
    <row r="72" s="1636" customFormat="1" customHeight="1" ht="27">
      <c r="A72" s="1167"/>
      <c r="B72" s="1167"/>
      <c r="C72" s="1167"/>
      <c r="D72" s="1161"/>
      <c r="E72" s="1828"/>
      <c r="F72" s="2582"/>
      <c r="G72" s="2583"/>
      <c r="H72" s="2584" t="s">
        <v>63</v>
      </c>
      <c r="I72" s="2586"/>
      <c r="J72" s="2549"/>
      <c r="K72" s="2588"/>
      <c r="L72" s="2551"/>
      <c r="M72" s="2551"/>
      <c r="N72" s="2552"/>
      <c r="O72" s="2552"/>
      <c r="P72" s="2553">
        <f>DATEDIF(DATEVALUE(N72),DATEVALUE(O72),"y")&amp;"г. "&amp;DATEDIF(DATEVALUE(N72),DATEVALUE(O72),"ym")&amp;"мес. "&amp;DATEVALUE(O72)-DATE(YEAR(DATEVALUE(O72)),MONTH(DATEVALUE(O72)),1)&amp;"дн. "</f>
      </c>
      <c r="Q72" s="2548"/>
      <c r="R72" s="2548"/>
      <c r="S72" s="2548"/>
      <c r="T72" s="2549"/>
      <c r="U72" s="2548"/>
      <c r="V72" s="2548"/>
      <c r="W72" s="2548"/>
      <c r="X72" s="2549"/>
      <c r="Y72" s="2546" t="s">
        <v>63</v>
      </c>
      <c r="Z72" s="1809"/>
      <c r="AA72" s="1793">
        <v>1</v>
      </c>
      <c r="AB72" s="1243"/>
      <c r="AD72" s="1637" t="s">
        <v>1935</v>
      </c>
    </row>
    <row s="1636" customFormat="1" customHeight="1" ht="10.5">
      <c r="A73" s="1167"/>
      <c r="B73" s="1167"/>
      <c r="C73" s="1167"/>
      <c r="D73" s="1161"/>
      <c r="E73" s="948"/>
      <c r="F73" s="2582"/>
      <c r="G73" s="2583"/>
      <c r="H73" s="2585"/>
      <c r="I73" s="2587"/>
      <c r="J73" s="2550"/>
      <c r="K73" s="2588"/>
      <c r="L73" s="2551"/>
      <c r="M73" s="2551"/>
      <c r="N73" s="2552"/>
      <c r="O73" s="2552"/>
      <c r="P73" s="2553"/>
      <c r="Q73" s="2548"/>
      <c r="R73" s="2548"/>
      <c r="S73" s="2548"/>
      <c r="T73" s="2550"/>
      <c r="U73" s="2548"/>
      <c r="V73" s="2548"/>
      <c r="W73" s="2548"/>
      <c r="X73" s="2550"/>
      <c r="Y73" s="2547"/>
      <c r="Z73" s="348"/>
      <c r="AA73" s="573"/>
      <c r="AB73" s="653" t="s">
        <v>1936</v>
      </c>
    </row>
    <row r="75" s="1816" customFormat="1" customHeight="1" ht="11.25">
      <c r="A75" s="1816" t="s">
        <v>1937</v>
      </c>
    </row>
    <row r="77" s="1636" customFormat="1" customHeight="1" ht="27">
      <c r="A77" s="1167"/>
      <c r="B77" s="1167"/>
      <c r="C77" s="1167"/>
      <c r="D77" s="1161"/>
      <c r="E77" s="1828"/>
      <c r="F77" s="1798"/>
      <c r="G77" s="1748"/>
      <c r="H77" s="1749"/>
      <c r="I77" s="1750"/>
      <c r="J77" s="1751"/>
      <c r="K77" s="1752"/>
      <c r="L77" s="1753"/>
      <c r="M77" s="1753"/>
      <c r="N77" s="1754"/>
      <c r="O77" s="1754"/>
      <c r="P77" s="1755"/>
      <c r="Q77" s="1756"/>
      <c r="R77" s="1756"/>
      <c r="S77" s="1756"/>
      <c r="T77" s="1751"/>
      <c r="U77" s="1756"/>
      <c r="V77" s="1756"/>
      <c r="W77" s="1756"/>
      <c r="X77" s="1751"/>
      <c r="Y77" s="1749"/>
      <c r="Z77" s="1809"/>
      <c r="AA77" s="1793">
        <v>1</v>
      </c>
      <c r="AB77" s="1243"/>
      <c r="AD77" s="1637" t="s">
        <v>1935</v>
      </c>
    </row>
    <row r="79" s="1816" customFormat="1" customHeight="1" ht="11.25">
      <c r="A79" s="1816" t="s">
        <v>1938</v>
      </c>
    </row>
    <row customHeight="1" ht="17.25"/>
    <row s="1636" customFormat="1" customHeight="1" ht="21">
      <c r="A81" s="1168"/>
      <c r="B81" s="1167"/>
      <c r="C81" s="1167"/>
      <c r="D81" s="1161"/>
      <c r="E81" s="1171"/>
      <c r="F81" s="1123">
        <f>INDEX(IP_MAIN_LIST_NAME_IP,MATCH(A81,IP_MAIN_LIST_IP_ID,0))&amp;" ("&amp;INDEX(IP_MAIN_START_DATE,MATCH(A81,IP_MAIN_LIST_IP_ID,0))&amp;"-"&amp;INDEX(IP_MAIN_END_DATE,MATCH(A81,IP_MAIN_LIST_IP_ID,0))&amp;")"</f>
      </c>
      <c r="G81" s="1124"/>
      <c r="H81" s="1124"/>
      <c r="I81" s="1186"/>
      <c r="J81" s="1186"/>
      <c r="K81" s="1187"/>
      <c r="L81" s="1187"/>
      <c r="M81" s="1187"/>
      <c r="N81" s="1188"/>
      <c r="O81" s="1188"/>
      <c r="P81" s="1188"/>
      <c r="Q81" s="1188"/>
      <c r="R81" s="1188"/>
      <c r="S81" s="1188"/>
      <c r="T81" s="1188"/>
      <c r="U81" s="1188"/>
      <c r="V81" s="1188"/>
      <c r="W81" s="1188"/>
      <c r="X81" s="1188"/>
      <c r="Y81" s="1188"/>
      <c r="Z81" s="1188"/>
      <c r="AA81" s="1188"/>
      <c r="AB81" s="1188"/>
      <c r="AC81" s="1188"/>
      <c r="AD81" s="1188"/>
      <c r="AE81" s="1189"/>
      <c r="AF81" s="1187"/>
      <c r="AG81" s="1187"/>
      <c r="AH81" s="1187"/>
      <c r="AI81" s="1187"/>
      <c r="AJ81" s="1187"/>
      <c r="AK81" s="1187"/>
      <c r="AL81" s="1989"/>
      <c r="AM81" s="1824"/>
      <c r="AN81" s="1824"/>
      <c r="AO81" s="1824"/>
      <c r="AP81" s="1824"/>
      <c r="AQ81" s="1824"/>
      <c r="AR81" s="1824"/>
      <c r="AS81" s="1824"/>
      <c r="AT81" s="1824"/>
      <c r="AU81" s="1824"/>
      <c r="AV81" s="1824"/>
      <c r="AW81" s="1824"/>
      <c r="AX81" s="1824"/>
      <c r="AY81" s="1824"/>
      <c r="AZ81" s="1824"/>
      <c r="BA81" s="1824"/>
      <c r="BB81" s="1824"/>
      <c r="BC81" s="1824"/>
      <c r="BD81" s="1824"/>
      <c r="BE81" s="1824"/>
      <c r="BF81" s="1824"/>
    </row>
    <row s="1636" customFormat="1" customHeight="1" ht="0.75">
      <c r="A82" s="1167"/>
      <c r="B82" s="1167"/>
      <c r="C82" s="1167"/>
      <c r="D82" s="1161"/>
      <c r="E82" s="1171"/>
      <c r="F82" s="2537"/>
      <c r="G82" s="2516"/>
      <c r="H82" s="2541" t="s">
        <v>388</v>
      </c>
      <c r="I82" s="2542"/>
      <c r="J82" s="2543"/>
      <c r="K82" s="2543"/>
      <c r="L82" s="2535"/>
      <c r="M82" s="2269"/>
      <c r="N82" s="2037"/>
      <c r="O82" s="2036"/>
      <c r="P82" s="2037"/>
      <c r="Q82" s="2037"/>
      <c r="R82" s="2037"/>
      <c r="S82" s="2037"/>
      <c r="T82" s="2037"/>
      <c r="U82" s="2037"/>
      <c r="V82" s="2037"/>
      <c r="W82" s="2037"/>
      <c r="X82" s="2037"/>
      <c r="Y82" s="2037"/>
      <c r="Z82" s="2037"/>
      <c r="AA82" s="2037"/>
      <c r="AB82" s="2037"/>
      <c r="AC82" s="2037"/>
      <c r="AD82" s="2037"/>
      <c r="AE82" s="2037"/>
      <c r="AF82" s="2539"/>
      <c r="AG82" s="2535"/>
      <c r="AH82" s="2535"/>
      <c r="AI82" s="2539"/>
      <c r="AJ82" s="2535"/>
      <c r="AK82" s="2535"/>
      <c r="AL82" s="1989"/>
      <c r="AM82" s="1824"/>
      <c r="AN82" s="1824"/>
      <c r="AO82" s="1824"/>
      <c r="AP82" s="1824"/>
      <c r="AQ82" s="1824"/>
      <c r="AR82" s="1824"/>
      <c r="AS82" s="1824"/>
      <c r="AT82" s="1824"/>
      <c r="AU82" s="1824"/>
      <c r="AV82" s="1824"/>
      <c r="AW82" s="1824"/>
      <c r="AX82" s="1824"/>
      <c r="AY82" s="1824"/>
      <c r="AZ82" s="1824"/>
      <c r="BA82" s="1824"/>
      <c r="BB82" s="1824"/>
      <c r="BC82" s="1824"/>
      <c r="BD82" s="1824"/>
      <c r="BE82" s="1824"/>
      <c r="BF82" s="1824"/>
    </row>
    <row s="1636" customFormat="1" customHeight="1" ht="0.75">
      <c r="A83" s="1167"/>
      <c r="B83" s="1167"/>
      <c r="C83" s="1167"/>
      <c r="D83" s="1161"/>
      <c r="E83" s="1171"/>
      <c r="F83" s="2537"/>
      <c r="G83" s="2516"/>
      <c r="H83" s="2541"/>
      <c r="I83" s="2542"/>
      <c r="J83" s="2543"/>
      <c r="K83" s="2543"/>
      <c r="L83" s="2535"/>
      <c r="M83" s="2269"/>
      <c r="N83" s="2544"/>
      <c r="O83" s="2545"/>
      <c r="P83" s="2589"/>
      <c r="Q83" s="2540"/>
      <c r="R83" s="2540"/>
      <c r="S83" s="2540"/>
      <c r="T83" s="2540"/>
      <c r="U83" s="2540"/>
      <c r="V83" s="2540"/>
      <c r="W83" s="2540"/>
      <c r="X83" s="2540"/>
      <c r="Y83" s="2540"/>
      <c r="Z83" s="2038"/>
      <c r="AA83" s="2039"/>
      <c r="AB83" s="2039"/>
      <c r="AC83" s="2040"/>
      <c r="AD83" s="2040"/>
      <c r="AE83" s="2041"/>
      <c r="AF83" s="2539"/>
      <c r="AG83" s="2535"/>
      <c r="AH83" s="2535"/>
      <c r="AI83" s="2539"/>
      <c r="AJ83" s="2535"/>
      <c r="AK83" s="2535"/>
      <c r="AL83" s="1989"/>
      <c r="AM83" s="1824"/>
      <c r="AN83" s="1824"/>
      <c r="AO83" s="1824"/>
      <c r="AP83" s="1824"/>
      <c r="AQ83" s="1824"/>
      <c r="AR83" s="1824"/>
      <c r="AS83" s="1824"/>
      <c r="AT83" s="1824"/>
      <c r="AU83" s="1824"/>
      <c r="AV83" s="1824"/>
      <c r="AW83" s="1824"/>
      <c r="AX83" s="1824"/>
      <c r="AY83" s="1824"/>
      <c r="AZ83" s="1824"/>
      <c r="BA83" s="1824"/>
      <c r="BB83" s="1824"/>
      <c r="BC83" s="1824"/>
      <c r="BD83" s="1824"/>
      <c r="BE83" s="1824"/>
      <c r="BF83" s="1824"/>
    </row>
    <row s="1636" customFormat="1" customHeight="1" ht="0.75">
      <c r="A84" s="1167"/>
      <c r="B84" s="1167"/>
      <c r="C84" s="1167"/>
      <c r="D84" s="1161"/>
      <c r="E84" s="1171"/>
      <c r="F84" s="2537"/>
      <c r="G84" s="2516"/>
      <c r="H84" s="2541"/>
      <c r="I84" s="2542"/>
      <c r="J84" s="2543"/>
      <c r="K84" s="2543"/>
      <c r="L84" s="2535"/>
      <c r="M84" s="2269"/>
      <c r="N84" s="2544"/>
      <c r="O84" s="2545"/>
      <c r="P84" s="2590"/>
      <c r="Q84" s="2540"/>
      <c r="R84" s="2540"/>
      <c r="S84" s="2540"/>
      <c r="T84" s="2540"/>
      <c r="U84" s="2540"/>
      <c r="V84" s="2540"/>
      <c r="W84" s="2540"/>
      <c r="X84" s="2540"/>
      <c r="Y84" s="2540"/>
      <c r="Z84" s="2042"/>
      <c r="AA84" s="2043"/>
      <c r="AB84" s="2044"/>
      <c r="AC84" s="2045"/>
      <c r="AD84" s="2044"/>
      <c r="AE84" s="2045"/>
      <c r="AF84" s="2539"/>
      <c r="AG84" s="2535"/>
      <c r="AH84" s="2535"/>
      <c r="AI84" s="2539"/>
      <c r="AJ84" s="2535"/>
      <c r="AK84" s="2535"/>
      <c r="AL84" s="1989"/>
      <c r="AM84" s="1824"/>
      <c r="AN84" s="1824"/>
      <c r="AO84" s="1824"/>
      <c r="AP84" s="1824"/>
      <c r="AQ84" s="1824"/>
      <c r="AR84" s="1824"/>
      <c r="AS84" s="1824"/>
      <c r="AT84" s="1824"/>
      <c r="AU84" s="1824"/>
      <c r="AV84" s="1824"/>
      <c r="AW84" s="1824"/>
      <c r="AX84" s="1824"/>
      <c r="AY84" s="1824"/>
      <c r="AZ84" s="1824"/>
      <c r="BA84" s="1824"/>
      <c r="BB84" s="1824"/>
      <c r="BC84" s="1824"/>
      <c r="BD84" s="1824"/>
      <c r="BE84" s="1824"/>
      <c r="BF84" s="1824"/>
    </row>
    <row s="1636" customFormat="1" customHeight="1" ht="0.75">
      <c r="A85" s="1167"/>
      <c r="B85" s="1167"/>
      <c r="C85" s="1167"/>
      <c r="D85" s="1161"/>
      <c r="E85" s="1171"/>
      <c r="F85" s="2537"/>
      <c r="G85" s="2516"/>
      <c r="H85" s="2541"/>
      <c r="I85" s="2542"/>
      <c r="J85" s="2543"/>
      <c r="K85" s="2543"/>
      <c r="L85" s="2535"/>
      <c r="M85" s="2269"/>
      <c r="N85" s="2544"/>
      <c r="O85" s="2545"/>
      <c r="P85" s="2591"/>
      <c r="Q85" s="2540"/>
      <c r="R85" s="2540"/>
      <c r="S85" s="2540"/>
      <c r="T85" s="2540"/>
      <c r="U85" s="2540"/>
      <c r="V85" s="2540"/>
      <c r="W85" s="2540"/>
      <c r="X85" s="2540"/>
      <c r="Y85" s="2540"/>
      <c r="Z85" s="2038"/>
      <c r="AA85" s="2039"/>
      <c r="AB85" s="2046"/>
      <c r="AC85" s="2040"/>
      <c r="AD85" s="2040"/>
      <c r="AE85" s="2047"/>
      <c r="AF85" s="2539"/>
      <c r="AG85" s="2535"/>
      <c r="AH85" s="2535"/>
      <c r="AI85" s="2539"/>
      <c r="AJ85" s="2535"/>
      <c r="AK85" s="2535"/>
      <c r="AL85" s="1989"/>
      <c r="AM85" s="1824"/>
      <c r="AN85" s="1824"/>
      <c r="AO85" s="1824"/>
      <c r="AP85" s="1824"/>
      <c r="AQ85" s="1824"/>
      <c r="AR85" s="1824"/>
      <c r="AS85" s="1824"/>
      <c r="AT85" s="1824"/>
      <c r="AU85" s="1824"/>
      <c r="AV85" s="1824"/>
      <c r="AW85" s="1824"/>
      <c r="AX85" s="1824"/>
      <c r="AY85" s="1824"/>
      <c r="AZ85" s="1824"/>
      <c r="BA85" s="1824"/>
      <c r="BB85" s="1824"/>
      <c r="BC85" s="1824"/>
      <c r="BD85" s="1824"/>
      <c r="BE85" s="1824"/>
      <c r="BF85" s="1824"/>
    </row>
    <row s="1636" customFormat="1" customHeight="1" ht="0.75">
      <c r="A86" s="1167"/>
      <c r="B86" s="1167"/>
      <c r="C86" s="1167"/>
      <c r="D86" s="1161"/>
      <c r="E86" s="1171"/>
      <c r="F86" s="2537"/>
      <c r="G86" s="2516"/>
      <c r="H86" s="2541"/>
      <c r="I86" s="2542"/>
      <c r="J86" s="2543"/>
      <c r="K86" s="2543"/>
      <c r="L86" s="2535"/>
      <c r="M86" s="2269"/>
      <c r="N86" s="2039"/>
      <c r="O86" s="2039"/>
      <c r="P86" s="2046"/>
      <c r="Q86" s="2039"/>
      <c r="R86" s="2039"/>
      <c r="S86" s="2039"/>
      <c r="T86" s="2039"/>
      <c r="U86" s="2039"/>
      <c r="V86" s="2039"/>
      <c r="W86" s="2039"/>
      <c r="X86" s="2039"/>
      <c r="Y86" s="2039"/>
      <c r="Z86" s="2039"/>
      <c r="AA86" s="2039"/>
      <c r="AB86" s="2039"/>
      <c r="AC86" s="2039"/>
      <c r="AD86" s="2039"/>
      <c r="AE86" s="2048"/>
      <c r="AF86" s="2539"/>
      <c r="AG86" s="2535"/>
      <c r="AH86" s="2535"/>
      <c r="AI86" s="2539"/>
      <c r="AJ86" s="2535"/>
      <c r="AK86" s="2535"/>
      <c r="AL86" s="1989"/>
      <c r="AM86" s="1824"/>
      <c r="AN86" s="1824"/>
      <c r="AO86" s="1824"/>
      <c r="AP86" s="1824"/>
      <c r="AQ86" s="1824"/>
      <c r="AR86" s="1824"/>
      <c r="AS86" s="1824"/>
      <c r="AT86" s="1824"/>
      <c r="AU86" s="1824"/>
      <c r="AV86" s="1824"/>
      <c r="AW86" s="1824"/>
      <c r="AX86" s="1824"/>
      <c r="AY86" s="1824"/>
      <c r="AZ86" s="1824"/>
      <c r="BA86" s="1824"/>
      <c r="BB86" s="1824"/>
      <c r="BC86" s="1824"/>
      <c r="BD86" s="1824"/>
      <c r="BE86" s="1824"/>
      <c r="BF86" s="1824"/>
    </row>
    <row s="1636" customFormat="1" customHeight="1" ht="12">
      <c r="A87" s="1167"/>
      <c r="B87" s="1167"/>
      <c r="C87" s="1167"/>
      <c r="D87" s="1161"/>
      <c r="E87" s="1171"/>
      <c r="F87" s="2538"/>
      <c r="G87" s="1191"/>
      <c r="H87" s="1191"/>
      <c r="I87" s="2536" t="s">
        <v>1939</v>
      </c>
      <c r="J87" s="2536"/>
      <c r="K87" s="2536"/>
      <c r="L87" s="1174"/>
      <c r="M87" s="1174"/>
      <c r="N87" s="1175"/>
      <c r="O87" s="1175"/>
      <c r="P87" s="1175"/>
      <c r="Q87" s="1175"/>
      <c r="R87" s="1175"/>
      <c r="S87" s="1175"/>
      <c r="T87" s="1175"/>
      <c r="U87" s="1175"/>
      <c r="V87" s="1175"/>
      <c r="W87" s="1175"/>
      <c r="X87" s="1175"/>
      <c r="Y87" s="1175"/>
      <c r="Z87" s="1175"/>
      <c r="AA87" s="1175"/>
      <c r="AB87" s="1175"/>
      <c r="AC87" s="1175"/>
      <c r="AD87" s="1175"/>
      <c r="AE87" s="1175"/>
      <c r="AF87" s="1175"/>
      <c r="AG87" s="1174"/>
      <c r="AH87" s="1174"/>
      <c r="AI87" s="1175"/>
      <c r="AJ87" s="1174"/>
      <c r="AK87" s="1175"/>
      <c r="AL87" s="1989"/>
      <c r="AM87" s="1824"/>
      <c r="AN87" s="1824"/>
      <c r="AO87" s="1824"/>
      <c r="AP87" s="1824"/>
      <c r="AQ87" s="1824"/>
      <c r="AR87" s="1824"/>
      <c r="AS87" s="1824"/>
      <c r="AT87" s="1824"/>
      <c r="AU87" s="1824"/>
      <c r="AV87" s="1824"/>
      <c r="AW87" s="1824"/>
      <c r="AX87" s="1824"/>
      <c r="AY87" s="1824"/>
      <c r="AZ87" s="1824"/>
      <c r="BA87" s="1824"/>
      <c r="BB87" s="1824"/>
      <c r="BC87" s="1824"/>
      <c r="BD87" s="1824"/>
      <c r="BE87" s="1824"/>
      <c r="BF87" s="1824"/>
    </row>
    <row r="89" s="1816" customFormat="1" customHeight="1" ht="11.25">
      <c r="A89" s="1816" t="s">
        <v>1940</v>
      </c>
    </row>
    <row r="91" s="1636" customFormat="1" customHeight="1" ht="11.25">
      <c r="A91" s="1167"/>
      <c r="B91" s="1167"/>
      <c r="C91" s="1167"/>
      <c r="D91" s="1161"/>
      <c r="E91" s="1171"/>
      <c r="F91" s="1830"/>
      <c r="G91" s="1831"/>
      <c r="H91" s="1831"/>
      <c r="I91" s="1765"/>
      <c r="J91" s="1765"/>
      <c r="K91" s="1832"/>
      <c r="L91" s="1765"/>
      <c r="M91" s="1831"/>
      <c r="N91" s="2509"/>
      <c r="O91" s="2592">
        <v>1</v>
      </c>
      <c r="P91" s="2511" t="s">
        <v>19</v>
      </c>
      <c r="Q91" s="2514" t="s">
        <v>28</v>
      </c>
      <c r="R91" s="2514" t="s">
        <v>28</v>
      </c>
      <c r="S91" s="2514" t="s">
        <v>28</v>
      </c>
      <c r="T91" s="2514" t="s">
        <v>28</v>
      </c>
      <c r="U91" s="2514" t="s">
        <v>28</v>
      </c>
      <c r="V91" s="2514" t="s">
        <v>28</v>
      </c>
      <c r="W91" s="2514" t="s">
        <v>28</v>
      </c>
      <c r="X91" s="2514" t="s">
        <v>28</v>
      </c>
      <c r="Y91" s="2514"/>
      <c r="Z91" s="1176"/>
      <c r="AA91" s="1177"/>
      <c r="AB91" s="1177"/>
      <c r="AC91" s="1181"/>
      <c r="AD91" s="1181"/>
      <c r="AE91" s="1181"/>
      <c r="AF91" s="1833"/>
      <c r="AG91" s="1760"/>
      <c r="AH91" s="1760"/>
      <c r="AI91" s="1833"/>
      <c r="AJ91" s="1760"/>
      <c r="AK91" s="1988"/>
      <c r="AL91" s="1989"/>
      <c r="AM91" s="1824"/>
      <c r="AN91" s="1824"/>
      <c r="AO91" s="1824"/>
      <c r="AP91" s="1824"/>
      <c r="AQ91" s="1824"/>
      <c r="AR91" s="1824"/>
      <c r="AS91" s="1824"/>
      <c r="AT91" s="1824"/>
      <c r="AU91" s="1824"/>
      <c r="AV91" s="1824"/>
      <c r="AW91" s="1824"/>
      <c r="AX91" s="1824"/>
      <c r="AY91" s="1824"/>
      <c r="AZ91" s="1824"/>
      <c r="BA91" s="1824"/>
      <c r="BB91" s="1824"/>
      <c r="BC91" s="1824"/>
      <c r="BD91" s="1824"/>
      <c r="BE91" s="1824"/>
      <c r="BF91" s="1824"/>
    </row>
    <row s="1636" customFormat="1" customHeight="1" ht="11.25">
      <c r="A92" s="1167"/>
      <c r="B92" s="1167"/>
      <c r="C92" s="1167"/>
      <c r="D92" s="1161"/>
      <c r="E92" s="1171"/>
      <c r="F92" s="1830"/>
      <c r="G92" s="1831"/>
      <c r="H92" s="1831"/>
      <c r="I92" s="1766"/>
      <c r="J92" s="1766"/>
      <c r="K92" s="1832"/>
      <c r="L92" s="1766"/>
      <c r="M92" s="1831"/>
      <c r="N92" s="2509"/>
      <c r="O92" s="2592"/>
      <c r="P92" s="2512"/>
      <c r="Q92" s="2514"/>
      <c r="R92" s="2514"/>
      <c r="S92" s="2515"/>
      <c r="T92" s="2514"/>
      <c r="U92" s="2514"/>
      <c r="V92" s="2514"/>
      <c r="W92" s="2514"/>
      <c r="X92" s="2514"/>
      <c r="Y92" s="2514"/>
      <c r="Z92" s="1829"/>
      <c r="AA92" s="1795">
        <v>1</v>
      </c>
      <c r="AB92" s="1180"/>
      <c r="AC92" s="1170"/>
      <c r="AD92" s="1180">
        <f>AB92</f>
        <v>0</v>
      </c>
      <c r="AE92" s="725"/>
      <c r="AF92" s="1832"/>
      <c r="AG92" s="1760"/>
      <c r="AH92" s="1760"/>
      <c r="AI92" s="1832"/>
      <c r="AJ92" s="1760"/>
      <c r="AK92" s="1988"/>
      <c r="AL92" s="1989"/>
      <c r="AM92" s="1824"/>
      <c r="AN92" s="1824"/>
      <c r="AO92" s="1824"/>
      <c r="AP92" s="1824"/>
      <c r="AQ92" s="1824"/>
      <c r="AR92" s="1824"/>
      <c r="AS92" s="1824"/>
      <c r="AT92" s="1824"/>
      <c r="AU92" s="1824"/>
      <c r="AV92" s="1824"/>
      <c r="AW92" s="1824"/>
      <c r="AX92" s="1824"/>
      <c r="AY92" s="1824"/>
      <c r="AZ92" s="1824"/>
      <c r="BA92" s="1824"/>
      <c r="BB92" s="1824"/>
      <c r="BC92" s="1824"/>
      <c r="BD92" s="1824"/>
      <c r="BE92" s="1824"/>
      <c r="BF92" s="1824"/>
    </row>
    <row s="1636" customFormat="1" customHeight="1" ht="11.25">
      <c r="A93" s="1167"/>
      <c r="B93" s="1167"/>
      <c r="C93" s="1167"/>
      <c r="D93" s="1161"/>
      <c r="E93" s="1171"/>
      <c r="F93" s="1830"/>
      <c r="G93" s="1831"/>
      <c r="H93" s="1831"/>
      <c r="I93" s="1767"/>
      <c r="J93" s="1767"/>
      <c r="K93" s="1832"/>
      <c r="L93" s="1767"/>
      <c r="M93" s="1831"/>
      <c r="N93" s="2509"/>
      <c r="O93" s="2592"/>
      <c r="P93" s="2513"/>
      <c r="Q93" s="2514"/>
      <c r="R93" s="2514"/>
      <c r="S93" s="2515"/>
      <c r="T93" s="2514"/>
      <c r="U93" s="2514"/>
      <c r="V93" s="2514"/>
      <c r="W93" s="2514"/>
      <c r="X93" s="2514"/>
      <c r="Y93" s="2514"/>
      <c r="Z93" s="1176"/>
      <c r="AA93" s="1177"/>
      <c r="AB93" s="1242" t="s">
        <v>1941</v>
      </c>
      <c r="AC93" s="1181"/>
      <c r="AD93" s="1181"/>
      <c r="AE93" s="1181"/>
      <c r="AF93" s="1834"/>
      <c r="AG93" s="1760"/>
      <c r="AH93" s="1760"/>
      <c r="AI93" s="1834"/>
      <c r="AJ93" s="1760"/>
      <c r="AK93" s="1988"/>
      <c r="AL93" s="1989"/>
      <c r="AM93" s="1824"/>
      <c r="AN93" s="1824"/>
      <c r="AO93" s="1824"/>
      <c r="AP93" s="1824"/>
      <c r="AQ93" s="1824"/>
      <c r="AR93" s="1824"/>
      <c r="AS93" s="1824"/>
      <c r="AT93" s="1824"/>
      <c r="AU93" s="1824"/>
      <c r="AV93" s="1824"/>
      <c r="AW93" s="1824"/>
      <c r="AX93" s="1824"/>
      <c r="AY93" s="1824"/>
      <c r="AZ93" s="1824"/>
      <c r="BA93" s="1824"/>
      <c r="BB93" s="1824"/>
      <c r="BC93" s="1824"/>
      <c r="BD93" s="1824"/>
      <c r="BE93" s="1824"/>
      <c r="BF93" s="1824"/>
    </row>
    <row r="95" s="1816" customFormat="1" customHeight="1" ht="11.25">
      <c r="A95" s="1816" t="s">
        <v>1942</v>
      </c>
    </row>
    <row r="97" s="1636" customFormat="1" customHeight="1" ht="11.25">
      <c r="A97" s="1167"/>
      <c r="B97" s="1167"/>
      <c r="C97" s="1167"/>
      <c r="D97" s="1161"/>
      <c r="E97" s="1171"/>
      <c r="F97" s="1831"/>
      <c r="G97" s="1831"/>
      <c r="H97" s="1831"/>
      <c r="I97" s="1831"/>
      <c r="J97" s="1831"/>
      <c r="K97" s="1831"/>
      <c r="L97" s="1831"/>
      <c r="M97" s="1831"/>
      <c r="N97" s="1831"/>
      <c r="O97" s="1831"/>
      <c r="P97" s="1831"/>
      <c r="Q97" s="1831"/>
      <c r="R97" s="1831"/>
      <c r="S97" s="1831"/>
      <c r="T97" s="1831"/>
      <c r="U97" s="1831"/>
      <c r="V97" s="1831"/>
      <c r="W97" s="1831"/>
      <c r="X97" s="1831"/>
      <c r="Y97" s="1831"/>
      <c r="Z97" s="1835"/>
      <c r="AA97" s="1815">
        <v>1</v>
      </c>
      <c r="AB97" s="1180"/>
      <c r="AC97" s="1170"/>
      <c r="AD97" s="1180">
        <f>AB97</f>
        <v>0</v>
      </c>
      <c r="AE97" s="1170"/>
      <c r="AF97" s="1832"/>
      <c r="AG97" s="1760"/>
      <c r="AH97" s="1760"/>
      <c r="AI97" s="1832"/>
      <c r="AJ97" s="1760"/>
      <c r="AK97" s="1988"/>
      <c r="AL97" s="1989"/>
      <c r="AM97" s="1824"/>
      <c r="AN97" s="1824"/>
      <c r="AO97" s="1824"/>
      <c r="AP97" s="1824"/>
      <c r="AQ97" s="1824"/>
      <c r="AR97" s="1824"/>
      <c r="AS97" s="1824"/>
      <c r="AT97" s="1824"/>
      <c r="AU97" s="1824"/>
      <c r="AV97" s="1824"/>
      <c r="AW97" s="1824"/>
      <c r="AX97" s="1824"/>
      <c r="AY97" s="1824"/>
      <c r="AZ97" s="1824"/>
      <c r="BA97" s="1824"/>
      <c r="BB97" s="1824"/>
      <c r="BC97" s="1824"/>
      <c r="BD97" s="1824"/>
      <c r="BE97" s="1824"/>
      <c r="BF97" s="1824"/>
    </row>
    <row r="99" s="1816" customFormat="1" customHeight="1" ht="11.25">
      <c r="A99" s="1816" t="s">
        <v>1943</v>
      </c>
    </row>
    <row r="101" s="1636" customFormat="1" customHeight="1" ht="11.25">
      <c r="A101" s="1167"/>
      <c r="B101" s="1167"/>
      <c r="C101" s="1167"/>
      <c r="D101" s="1161"/>
      <c r="E101" s="1171"/>
      <c r="F101" s="1830"/>
      <c r="G101" s="1831"/>
      <c r="H101" s="2516" t="s">
        <v>112</v>
      </c>
      <c r="I101" s="2517"/>
      <c r="J101" s="2486"/>
      <c r="K101" s="2518"/>
      <c r="L101" s="2108" t="s">
        <v>19</v>
      </c>
      <c r="M101" s="2109"/>
      <c r="N101" s="1987"/>
      <c r="O101" s="1178" t="s">
        <v>388</v>
      </c>
      <c r="P101" s="1179"/>
      <c r="Q101" s="1179"/>
      <c r="R101" s="1179"/>
      <c r="S101" s="1179"/>
      <c r="T101" s="1179"/>
      <c r="U101" s="1179"/>
      <c r="V101" s="1179"/>
      <c r="W101" s="1179"/>
      <c r="X101" s="1179"/>
      <c r="Y101" s="1179"/>
      <c r="Z101" s="1179"/>
      <c r="AA101" s="1179"/>
      <c r="AB101" s="1179"/>
      <c r="AC101" s="1179"/>
      <c r="AD101" s="1179"/>
      <c r="AE101" s="1179"/>
      <c r="AF101" s="2507"/>
      <c r="AG101" s="2508"/>
      <c r="AH101" s="2508"/>
      <c r="AI101" s="2507"/>
      <c r="AJ101" s="2508"/>
      <c r="AK101" s="2508"/>
      <c r="AL101" s="1989"/>
      <c r="AM101" s="1824"/>
      <c r="AN101" s="1824"/>
      <c r="AO101" s="1824"/>
      <c r="AP101" s="1824"/>
      <c r="AQ101" s="1824"/>
      <c r="AR101" s="1824"/>
      <c r="AS101" s="1824"/>
      <c r="AT101" s="1824"/>
      <c r="AU101" s="1824"/>
      <c r="AV101" s="1824"/>
      <c r="AW101" s="1824"/>
      <c r="AX101" s="1824"/>
      <c r="AY101" s="1824"/>
      <c r="AZ101" s="1824"/>
      <c r="BA101" s="1824"/>
      <c r="BB101" s="1824"/>
      <c r="BC101" s="1824"/>
      <c r="BD101" s="1824"/>
      <c r="BE101" s="1824"/>
      <c r="BF101" s="1824"/>
    </row>
    <row s="1636" customFormat="1" customHeight="1" ht="11.25">
      <c r="A102" s="1167"/>
      <c r="B102" s="1167"/>
      <c r="C102" s="1167"/>
      <c r="D102" s="1161"/>
      <c r="E102" s="1171"/>
      <c r="F102" s="1830"/>
      <c r="G102" s="1831"/>
      <c r="H102" s="2516"/>
      <c r="I102" s="2517"/>
      <c r="J102" s="2486"/>
      <c r="K102" s="2518"/>
      <c r="L102" s="2108"/>
      <c r="M102" s="2109"/>
      <c r="N102" s="2509"/>
      <c r="O102" s="2510">
        <v>1</v>
      </c>
      <c r="P102" s="2511" t="s">
        <v>19</v>
      </c>
      <c r="Q102" s="2514" t="s">
        <v>28</v>
      </c>
      <c r="R102" s="2514" t="s">
        <v>28</v>
      </c>
      <c r="S102" s="2514" t="s">
        <v>28</v>
      </c>
      <c r="T102" s="2514" t="s">
        <v>28</v>
      </c>
      <c r="U102" s="2514" t="s">
        <v>28</v>
      </c>
      <c r="V102" s="2514" t="s">
        <v>28</v>
      </c>
      <c r="W102" s="2514" t="s">
        <v>28</v>
      </c>
      <c r="X102" s="2514" t="s">
        <v>28</v>
      </c>
      <c r="Y102" s="2514"/>
      <c r="Z102" s="1176"/>
      <c r="AA102" s="1177"/>
      <c r="AB102" s="1177"/>
      <c r="AC102" s="1181"/>
      <c r="AD102" s="1181"/>
      <c r="AE102" s="1182"/>
      <c r="AF102" s="2507"/>
      <c r="AG102" s="2508"/>
      <c r="AH102" s="2508"/>
      <c r="AI102" s="2507"/>
      <c r="AJ102" s="2508"/>
      <c r="AK102" s="2508"/>
      <c r="AL102" s="1989"/>
      <c r="AM102" s="1824"/>
      <c r="AN102" s="1824"/>
      <c r="AO102" s="1824"/>
      <c r="AP102" s="1824"/>
      <c r="AQ102" s="1824"/>
      <c r="AR102" s="1824"/>
      <c r="AS102" s="1824"/>
      <c r="AT102" s="1824"/>
      <c r="AU102" s="1824"/>
      <c r="AV102" s="1824"/>
      <c r="AW102" s="1824"/>
      <c r="AX102" s="1824"/>
      <c r="AY102" s="1824"/>
      <c r="AZ102" s="1824"/>
      <c r="BA102" s="1824"/>
      <c r="BB102" s="1824"/>
      <c r="BC102" s="1824"/>
      <c r="BD102" s="1824"/>
      <c r="BE102" s="1824"/>
      <c r="BF102" s="1824"/>
    </row>
    <row s="1636" customFormat="1" customHeight="1" ht="11.25">
      <c r="A103" s="1167"/>
      <c r="B103" s="1167"/>
      <c r="C103" s="1167"/>
      <c r="D103" s="1161"/>
      <c r="E103" s="1171"/>
      <c r="F103" s="1830"/>
      <c r="G103" s="1831"/>
      <c r="H103" s="2516"/>
      <c r="I103" s="2517"/>
      <c r="J103" s="2486"/>
      <c r="K103" s="2518"/>
      <c r="L103" s="2108"/>
      <c r="M103" s="2109"/>
      <c r="N103" s="2509"/>
      <c r="O103" s="2510"/>
      <c r="P103" s="2512"/>
      <c r="Q103" s="2514"/>
      <c r="R103" s="2514"/>
      <c r="S103" s="2515"/>
      <c r="T103" s="2514"/>
      <c r="U103" s="2514"/>
      <c r="V103" s="2514"/>
      <c r="W103" s="2514"/>
      <c r="X103" s="2514"/>
      <c r="Y103" s="2514"/>
      <c r="Z103" s="1829"/>
      <c r="AA103" s="1795">
        <v>1</v>
      </c>
      <c r="AB103" s="1180"/>
      <c r="AC103" s="1170"/>
      <c r="AD103" s="1180">
        <f>AB103</f>
        <v>0</v>
      </c>
      <c r="AE103" s="1170"/>
      <c r="AF103" s="2507"/>
      <c r="AG103" s="2508"/>
      <c r="AH103" s="2508"/>
      <c r="AI103" s="2507"/>
      <c r="AJ103" s="2508"/>
      <c r="AK103" s="2508"/>
      <c r="AL103" s="1989"/>
      <c r="AM103" s="1824"/>
      <c r="AN103" s="1824"/>
      <c r="AO103" s="1824"/>
      <c r="AP103" s="1824"/>
      <c r="AQ103" s="1824"/>
      <c r="AR103" s="1824"/>
      <c r="AS103" s="1824"/>
      <c r="AT103" s="1824"/>
      <c r="AU103" s="1824"/>
      <c r="AV103" s="1824"/>
      <c r="AW103" s="1824"/>
      <c r="AX103" s="1824"/>
      <c r="AY103" s="1824"/>
      <c r="AZ103" s="1824"/>
      <c r="BA103" s="1824"/>
      <c r="BB103" s="1824"/>
      <c r="BC103" s="1824"/>
      <c r="BD103" s="1824"/>
      <c r="BE103" s="1824"/>
      <c r="BF103" s="1824"/>
    </row>
    <row s="1636" customFormat="1" customHeight="1" ht="11.25">
      <c r="A104" s="1167"/>
      <c r="B104" s="1167"/>
      <c r="C104" s="1167"/>
      <c r="D104" s="1161"/>
      <c r="E104" s="1171"/>
      <c r="F104" s="1830"/>
      <c r="G104" s="1831"/>
      <c r="H104" s="2516"/>
      <c r="I104" s="2517"/>
      <c r="J104" s="2486"/>
      <c r="K104" s="2518"/>
      <c r="L104" s="2108"/>
      <c r="M104" s="2109"/>
      <c r="N104" s="2509"/>
      <c r="O104" s="2510"/>
      <c r="P104" s="2513"/>
      <c r="Q104" s="2514"/>
      <c r="R104" s="2514"/>
      <c r="S104" s="2515"/>
      <c r="T104" s="2514"/>
      <c r="U104" s="2514"/>
      <c r="V104" s="2514"/>
      <c r="W104" s="2514"/>
      <c r="X104" s="2514"/>
      <c r="Y104" s="2514"/>
      <c r="Z104" s="1176"/>
      <c r="AA104" s="1177"/>
      <c r="AB104" s="1242" t="s">
        <v>1941</v>
      </c>
      <c r="AC104" s="1181"/>
      <c r="AD104" s="1181"/>
      <c r="AE104" s="1183"/>
      <c r="AF104" s="2507"/>
      <c r="AG104" s="2508"/>
      <c r="AH104" s="2508"/>
      <c r="AI104" s="2507"/>
      <c r="AJ104" s="2508"/>
      <c r="AK104" s="2508"/>
      <c r="AL104" s="1989"/>
      <c r="AM104" s="1824"/>
      <c r="AN104" s="1824"/>
      <c r="AO104" s="1824"/>
      <c r="AP104" s="1824"/>
      <c r="AQ104" s="1824"/>
      <c r="AR104" s="1824"/>
      <c r="AS104" s="1824"/>
      <c r="AT104" s="1824"/>
      <c r="AU104" s="1824"/>
      <c r="AV104" s="1824"/>
      <c r="AW104" s="1824"/>
      <c r="AX104" s="1824"/>
      <c r="AY104" s="1824"/>
      <c r="AZ104" s="1824"/>
      <c r="BA104" s="1824"/>
      <c r="BB104" s="1824"/>
      <c r="BC104" s="1824"/>
      <c r="BD104" s="1824"/>
      <c r="BE104" s="1824"/>
      <c r="BF104" s="1824"/>
    </row>
    <row s="1636" customFormat="1" customHeight="1" ht="11.25">
      <c r="A105" s="1167"/>
      <c r="B105" s="1167"/>
      <c r="C105" s="1167"/>
      <c r="D105" s="1161"/>
      <c r="E105" s="1171"/>
      <c r="F105" s="1830"/>
      <c r="G105" s="1831"/>
      <c r="H105" s="2516"/>
      <c r="I105" s="2517"/>
      <c r="J105" s="2486"/>
      <c r="K105" s="2518"/>
      <c r="L105" s="2108"/>
      <c r="M105" s="2109"/>
      <c r="N105" s="1176"/>
      <c r="O105" s="1177"/>
      <c r="P105" s="1169" t="s">
        <v>1944</v>
      </c>
      <c r="Q105" s="1177"/>
      <c r="R105" s="1177"/>
      <c r="S105" s="1177"/>
      <c r="T105" s="1177"/>
      <c r="U105" s="1177"/>
      <c r="V105" s="1177"/>
      <c r="W105" s="1177"/>
      <c r="X105" s="1177"/>
      <c r="Y105" s="1177"/>
      <c r="Z105" s="1177"/>
      <c r="AA105" s="1177"/>
      <c r="AB105" s="1177"/>
      <c r="AC105" s="1177"/>
      <c r="AD105" s="1177"/>
      <c r="AE105" s="1184"/>
      <c r="AF105" s="2507"/>
      <c r="AG105" s="2508"/>
      <c r="AH105" s="2508"/>
      <c r="AI105" s="2507"/>
      <c r="AJ105" s="2508"/>
      <c r="AK105" s="2508"/>
      <c r="AL105" s="1989"/>
      <c r="AM105" s="1824"/>
      <c r="AN105" s="1824"/>
      <c r="AO105" s="1824"/>
      <c r="AP105" s="1824"/>
      <c r="AQ105" s="1824"/>
      <c r="AR105" s="1824"/>
      <c r="AS105" s="1824"/>
      <c r="AT105" s="1824"/>
      <c r="AU105" s="1824"/>
      <c r="AV105" s="1824"/>
      <c r="AW105" s="1824"/>
      <c r="AX105" s="1824"/>
      <c r="AY105" s="1824"/>
      <c r="AZ105" s="1824"/>
      <c r="BA105" s="1824"/>
      <c r="BB105" s="1824"/>
      <c r="BC105" s="1824"/>
      <c r="BD105" s="1824"/>
      <c r="BE105" s="1824"/>
      <c r="BF105" s="1824"/>
    </row>
    <row r="107" s="1816" customFormat="1" customHeight="1" ht="11.25">
      <c r="A107" s="1816" t="s">
        <v>1945</v>
      </c>
    </row>
    <row customHeight="1" ht="17.25"/>
    <row s="926" customFormat="1" customHeight="1" ht="21">
      <c r="A109" s="1168"/>
      <c r="B109" s="941"/>
      <c r="D109" s="925"/>
      <c r="E109" s="940" t="s">
        <v>28</v>
      </c>
      <c r="F109" s="1122">
        <f>INDEX(IP_MAIN_LIST_NAME_IP,MATCH(A109,IP_MAIN_LIST_IP_ID,0))&amp;" ("&amp;INDEX(IP_MAIN_START_DATE,MATCH(A109,IP_MAIN_LIST_IP_ID,0))&amp;"-"&amp;INDEX(IP_MAIN_END_DATE,MATCH(A109,IP_MAIN_LIST_IP_ID,0))&amp;")"</f>
      </c>
      <c r="G109" s="1204"/>
      <c r="H109" s="1205"/>
      <c r="I109" s="1205"/>
      <c r="J109" s="1205"/>
      <c r="K109" s="1205"/>
      <c r="L109" s="1205"/>
      <c r="M109" s="1205"/>
      <c r="N109" s="1205"/>
      <c r="O109" s="1204"/>
      <c r="P109" s="1204"/>
      <c r="Q109" s="1204"/>
      <c r="R109" s="1204"/>
      <c r="S109" s="1204"/>
      <c r="T109" s="1204"/>
      <c r="U109" s="1206"/>
      <c r="V109" s="1206"/>
      <c r="W109" s="1206"/>
      <c r="X109" s="1206"/>
      <c r="Y109" s="1206"/>
      <c r="Z109" s="1206"/>
      <c r="AA109" s="1206"/>
      <c r="AB109" s="1204"/>
      <c r="AC109" s="1205"/>
      <c r="AD109" s="1205"/>
      <c r="AE109" s="1205"/>
      <c r="AF109" s="1205"/>
      <c r="AG109" s="1205"/>
      <c r="AH109" s="1205"/>
      <c r="AI109" s="1205"/>
      <c r="AJ109" s="1205"/>
      <c r="AK109" s="1205"/>
      <c r="AL109" s="1205"/>
      <c r="AM109" s="1205"/>
      <c r="AN109" s="1205"/>
      <c r="AO109" s="1205"/>
      <c r="AP109" s="1205"/>
      <c r="AQ109" s="1205"/>
      <c r="AR109" s="1205"/>
      <c r="AS109" s="1205"/>
      <c r="AT109" s="1205"/>
      <c r="AU109" s="1205"/>
      <c r="AV109" s="1205"/>
      <c r="AW109" s="1205"/>
      <c r="AX109" s="1205"/>
      <c r="AY109" s="1205"/>
      <c r="AZ109" s="1205"/>
      <c r="BA109" s="1205"/>
      <c r="BB109" s="1205"/>
      <c r="BC109" s="1205"/>
      <c r="BD109" s="1205"/>
      <c r="BE109" s="1205"/>
      <c r="BF109" s="1205"/>
      <c r="BG109" s="1205"/>
      <c r="BH109" s="1205"/>
      <c r="BI109" s="1205"/>
      <c r="BJ109" s="1205"/>
      <c r="BK109" s="1205"/>
      <c r="BL109" s="1205"/>
      <c r="BM109" s="1205"/>
      <c r="BN109" s="1205"/>
      <c r="BO109" s="1205"/>
      <c r="BP109" s="1205"/>
      <c r="BQ109" s="1205"/>
      <c r="BR109" s="1205"/>
      <c r="BS109" s="1205"/>
      <c r="BT109" s="1205"/>
      <c r="BU109" s="1205"/>
      <c r="BV109" s="1205"/>
      <c r="BW109" s="1205"/>
      <c r="BX109" s="1205"/>
      <c r="BY109" s="1205"/>
      <c r="BZ109" s="1205"/>
      <c r="CA109" s="1205"/>
      <c r="CB109" s="1205"/>
      <c r="CC109" s="1205"/>
      <c r="CD109" s="1205"/>
      <c r="CE109" s="1205"/>
      <c r="CF109" s="1205"/>
      <c r="CG109" s="1205"/>
      <c r="CH109" s="1205"/>
      <c r="CI109" s="1205"/>
      <c r="CJ109" s="1205"/>
      <c r="CK109" s="1205"/>
      <c r="CL109" s="1207"/>
      <c r="CM109" s="1207"/>
      <c r="CN109" s="1207"/>
      <c r="CO109" s="1207"/>
      <c r="CP109" s="1207"/>
      <c r="CQ109" s="1207"/>
      <c r="CR109" s="1207"/>
      <c r="CS109" s="1207"/>
      <c r="CT109" s="1207"/>
      <c r="CU109" s="1207"/>
      <c r="CV109" s="1207"/>
      <c r="CW109" s="1207"/>
      <c r="CX109" s="1207"/>
      <c r="CY109" s="1207"/>
      <c r="CZ109" s="1207"/>
      <c r="DA109" s="1207"/>
      <c r="DB109" s="1207"/>
      <c r="DC109" s="1207"/>
      <c r="DD109" s="1207"/>
      <c r="DE109" s="1207"/>
      <c r="DF109" s="1207"/>
      <c r="DG109" s="1207"/>
      <c r="DH109" s="1207"/>
      <c r="DI109" s="1207"/>
      <c r="DJ109" s="1207"/>
      <c r="DK109" s="1207"/>
      <c r="DL109" s="1207"/>
      <c r="DM109" s="1207"/>
      <c r="DN109" s="1207"/>
      <c r="DO109" s="1207"/>
      <c r="DP109" s="1207"/>
      <c r="DQ109" s="1207"/>
      <c r="DR109" s="1207"/>
      <c r="DS109" s="1207"/>
      <c r="DT109" s="1207"/>
      <c r="DU109" s="1207"/>
      <c r="DV109" s="1207"/>
      <c r="DW109" s="1207"/>
      <c r="DX109" s="1207"/>
      <c r="DY109" s="1207"/>
      <c r="DZ109" s="1207"/>
      <c r="EA109" s="1207"/>
      <c r="EB109" s="1207"/>
      <c r="EC109" s="1207"/>
      <c r="ED109" s="1207"/>
      <c r="EE109" s="1207"/>
      <c r="EF109" s="1207"/>
      <c r="EG109" s="1207"/>
      <c r="EH109" s="1207"/>
      <c r="EI109" s="1207"/>
      <c r="EJ109" s="1207"/>
      <c r="EK109" s="1207"/>
      <c r="EL109" s="1207"/>
      <c r="EM109" s="1207"/>
      <c r="EN109" s="1207"/>
      <c r="EO109" s="1207"/>
      <c r="EP109" s="1207"/>
      <c r="EQ109" s="1207"/>
      <c r="ER109" s="1207"/>
      <c r="ES109" s="1207"/>
      <c r="ET109" s="1207"/>
      <c r="EU109" s="1207"/>
      <c r="EV109" s="1207"/>
      <c r="EW109" s="1207"/>
      <c r="EX109" s="1207"/>
      <c r="EY109" s="1207"/>
      <c r="EZ109" s="1207"/>
      <c r="FA109" s="1207"/>
      <c r="FB109" s="1207"/>
      <c r="FC109" s="1207"/>
      <c r="FD109" s="1207"/>
      <c r="FE109" s="1207"/>
      <c r="FF109" s="1207"/>
      <c r="FG109" s="1207"/>
      <c r="FH109" s="1207"/>
      <c r="FI109" s="1207"/>
      <c r="FJ109" s="1207"/>
      <c r="FK109" s="1207"/>
      <c r="FL109" s="1207"/>
      <c r="FM109" s="1207"/>
      <c r="FN109" s="1207"/>
      <c r="FO109" s="1207"/>
      <c r="FP109" s="1207"/>
      <c r="FQ109" s="1207"/>
      <c r="FR109" s="1207"/>
      <c r="FS109" s="1207"/>
      <c r="FT109" s="1207"/>
      <c r="FU109" s="1207"/>
      <c r="FV109" s="1208"/>
      <c r="FW109" s="1202"/>
      <c r="FX109" s="1203"/>
    </row>
    <row s="926" customFormat="1" customHeight="1" ht="24.75">
      <c r="B110" s="924"/>
      <c r="C110" s="925"/>
      <c r="D110" s="925"/>
      <c r="E110" s="1836"/>
      <c r="F110" s="1209">
        <v>1</v>
      </c>
      <c r="G110" s="1210"/>
      <c r="H110" s="1211"/>
      <c r="I110" s="1983"/>
      <c r="J110" s="1212"/>
      <c r="K110" s="1212"/>
      <c r="L110" s="1212"/>
      <c r="M110" s="1212"/>
      <c r="N110" s="1212"/>
      <c r="O110" s="1213"/>
      <c r="P110" s="1213"/>
      <c r="Q110" s="1213"/>
      <c r="R110" s="1213"/>
      <c r="S110" s="1213"/>
      <c r="T110" s="1213"/>
      <c r="U110" s="1213"/>
      <c r="V110" s="1213"/>
      <c r="W110" s="1213"/>
      <c r="X110" s="1213"/>
      <c r="Y110" s="1213"/>
      <c r="Z110" s="1213"/>
      <c r="AA110" s="1213"/>
      <c r="AB110" s="1213"/>
      <c r="AC110" s="1212"/>
      <c r="AD110" s="1212"/>
      <c r="AE110" s="1212"/>
      <c r="AF110" s="1212"/>
      <c r="AG110" s="1212"/>
      <c r="AH110" s="1212"/>
      <c r="AI110" s="1212"/>
      <c r="AJ110" s="1212"/>
      <c r="AK110" s="1212"/>
      <c r="AL110" s="1212"/>
      <c r="AM110" s="1212"/>
      <c r="AN110" s="1212"/>
      <c r="AO110" s="1212"/>
      <c r="AP110" s="1212"/>
      <c r="AQ110" s="1212"/>
      <c r="AR110" s="1212"/>
      <c r="AS110" s="1212"/>
      <c r="AT110" s="1212"/>
      <c r="AU110" s="1212"/>
      <c r="AV110" s="1212"/>
      <c r="AW110" s="1212"/>
      <c r="AX110" s="1212"/>
      <c r="AY110" s="1212"/>
      <c r="AZ110" s="1212"/>
      <c r="BA110" s="1212"/>
      <c r="BB110" s="1212"/>
      <c r="BC110" s="1212"/>
      <c r="BD110" s="1212"/>
      <c r="BE110" s="1212"/>
      <c r="BF110" s="1212"/>
      <c r="BG110" s="1212"/>
      <c r="BH110" s="1212"/>
      <c r="BI110" s="1212"/>
      <c r="BJ110" s="1212"/>
      <c r="BK110" s="1212"/>
      <c r="BL110" s="1212"/>
      <c r="BM110" s="1212"/>
      <c r="BN110" s="1212"/>
      <c r="BO110" s="1212"/>
      <c r="BP110" s="1212"/>
      <c r="BQ110" s="1212"/>
      <c r="BR110" s="1212"/>
      <c r="BS110" s="1212"/>
      <c r="BT110" s="1213"/>
      <c r="BU110" s="1213"/>
      <c r="BV110" s="1213"/>
      <c r="BW110" s="1213"/>
      <c r="BX110" s="1213"/>
      <c r="BY110" s="1213"/>
      <c r="BZ110" s="1213"/>
      <c r="CA110" s="1213"/>
      <c r="CB110" s="1213"/>
      <c r="CC110" s="1213"/>
      <c r="CD110" s="1213"/>
      <c r="CE110" s="1213"/>
      <c r="CF110" s="1213"/>
      <c r="CG110" s="1213"/>
      <c r="CH110" s="1213"/>
      <c r="CI110" s="1213"/>
      <c r="CJ110" s="1213"/>
      <c r="CK110" s="1213"/>
      <c r="CL110" s="1212"/>
      <c r="CM110" s="1212"/>
      <c r="CN110" s="1212"/>
      <c r="CO110" s="1212"/>
      <c r="CP110" s="1212"/>
      <c r="CQ110" s="1212"/>
      <c r="CR110" s="1212"/>
      <c r="CS110" s="1212"/>
      <c r="CT110" s="1212"/>
      <c r="CU110" s="1212"/>
      <c r="CV110" s="1212"/>
      <c r="CW110" s="1212"/>
      <c r="CX110" s="1212"/>
      <c r="CY110" s="1213"/>
      <c r="CZ110" s="1213"/>
      <c r="DA110" s="1213"/>
      <c r="DB110" s="1213"/>
      <c r="DC110" s="1213"/>
      <c r="DD110" s="1213"/>
      <c r="DE110" s="1213"/>
      <c r="DF110" s="1213"/>
      <c r="DG110" s="1213"/>
      <c r="DH110" s="1213"/>
      <c r="DI110" s="1213"/>
      <c r="DJ110" s="1213"/>
      <c r="DK110" s="1212"/>
      <c r="DL110" s="1212"/>
      <c r="DM110" s="1212"/>
      <c r="DN110" s="1212"/>
      <c r="DO110" s="1212"/>
      <c r="DP110" s="1212"/>
      <c r="DQ110" s="1212"/>
      <c r="DR110" s="1212"/>
      <c r="DS110" s="1212"/>
      <c r="DT110" s="1212"/>
      <c r="DU110" s="1212"/>
      <c r="DV110" s="1212"/>
      <c r="DW110" s="1212"/>
      <c r="DX110" s="1212"/>
      <c r="DY110" s="1212"/>
      <c r="DZ110" s="1212"/>
      <c r="EA110" s="1212"/>
      <c r="EB110" s="1212"/>
      <c r="EC110" s="1212"/>
      <c r="ED110" s="1212"/>
      <c r="EE110" s="1212"/>
      <c r="EF110" s="1212"/>
      <c r="EG110" s="1212"/>
      <c r="EH110" s="1212"/>
      <c r="EI110" s="1212"/>
      <c r="EJ110" s="1212"/>
      <c r="EK110" s="1212"/>
      <c r="EL110" s="1212"/>
      <c r="EM110" s="1212"/>
      <c r="EN110" s="1212"/>
      <c r="EO110" s="1212"/>
      <c r="EP110" s="1212"/>
      <c r="EQ110" s="1212"/>
      <c r="ER110" s="1212"/>
      <c r="ES110" s="1212"/>
      <c r="ET110" s="1212"/>
      <c r="EU110" s="1212"/>
      <c r="EV110" s="1212"/>
      <c r="EW110" s="1212"/>
      <c r="EX110" s="1212"/>
      <c r="EY110" s="1212"/>
      <c r="EZ110" s="1212"/>
      <c r="FA110" s="1212"/>
      <c r="FB110" s="1212"/>
      <c r="FC110" s="1212"/>
      <c r="FD110" s="1212"/>
      <c r="FE110" s="1212"/>
      <c r="FF110" s="1212"/>
      <c r="FG110" s="1212"/>
      <c r="FH110" s="1212"/>
      <c r="FI110" s="1212"/>
      <c r="FJ110" s="1212"/>
      <c r="FK110" s="1212"/>
      <c r="FL110" s="1212"/>
      <c r="FM110" s="1212"/>
      <c r="FN110" s="1212"/>
      <c r="FO110" s="1212"/>
      <c r="FP110" s="1212"/>
      <c r="FQ110" s="1212"/>
      <c r="FR110" s="1212"/>
      <c r="FS110" s="1212"/>
      <c r="FT110" s="1212"/>
      <c r="FU110" s="1212"/>
      <c r="FV110" s="1212"/>
      <c r="FW110" s="1212"/>
      <c r="FX110" s="1203"/>
    </row>
    <row s="926" customFormat="1" customHeight="1" ht="12">
      <c r="A111" s="925"/>
      <c r="B111" s="924"/>
      <c r="C111" s="925"/>
      <c r="D111" s="925"/>
      <c r="E111" s="925"/>
      <c r="F111" s="1214"/>
      <c r="G111" s="1801" t="s">
        <v>1946</v>
      </c>
      <c r="H111" s="1215"/>
      <c r="I111" s="1215"/>
      <c r="J111" s="1215"/>
      <c r="K111" s="1215"/>
      <c r="L111" s="1215"/>
      <c r="M111" s="1215"/>
      <c r="N111" s="1215"/>
      <c r="O111" s="1215"/>
      <c r="P111" s="1215"/>
      <c r="Q111" s="1215"/>
      <c r="R111" s="1215"/>
      <c r="S111" s="1215"/>
      <c r="T111" s="1215"/>
      <c r="U111" s="1215"/>
      <c r="V111" s="1215"/>
      <c r="W111" s="1215"/>
      <c r="X111" s="1215"/>
      <c r="Y111" s="1215"/>
      <c r="Z111" s="1215"/>
      <c r="AA111" s="1215"/>
      <c r="AB111" s="1215"/>
      <c r="AC111" s="1215"/>
      <c r="AD111" s="1215"/>
      <c r="AE111" s="1215"/>
      <c r="AF111" s="1215"/>
      <c r="AG111" s="1215"/>
      <c r="AH111" s="1215"/>
      <c r="AI111" s="1215"/>
      <c r="AJ111" s="1215"/>
      <c r="AK111" s="1215"/>
      <c r="AL111" s="1215"/>
      <c r="AM111" s="1215"/>
      <c r="AN111" s="1215"/>
      <c r="AO111" s="1215"/>
      <c r="AP111" s="1215"/>
      <c r="AQ111" s="1215"/>
      <c r="AR111" s="1215"/>
      <c r="AS111" s="1215"/>
      <c r="AT111" s="1215"/>
      <c r="AU111" s="1215"/>
      <c r="AV111" s="1215"/>
      <c r="AW111" s="1215"/>
      <c r="AX111" s="1215"/>
      <c r="AY111" s="1215"/>
      <c r="AZ111" s="1215"/>
      <c r="BA111" s="1215"/>
      <c r="BB111" s="1215"/>
      <c r="BC111" s="1215"/>
      <c r="BD111" s="1215"/>
      <c r="BE111" s="1215"/>
      <c r="BF111" s="1215"/>
      <c r="BG111" s="1215"/>
      <c r="BH111" s="1215"/>
      <c r="BI111" s="1215"/>
      <c r="BJ111" s="1215"/>
      <c r="BK111" s="1215"/>
      <c r="BL111" s="1215"/>
      <c r="BM111" s="1215"/>
      <c r="BN111" s="1215"/>
      <c r="BO111" s="1215"/>
      <c r="BP111" s="1215"/>
      <c r="BQ111" s="1215"/>
      <c r="BR111" s="1215"/>
      <c r="BS111" s="1215"/>
      <c r="BT111" s="1215"/>
      <c r="BU111" s="1215"/>
      <c r="BV111" s="1215"/>
      <c r="BW111" s="1215"/>
      <c r="BX111" s="1215"/>
      <c r="BY111" s="1215"/>
      <c r="BZ111" s="1215"/>
      <c r="CA111" s="1215"/>
      <c r="CB111" s="1215"/>
      <c r="CC111" s="1215"/>
      <c r="CD111" s="1215"/>
      <c r="CE111" s="1215"/>
      <c r="CF111" s="1215"/>
      <c r="CG111" s="1215"/>
      <c r="CH111" s="1215"/>
      <c r="CI111" s="1215"/>
      <c r="CJ111" s="1215"/>
      <c r="CK111" s="1215"/>
      <c r="CL111" s="1215"/>
      <c r="CM111" s="1215"/>
      <c r="CN111" s="1215"/>
      <c r="CO111" s="1215"/>
      <c r="CP111" s="1215"/>
      <c r="CQ111" s="1215"/>
      <c r="CR111" s="1215"/>
      <c r="CS111" s="1215"/>
      <c r="CT111" s="1215"/>
      <c r="CU111" s="1215"/>
      <c r="CV111" s="1215"/>
      <c r="CW111" s="1215"/>
      <c r="CX111" s="1215"/>
      <c r="CY111" s="1215"/>
      <c r="CZ111" s="1215"/>
      <c r="DA111" s="1215"/>
      <c r="DB111" s="1215"/>
      <c r="DC111" s="1215"/>
      <c r="DD111" s="1215"/>
      <c r="DE111" s="1215"/>
      <c r="DF111" s="1215"/>
      <c r="DG111" s="1215"/>
      <c r="DH111" s="1215"/>
      <c r="DI111" s="1215"/>
      <c r="DJ111" s="1215"/>
      <c r="DK111" s="1215"/>
      <c r="DL111" s="1215"/>
      <c r="DM111" s="1215"/>
      <c r="DN111" s="1215"/>
      <c r="DO111" s="1215"/>
      <c r="DP111" s="1215"/>
      <c r="DQ111" s="1215"/>
      <c r="DR111" s="1215"/>
      <c r="DS111" s="1215"/>
      <c r="DT111" s="1215"/>
      <c r="DU111" s="1215"/>
      <c r="DV111" s="1215"/>
      <c r="DW111" s="1215"/>
      <c r="DX111" s="1215"/>
      <c r="DY111" s="1215"/>
      <c r="DZ111" s="1215"/>
      <c r="EA111" s="1215"/>
      <c r="EB111" s="1215"/>
      <c r="EC111" s="1215"/>
      <c r="ED111" s="1215"/>
      <c r="EE111" s="1215"/>
      <c r="EF111" s="1215"/>
      <c r="EG111" s="1215"/>
      <c r="EH111" s="1215"/>
      <c r="EI111" s="1215"/>
      <c r="EJ111" s="1215"/>
      <c r="EK111" s="1215"/>
      <c r="EL111" s="1215"/>
      <c r="EM111" s="1215"/>
      <c r="EN111" s="1215"/>
      <c r="EO111" s="1215"/>
      <c r="EP111" s="1215"/>
      <c r="EQ111" s="1215"/>
      <c r="ER111" s="1215"/>
      <c r="ES111" s="1215"/>
      <c r="ET111" s="1215"/>
      <c r="EU111" s="1215"/>
      <c r="EV111" s="1215"/>
      <c r="EW111" s="1215"/>
      <c r="EX111" s="1215"/>
      <c r="EY111" s="1215"/>
      <c r="EZ111" s="1215"/>
      <c r="FA111" s="1215"/>
      <c r="FB111" s="1215"/>
      <c r="FC111" s="1215"/>
      <c r="FD111" s="1215"/>
      <c r="FE111" s="1215"/>
      <c r="FF111" s="1215"/>
      <c r="FG111" s="1215"/>
      <c r="FH111" s="1215"/>
      <c r="FI111" s="1215"/>
      <c r="FJ111" s="1215"/>
      <c r="FK111" s="1215"/>
      <c r="FL111" s="1215"/>
      <c r="FM111" s="1215"/>
      <c r="FN111" s="1215"/>
      <c r="FO111" s="1215"/>
      <c r="FP111" s="1215"/>
      <c r="FQ111" s="1215"/>
      <c r="FR111" s="1215"/>
      <c r="FS111" s="1215"/>
      <c r="FT111" s="1215"/>
      <c r="FU111" s="1215"/>
      <c r="FV111" s="1215"/>
      <c r="FW111" s="1216"/>
      <c r="FX111" s="1217"/>
      <c r="FY111" s="942"/>
      <c r="FZ111" s="942"/>
      <c r="GA111" s="942"/>
      <c r="GB111" s="942"/>
    </row>
    <row r="113" s="1816" customFormat="1" customHeight="1" ht="11.25">
      <c r="A113" s="1816" t="s">
        <v>1947</v>
      </c>
    </row>
    <row r="115" s="1851" customFormat="1" customHeight="1" ht="15">
      <c r="A115" s="624"/>
      <c r="B115" s="625"/>
      <c r="C115" s="625"/>
      <c r="D115" s="2579" t="s">
        <v>112</v>
      </c>
      <c r="E115" s="2378" t="s">
        <v>108</v>
      </c>
      <c r="F115" s="2379"/>
      <c r="G115" s="2380"/>
      <c r="H115" s="2384" t="str">
        <f>IF(A115="","",INDEX(DIFFERENTIATION_UNMERGE_VD,MATCH(A115,DIFFERENTIATION_ID_DIFF,0)))</f>
        <v/>
      </c>
      <c r="I115" s="2384"/>
      <c r="J115" s="2384"/>
      <c r="K115" s="2384"/>
      <c r="L115" s="2384"/>
      <c r="M115" s="2384"/>
      <c r="N115" s="2384"/>
      <c r="O115" s="2384"/>
      <c r="P115" s="2384"/>
      <c r="Q115" s="2384"/>
      <c r="R115" s="2384"/>
      <c r="S115" s="720"/>
      <c r="T115" s="717"/>
      <c r="U115" s="626"/>
      <c r="V115" s="626"/>
      <c r="W115" s="627"/>
      <c r="X115" s="627"/>
      <c r="Y115" s="627"/>
      <c r="Z115" s="627"/>
      <c r="AA115" s="628"/>
      <c r="AB115" s="629"/>
      <c r="AC115" s="2376"/>
      <c r="AD115" s="630"/>
      <c r="AE115" s="631" t="s">
        <v>28</v>
      </c>
      <c r="AF115" s="631"/>
      <c r="AG115" s="632" t="s">
        <v>620</v>
      </c>
      <c r="AH115" s="633">
        <v>3</v>
      </c>
      <c r="AI115" s="626"/>
      <c r="AJ115" s="626"/>
      <c r="AK115" s="626"/>
      <c r="AL115" s="626"/>
      <c r="AM115" s="626"/>
      <c r="AN115" s="626"/>
      <c r="AO115" s="626"/>
      <c r="AP115" s="626"/>
      <c r="AQ115" s="626"/>
      <c r="AR115" s="626"/>
      <c r="AS115" s="626"/>
      <c r="AT115" s="626"/>
      <c r="AU115" s="626"/>
      <c r="AV115" s="626"/>
      <c r="AW115" s="626"/>
      <c r="AX115" s="626"/>
      <c r="AY115" s="626"/>
      <c r="AZ115" s="626"/>
      <c r="BA115" s="626"/>
      <c r="BB115" s="626"/>
      <c r="BC115" s="626"/>
      <c r="BD115" s="626"/>
      <c r="BE115" s="626"/>
      <c r="BF115" s="626"/>
      <c r="BG115" s="626"/>
      <c r="BH115" s="626"/>
      <c r="BI115" s="626"/>
      <c r="BJ115" s="626"/>
      <c r="BK115" s="626"/>
      <c r="BL115" s="626"/>
      <c r="BM115" s="626"/>
      <c r="BN115" s="626"/>
      <c r="BO115" s="626"/>
      <c r="BP115" s="626"/>
      <c r="BQ115" s="626"/>
      <c r="BR115" s="626"/>
      <c r="BS115" s="626"/>
      <c r="BT115" s="626"/>
      <c r="BU115" s="626"/>
      <c r="BV115" s="627"/>
      <c r="BW115" s="627"/>
      <c r="BX115" s="627"/>
      <c r="BY115" s="627"/>
      <c r="BZ115" s="627"/>
      <c r="CA115" s="627"/>
      <c r="CB115" s="627"/>
      <c r="CC115" s="627"/>
      <c r="CD115" s="627"/>
      <c r="CE115" s="627"/>
    </row>
    <row s="1851" customFormat="1" customHeight="1" ht="15">
      <c r="A116" s="624"/>
      <c r="B116" s="625"/>
      <c r="C116" s="625"/>
      <c r="D116" s="2580"/>
      <c r="E116" s="2378" t="s">
        <v>575</v>
      </c>
      <c r="F116" s="2379"/>
      <c r="G116" s="2380"/>
      <c r="H116" s="2384" t="str">
        <f>IF(A115="","",INDEX(DIFFERENTIATION_UNMERGE_AREA,MATCH(A115,DIFFERENTIATION_ID_DIFF,0)))</f>
        <v/>
      </c>
      <c r="I116" s="2384"/>
      <c r="J116" s="2384"/>
      <c r="K116" s="2384"/>
      <c r="L116" s="2384"/>
      <c r="M116" s="2384"/>
      <c r="N116" s="2384"/>
      <c r="O116" s="2384"/>
      <c r="P116" s="2384"/>
      <c r="Q116" s="2384"/>
      <c r="R116" s="2384"/>
      <c r="S116" s="720"/>
      <c r="T116" s="717"/>
      <c r="U116" s="626"/>
      <c r="V116" s="626"/>
      <c r="W116" s="627"/>
      <c r="X116" s="627"/>
      <c r="Y116" s="627"/>
      <c r="Z116" s="627"/>
      <c r="AA116" s="628"/>
      <c r="AB116" s="629"/>
      <c r="AC116" s="2376"/>
      <c r="AD116" s="630"/>
      <c r="AE116" s="631"/>
      <c r="AF116" s="631"/>
      <c r="AG116" s="632"/>
      <c r="AH116" s="633"/>
      <c r="AI116" s="626"/>
      <c r="AJ116" s="626"/>
      <c r="AK116" s="626"/>
      <c r="AL116" s="626"/>
      <c r="AM116" s="626"/>
      <c r="AN116" s="626"/>
      <c r="AO116" s="626"/>
      <c r="AP116" s="626"/>
      <c r="AQ116" s="626"/>
      <c r="AR116" s="626"/>
      <c r="AS116" s="626"/>
      <c r="AT116" s="626"/>
      <c r="AU116" s="626"/>
      <c r="AV116" s="626"/>
      <c r="AW116" s="626"/>
      <c r="AX116" s="626"/>
      <c r="AY116" s="626"/>
      <c r="AZ116" s="626"/>
      <c r="BA116" s="626"/>
      <c r="BB116" s="626"/>
      <c r="BC116" s="626"/>
      <c r="BD116" s="626"/>
      <c r="BE116" s="626"/>
      <c r="BF116" s="626"/>
      <c r="BG116" s="626"/>
      <c r="BH116" s="626"/>
      <c r="BI116" s="626"/>
      <c r="BJ116" s="626"/>
      <c r="BK116" s="626"/>
      <c r="BL116" s="626"/>
      <c r="BM116" s="626"/>
      <c r="BN116" s="626"/>
      <c r="BO116" s="626"/>
      <c r="BP116" s="626"/>
      <c r="BQ116" s="626"/>
      <c r="BR116" s="626"/>
      <c r="BS116" s="626"/>
      <c r="BT116" s="626"/>
      <c r="BU116" s="626"/>
      <c r="BV116" s="627"/>
      <c r="BW116" s="627"/>
      <c r="BX116" s="627"/>
      <c r="BY116" s="627"/>
      <c r="BZ116" s="627"/>
      <c r="CA116" s="627"/>
      <c r="CB116" s="627"/>
      <c r="CC116" s="627"/>
      <c r="CD116" s="627"/>
      <c r="CE116" s="627"/>
    </row>
    <row s="1851" customFormat="1" customHeight="1" ht="15">
      <c r="A117" s="624"/>
      <c r="B117" s="625"/>
      <c r="C117" s="625"/>
      <c r="D117" s="2580"/>
      <c r="E117" s="2378" t="s">
        <v>576</v>
      </c>
      <c r="F117" s="2379"/>
      <c r="G117" s="2380"/>
      <c r="H117" s="2384" t="str">
        <f>IF(A115="","",INDEX(DIFFERENTIATION_UNMERGE_SYSTEM,MATCH(A115,DIFFERENTIATION_ID_DIFF,0)))</f>
        <v/>
      </c>
      <c r="I117" s="2384"/>
      <c r="J117" s="2384"/>
      <c r="K117" s="2384"/>
      <c r="L117" s="2384"/>
      <c r="M117" s="2384"/>
      <c r="N117" s="2384"/>
      <c r="O117" s="2384"/>
      <c r="P117" s="2384"/>
      <c r="Q117" s="2384"/>
      <c r="R117" s="2384"/>
      <c r="S117" s="720"/>
      <c r="T117" s="717"/>
      <c r="U117" s="626"/>
      <c r="V117" s="626"/>
      <c r="W117" s="627"/>
      <c r="X117" s="627"/>
      <c r="Y117" s="627"/>
      <c r="Z117" s="627"/>
      <c r="AA117" s="628"/>
      <c r="AB117" s="629"/>
      <c r="AC117" s="2376"/>
      <c r="AD117" s="630"/>
      <c r="AE117" s="631"/>
      <c r="AF117" s="631"/>
      <c r="AG117" s="632"/>
      <c r="AH117" s="633"/>
      <c r="AI117" s="626"/>
      <c r="AJ117" s="626"/>
      <c r="AK117" s="626"/>
      <c r="AL117" s="626"/>
      <c r="AM117" s="626"/>
      <c r="AN117" s="626"/>
      <c r="AO117" s="626"/>
      <c r="AP117" s="626"/>
      <c r="AQ117" s="626"/>
      <c r="AR117" s="626"/>
      <c r="AS117" s="626"/>
      <c r="AT117" s="626"/>
      <c r="AU117" s="626"/>
      <c r="AV117" s="626"/>
      <c r="AW117" s="626"/>
      <c r="AX117" s="626"/>
      <c r="AY117" s="626"/>
      <c r="AZ117" s="626"/>
      <c r="BA117" s="626"/>
      <c r="BB117" s="626"/>
      <c r="BC117" s="626"/>
      <c r="BD117" s="626"/>
      <c r="BE117" s="626"/>
      <c r="BF117" s="626"/>
      <c r="BG117" s="626"/>
      <c r="BH117" s="626"/>
      <c r="BI117" s="626"/>
      <c r="BJ117" s="626"/>
      <c r="BK117" s="626"/>
      <c r="BL117" s="626"/>
      <c r="BM117" s="626"/>
      <c r="BN117" s="626"/>
      <c r="BO117" s="626"/>
      <c r="BP117" s="626"/>
      <c r="BQ117" s="626"/>
      <c r="BR117" s="626"/>
      <c r="BS117" s="626"/>
      <c r="BT117" s="626"/>
      <c r="BU117" s="626"/>
      <c r="BV117" s="627"/>
      <c r="BW117" s="627"/>
      <c r="BX117" s="627"/>
      <c r="BY117" s="627"/>
      <c r="BZ117" s="627"/>
      <c r="CA117" s="627"/>
      <c r="CB117" s="627"/>
      <c r="CC117" s="627"/>
      <c r="CD117" s="627"/>
      <c r="CE117" s="627"/>
    </row>
    <row s="1851" customFormat="1" customHeight="1" ht="24.75">
      <c r="A118" s="1807"/>
      <c r="B118" s="1161"/>
      <c r="C118" s="413"/>
      <c r="D118" s="2580"/>
      <c r="E118" s="2377" t="s">
        <v>621</v>
      </c>
      <c r="F118" s="2377"/>
      <c r="G118" s="2377"/>
      <c r="H118" s="2377"/>
      <c r="I118" s="2377"/>
      <c r="J118" s="2377"/>
      <c r="K118" s="2377"/>
      <c r="L118" s="2377"/>
      <c r="M118" s="2377"/>
      <c r="N118" s="2377"/>
      <c r="O118" s="2377"/>
      <c r="P118" s="2377"/>
      <c r="Q118" s="559">
        <f>SUMIF(T119:T120,"i",Q119:Q120)</f>
        <v>0</v>
      </c>
      <c r="R118" s="1018"/>
      <c r="S118" s="1799" t="s">
        <v>622</v>
      </c>
      <c r="T118" s="718" t="s">
        <v>623</v>
      </c>
      <c r="U118" s="2375">
        <v>1</v>
      </c>
      <c r="V118" s="2375" t="s">
        <v>586</v>
      </c>
      <c r="W118" s="1161"/>
      <c r="X118" s="1161"/>
      <c r="Y118" s="1161"/>
      <c r="Z118" s="1161"/>
      <c r="AA118" s="1637"/>
      <c r="AB118" s="1161"/>
      <c r="AC118" s="2376"/>
      <c r="AD118" s="630"/>
      <c r="AE118" s="1161"/>
      <c r="AF118" s="1161"/>
      <c r="AG118" s="1637"/>
      <c r="AH118" s="1637"/>
      <c r="AI118" s="1637"/>
      <c r="AJ118" s="1637"/>
      <c r="AK118" s="1637"/>
      <c r="AL118" s="1637"/>
      <c r="AM118" s="1637"/>
      <c r="AN118" s="1637"/>
      <c r="AO118" s="1637"/>
      <c r="AP118" s="1637"/>
      <c r="AQ118" s="1637"/>
      <c r="AR118" s="1637"/>
      <c r="AS118" s="1637"/>
      <c r="AT118" s="1637"/>
      <c r="AU118" s="1637"/>
      <c r="AV118" s="1637"/>
      <c r="AW118" s="1637"/>
      <c r="AX118" s="1637"/>
      <c r="AY118" s="1637"/>
      <c r="AZ118" s="1637"/>
      <c r="BA118" s="1637"/>
      <c r="BB118" s="1637"/>
      <c r="BC118" s="1637"/>
      <c r="BD118" s="1637"/>
      <c r="BE118" s="1637"/>
      <c r="BF118" s="1637"/>
      <c r="BG118" s="1637"/>
      <c r="BH118" s="1637"/>
      <c r="BI118" s="1637"/>
      <c r="BJ118" s="1637"/>
      <c r="BK118" s="1637"/>
      <c r="BL118" s="1637"/>
      <c r="BM118" s="1637"/>
      <c r="BN118" s="1637"/>
      <c r="BO118" s="1637"/>
      <c r="BP118" s="1637"/>
      <c r="BQ118" s="1637"/>
      <c r="BR118" s="1637"/>
      <c r="BS118" s="1637"/>
      <c r="BT118" s="1637"/>
      <c r="BU118" s="1637"/>
      <c r="BV118" s="1161"/>
      <c r="BW118" s="1161"/>
      <c r="BX118" s="1161"/>
      <c r="BY118" s="1161"/>
      <c r="BZ118" s="1161"/>
      <c r="CA118" s="1161"/>
      <c r="CB118" s="1161"/>
      <c r="CC118" s="1161"/>
      <c r="CD118" s="1161"/>
      <c r="CE118" s="1161"/>
    </row>
    <row s="1851" customFormat="1" customHeight="1" ht="11.25" hidden="1">
      <c r="A119" s="1794"/>
      <c r="B119" s="1637"/>
      <c r="C119" s="1637"/>
      <c r="D119" s="2580"/>
      <c r="E119" s="636"/>
      <c r="F119" s="636">
        <v>0</v>
      </c>
      <c r="G119" s="636"/>
      <c r="H119" s="636"/>
      <c r="I119" s="636"/>
      <c r="J119" s="636"/>
      <c r="K119" s="636"/>
      <c r="L119" s="636"/>
      <c r="M119" s="636"/>
      <c r="N119" s="636"/>
      <c r="O119" s="636"/>
      <c r="P119" s="636"/>
      <c r="Q119" s="636"/>
      <c r="R119" s="636"/>
      <c r="S119" s="637"/>
      <c r="T119" s="719"/>
      <c r="U119" s="2375"/>
      <c r="V119" s="2375"/>
      <c r="W119" s="1637"/>
      <c r="X119" s="1637"/>
      <c r="Y119" s="1637"/>
      <c r="Z119" s="1637"/>
      <c r="AA119" s="1637"/>
      <c r="AB119" s="1161"/>
      <c r="AC119" s="2376"/>
      <c r="AD119" s="630"/>
      <c r="AE119" s="1161"/>
      <c r="AF119" s="1161"/>
      <c r="AG119" s="1637"/>
      <c r="AH119" s="1637"/>
      <c r="AI119" s="1637"/>
      <c r="AJ119" s="1637"/>
      <c r="AK119" s="1637"/>
      <c r="AL119" s="1637"/>
      <c r="AM119" s="1637"/>
      <c r="AN119" s="1637"/>
      <c r="AO119" s="1637"/>
      <c r="AP119" s="1637"/>
      <c r="AQ119" s="1637"/>
      <c r="AR119" s="1637"/>
      <c r="AS119" s="1637"/>
      <c r="AT119" s="1637"/>
      <c r="AU119" s="1637"/>
      <c r="AV119" s="1637"/>
      <c r="AW119" s="1637"/>
      <c r="AX119" s="1637"/>
      <c r="AY119" s="1637"/>
      <c r="AZ119" s="1637"/>
      <c r="BA119" s="1637"/>
      <c r="BB119" s="1637"/>
      <c r="BC119" s="1637"/>
      <c r="BD119" s="1637"/>
      <c r="BE119" s="1637"/>
      <c r="BF119" s="1637"/>
      <c r="BG119" s="1637"/>
      <c r="BH119" s="1637"/>
      <c r="BI119" s="1637"/>
      <c r="BJ119" s="1637"/>
      <c r="BK119" s="1637"/>
      <c r="BL119" s="1637"/>
      <c r="BM119" s="1637"/>
      <c r="BN119" s="1637"/>
      <c r="BO119" s="1637"/>
      <c r="BP119" s="1637"/>
      <c r="BQ119" s="1637"/>
      <c r="BR119" s="1637"/>
      <c r="BS119" s="1637"/>
      <c r="BT119" s="1637"/>
      <c r="BU119" s="1637"/>
      <c r="BV119" s="1637"/>
      <c r="BW119" s="1637"/>
      <c r="BX119" s="1637"/>
      <c r="BY119" s="1637"/>
      <c r="BZ119" s="1637"/>
      <c r="CA119" s="1637"/>
      <c r="CB119" s="1637"/>
      <c r="CC119" s="1637"/>
      <c r="CD119" s="1637"/>
      <c r="CE119" s="1637"/>
    </row>
    <row s="1851" customFormat="1" customHeight="1" ht="11.25">
      <c r="A120" s="1807"/>
      <c r="B120" s="1161"/>
      <c r="C120" s="413"/>
      <c r="D120" s="2580"/>
      <c r="E120" s="650" t="s">
        <v>28</v>
      </c>
      <c r="F120" s="1169" t="s">
        <v>28</v>
      </c>
      <c r="G120" s="1169" t="s">
        <v>1948</v>
      </c>
      <c r="H120" s="652" t="s">
        <v>28</v>
      </c>
      <c r="I120" s="652"/>
      <c r="J120" s="652"/>
      <c r="K120" s="652"/>
      <c r="L120" s="652"/>
      <c r="M120" s="652"/>
      <c r="N120" s="652"/>
      <c r="O120" s="652"/>
      <c r="P120" s="652"/>
      <c r="Q120" s="652"/>
      <c r="R120" s="653"/>
      <c r="S120" s="654"/>
      <c r="T120" s="719"/>
      <c r="U120" s="2375"/>
      <c r="V120" s="2375"/>
      <c r="W120" s="1161"/>
      <c r="X120" s="1161"/>
      <c r="Y120" s="1161"/>
      <c r="Z120" s="1161"/>
      <c r="AA120" s="1637"/>
      <c r="AB120" s="1161"/>
      <c r="AC120" s="2376"/>
      <c r="AD120" s="630"/>
      <c r="AE120" s="1161"/>
      <c r="AF120" s="1161"/>
      <c r="AG120" s="1637"/>
      <c r="AH120" s="1637"/>
      <c r="AI120" s="1637"/>
      <c r="AJ120" s="1637"/>
      <c r="AK120" s="1637"/>
      <c r="AL120" s="1637"/>
      <c r="AM120" s="1637"/>
      <c r="AN120" s="1637"/>
      <c r="AO120" s="1637"/>
      <c r="AP120" s="1637"/>
      <c r="AQ120" s="1637"/>
      <c r="AR120" s="1637"/>
      <c r="AS120" s="1637"/>
      <c r="AT120" s="1637"/>
      <c r="AU120" s="1637"/>
      <c r="AV120" s="1637"/>
      <c r="AW120" s="1637"/>
      <c r="AX120" s="1637"/>
      <c r="AY120" s="1637"/>
      <c r="AZ120" s="1637"/>
      <c r="BA120" s="1637"/>
      <c r="BB120" s="1637"/>
      <c r="BC120" s="1637"/>
      <c r="BD120" s="1637"/>
      <c r="BE120" s="1637"/>
      <c r="BF120" s="1637"/>
      <c r="BG120" s="1637"/>
      <c r="BH120" s="1637"/>
      <c r="BI120" s="1637"/>
      <c r="BJ120" s="1637"/>
      <c r="BK120" s="1637"/>
      <c r="BL120" s="1637"/>
      <c r="BM120" s="1637"/>
      <c r="BN120" s="1637"/>
      <c r="BO120" s="1637"/>
      <c r="BP120" s="1637"/>
      <c r="BQ120" s="1637"/>
      <c r="BR120" s="1637"/>
      <c r="BS120" s="1637"/>
      <c r="BT120" s="1637"/>
      <c r="BU120" s="1637"/>
      <c r="BV120" s="1161"/>
      <c r="BW120" s="1161"/>
      <c r="BX120" s="1161"/>
      <c r="BY120" s="1161"/>
      <c r="BZ120" s="1161"/>
      <c r="CA120" s="1161"/>
      <c r="CB120" s="1161"/>
      <c r="CC120" s="1161"/>
      <c r="CD120" s="1161"/>
      <c r="CE120" s="1161"/>
    </row>
    <row s="1851" customFormat="1" customHeight="1" ht="24.75">
      <c r="A121" s="1807"/>
      <c r="B121" s="1161"/>
      <c r="C121" s="413"/>
      <c r="D121" s="2580"/>
      <c r="E121" s="2377" t="s">
        <v>624</v>
      </c>
      <c r="F121" s="2377"/>
      <c r="G121" s="2377"/>
      <c r="H121" s="2377"/>
      <c r="I121" s="2377"/>
      <c r="J121" s="2377"/>
      <c r="K121" s="2377"/>
      <c r="L121" s="2377"/>
      <c r="M121" s="2377"/>
      <c r="N121" s="2377"/>
      <c r="O121" s="2377"/>
      <c r="P121" s="2377"/>
      <c r="Q121" s="559">
        <f>SUMIF(T122:T123,"i",Q122:Q123)</f>
        <v>0</v>
      </c>
      <c r="R121" s="1018"/>
      <c r="S121" s="1799" t="s">
        <v>625</v>
      </c>
      <c r="T121" s="718" t="s">
        <v>623</v>
      </c>
      <c r="U121" s="2375">
        <v>1</v>
      </c>
      <c r="V121" s="2375" t="s">
        <v>586</v>
      </c>
      <c r="W121" s="1161"/>
      <c r="X121" s="1161"/>
      <c r="Y121" s="1161"/>
      <c r="Z121" s="1161"/>
      <c r="AA121" s="1637"/>
      <c r="AB121" s="1161"/>
      <c r="AC121" s="1797"/>
      <c r="AD121" s="630"/>
      <c r="AE121" s="1161"/>
      <c r="AF121" s="1161"/>
      <c r="AG121" s="1637"/>
      <c r="AH121" s="1637"/>
      <c r="AI121" s="1637"/>
      <c r="AJ121" s="1637"/>
      <c r="AK121" s="1637"/>
      <c r="AL121" s="1637"/>
      <c r="AM121" s="1637"/>
      <c r="AN121" s="1637"/>
      <c r="AO121" s="1637"/>
      <c r="AP121" s="1637"/>
      <c r="AQ121" s="1637"/>
      <c r="AR121" s="1637"/>
      <c r="AS121" s="1637"/>
      <c r="AT121" s="1637"/>
      <c r="AU121" s="1637"/>
      <c r="AV121" s="1637"/>
      <c r="AW121" s="1637"/>
      <c r="AX121" s="1637"/>
      <c r="AY121" s="1637"/>
      <c r="AZ121" s="1637"/>
      <c r="BA121" s="1637"/>
      <c r="BB121" s="1637"/>
      <c r="BC121" s="1637"/>
      <c r="BD121" s="1637"/>
      <c r="BE121" s="1637"/>
      <c r="BF121" s="1637"/>
      <c r="BG121" s="1637"/>
      <c r="BH121" s="1637"/>
      <c r="BI121" s="1637"/>
      <c r="BJ121" s="1637"/>
      <c r="BK121" s="1637"/>
      <c r="BL121" s="1637"/>
      <c r="BM121" s="1637"/>
      <c r="BN121" s="1637"/>
      <c r="BO121" s="1637"/>
      <c r="BP121" s="1637"/>
      <c r="BQ121" s="1637"/>
      <c r="BR121" s="1637"/>
      <c r="BS121" s="1637"/>
      <c r="BT121" s="1637"/>
      <c r="BU121" s="1637"/>
      <c r="BV121" s="1161"/>
      <c r="BW121" s="1161"/>
      <c r="BX121" s="1161"/>
      <c r="BY121" s="1161"/>
      <c r="BZ121" s="1161"/>
      <c r="CA121" s="1161"/>
      <c r="CB121" s="1161"/>
      <c r="CC121" s="1161"/>
      <c r="CD121" s="1161"/>
      <c r="CE121" s="1161"/>
    </row>
    <row s="1851" customFormat="1" customHeight="1" ht="11.25" hidden="1">
      <c r="A122" s="1794"/>
      <c r="B122" s="1637"/>
      <c r="C122" s="1637"/>
      <c r="D122" s="2580"/>
      <c r="E122" s="636"/>
      <c r="F122" s="636">
        <v>0</v>
      </c>
      <c r="G122" s="636"/>
      <c r="H122" s="636"/>
      <c r="I122" s="636"/>
      <c r="J122" s="636"/>
      <c r="K122" s="636"/>
      <c r="L122" s="636"/>
      <c r="M122" s="636"/>
      <c r="N122" s="636"/>
      <c r="O122" s="636"/>
      <c r="P122" s="636"/>
      <c r="Q122" s="636"/>
      <c r="R122" s="636"/>
      <c r="S122" s="637"/>
      <c r="T122" s="719"/>
      <c r="U122" s="2375"/>
      <c r="V122" s="2375"/>
      <c r="W122" s="1637"/>
      <c r="X122" s="1637"/>
      <c r="Y122" s="1637"/>
      <c r="Z122" s="1637"/>
      <c r="AA122" s="1637"/>
      <c r="AB122" s="1161"/>
      <c r="AC122" s="1797"/>
      <c r="AD122" s="630"/>
      <c r="AE122" s="1161"/>
      <c r="AF122" s="1161"/>
      <c r="AG122" s="1637"/>
      <c r="AH122" s="1637"/>
      <c r="AI122" s="1637"/>
      <c r="AJ122" s="1637"/>
      <c r="AK122" s="1637"/>
      <c r="AL122" s="1637"/>
      <c r="AM122" s="1637"/>
      <c r="AN122" s="1637"/>
      <c r="AO122" s="1637"/>
      <c r="AP122" s="1637"/>
      <c r="AQ122" s="1637"/>
      <c r="AR122" s="1637"/>
      <c r="AS122" s="1637"/>
      <c r="AT122" s="1637"/>
      <c r="AU122" s="1637"/>
      <c r="AV122" s="1637"/>
      <c r="AW122" s="1637"/>
      <c r="AX122" s="1637"/>
      <c r="AY122" s="1637"/>
      <c r="AZ122" s="1637"/>
      <c r="BA122" s="1637"/>
      <c r="BB122" s="1637"/>
      <c r="BC122" s="1637"/>
      <c r="BD122" s="1637"/>
      <c r="BE122" s="1637"/>
      <c r="BF122" s="1637"/>
      <c r="BG122" s="1637"/>
      <c r="BH122" s="1637"/>
      <c r="BI122" s="1637"/>
      <c r="BJ122" s="1637"/>
      <c r="BK122" s="1637"/>
      <c r="BL122" s="1637"/>
      <c r="BM122" s="1637"/>
      <c r="BN122" s="1637"/>
      <c r="BO122" s="1637"/>
      <c r="BP122" s="1637"/>
      <c r="BQ122" s="1637"/>
      <c r="BR122" s="1637"/>
      <c r="BS122" s="1637"/>
      <c r="BT122" s="1637"/>
      <c r="BU122" s="1637"/>
      <c r="BV122" s="1637"/>
      <c r="BW122" s="1637"/>
      <c r="BX122" s="1637"/>
      <c r="BY122" s="1637"/>
      <c r="BZ122" s="1637"/>
      <c r="CA122" s="1637"/>
      <c r="CB122" s="1637"/>
      <c r="CC122" s="1637"/>
      <c r="CD122" s="1637"/>
      <c r="CE122" s="1637"/>
    </row>
    <row s="1851" customFormat="1" customHeight="1" ht="11.25">
      <c r="A123" s="1807"/>
      <c r="B123" s="1161"/>
      <c r="C123" s="413"/>
      <c r="D123" s="2581"/>
      <c r="E123" s="650" t="s">
        <v>28</v>
      </c>
      <c r="F123" s="1169" t="s">
        <v>28</v>
      </c>
      <c r="G123" s="1169" t="s">
        <v>1948</v>
      </c>
      <c r="H123" s="652" t="s">
        <v>28</v>
      </c>
      <c r="I123" s="652"/>
      <c r="J123" s="652"/>
      <c r="K123" s="652"/>
      <c r="L123" s="652"/>
      <c r="M123" s="652"/>
      <c r="N123" s="652"/>
      <c r="O123" s="652"/>
      <c r="P123" s="652"/>
      <c r="Q123" s="652"/>
      <c r="R123" s="653"/>
      <c r="S123" s="654"/>
      <c r="T123" s="719"/>
      <c r="U123" s="2375"/>
      <c r="V123" s="2375"/>
      <c r="W123" s="1161"/>
      <c r="X123" s="1161"/>
      <c r="Y123" s="1161"/>
      <c r="Z123" s="1161"/>
      <c r="AA123" s="1637"/>
      <c r="AB123" s="1161"/>
      <c r="AC123" s="1797"/>
      <c r="AD123" s="630"/>
      <c r="AE123" s="1161"/>
      <c r="AF123" s="1161"/>
      <c r="AG123" s="1637"/>
      <c r="AH123" s="1637"/>
      <c r="AI123" s="1637"/>
      <c r="AJ123" s="1637"/>
      <c r="AK123" s="1637"/>
      <c r="AL123" s="1637"/>
      <c r="AM123" s="1637"/>
      <c r="AN123" s="1637"/>
      <c r="AO123" s="1637"/>
      <c r="AP123" s="1637"/>
      <c r="AQ123" s="1637"/>
      <c r="AR123" s="1637"/>
      <c r="AS123" s="1637"/>
      <c r="AT123" s="1637"/>
      <c r="AU123" s="1637"/>
      <c r="AV123" s="1637"/>
      <c r="AW123" s="1637"/>
      <c r="AX123" s="1637"/>
      <c r="AY123" s="1637"/>
      <c r="AZ123" s="1637"/>
      <c r="BA123" s="1637"/>
      <c r="BB123" s="1637"/>
      <c r="BC123" s="1637"/>
      <c r="BD123" s="1637"/>
      <c r="BE123" s="1637"/>
      <c r="BF123" s="1637"/>
      <c r="BG123" s="1637"/>
      <c r="BH123" s="1637"/>
      <c r="BI123" s="1637"/>
      <c r="BJ123" s="1637"/>
      <c r="BK123" s="1637"/>
      <c r="BL123" s="1637"/>
      <c r="BM123" s="1637"/>
      <c r="BN123" s="1637"/>
      <c r="BO123" s="1637"/>
      <c r="BP123" s="1637"/>
      <c r="BQ123" s="1637"/>
      <c r="BR123" s="1637"/>
      <c r="BS123" s="1637"/>
      <c r="BT123" s="1637"/>
      <c r="BU123" s="1637"/>
      <c r="BV123" s="1161"/>
      <c r="BW123" s="1161"/>
      <c r="BX123" s="1161"/>
      <c r="BY123" s="1161"/>
      <c r="BZ123" s="1161"/>
      <c r="CA123" s="1161"/>
      <c r="CB123" s="1161"/>
      <c r="CC123" s="1161"/>
      <c r="CD123" s="1161"/>
      <c r="CE123" s="1161"/>
    </row>
    <row r="125" s="1816" customFormat="1" customHeight="1" ht="11.25">
      <c r="A125" s="1816" t="s">
        <v>1949</v>
      </c>
    </row>
    <row r="127" s="1851" customFormat="1" customHeight="1" ht="15">
      <c r="A127" s="624"/>
      <c r="B127" s="625"/>
      <c r="C127" s="625"/>
      <c r="D127" s="2579" t="s">
        <v>112</v>
      </c>
      <c r="E127" s="2378" t="s">
        <v>108</v>
      </c>
      <c r="F127" s="2379"/>
      <c r="G127" s="2380"/>
      <c r="H127" s="2384" t="str">
        <f>IF(A127="","",INDEX(DIFFERENTIATION_UNMERGE_VD,MATCH(A127,DIFFERENTIATION_ID_DIFF,0)))</f>
        <v/>
      </c>
      <c r="I127" s="2384"/>
      <c r="J127" s="2384"/>
      <c r="K127" s="2384"/>
      <c r="L127" s="2384"/>
      <c r="M127" s="2384"/>
      <c r="N127" s="2384"/>
      <c r="O127" s="2384"/>
      <c r="P127" s="2384"/>
      <c r="Q127" s="2384"/>
      <c r="R127" s="2384"/>
      <c r="S127" s="720"/>
      <c r="T127" s="717"/>
      <c r="U127" s="626"/>
      <c r="V127" s="626"/>
      <c r="W127" s="627"/>
      <c r="X127" s="627"/>
      <c r="Y127" s="627"/>
      <c r="Z127" s="627"/>
      <c r="AA127" s="628"/>
      <c r="AB127" s="629"/>
      <c r="AC127" s="2376"/>
      <c r="AD127" s="630"/>
      <c r="AE127" s="631" t="s">
        <v>28</v>
      </c>
      <c r="AF127" s="631"/>
      <c r="AG127" s="632" t="s">
        <v>620</v>
      </c>
      <c r="AH127" s="633">
        <v>3</v>
      </c>
      <c r="AI127" s="626"/>
      <c r="AJ127" s="626"/>
      <c r="AK127" s="626"/>
      <c r="AL127" s="626"/>
      <c r="AM127" s="626"/>
      <c r="AN127" s="626"/>
      <c r="AO127" s="626"/>
      <c r="AP127" s="626"/>
      <c r="AQ127" s="626"/>
      <c r="AR127" s="626"/>
      <c r="AS127" s="626"/>
      <c r="AT127" s="626"/>
      <c r="AU127" s="626"/>
      <c r="AV127" s="626"/>
      <c r="AW127" s="626"/>
      <c r="AX127" s="626"/>
      <c r="AY127" s="626"/>
      <c r="AZ127" s="626"/>
      <c r="BA127" s="626"/>
      <c r="BB127" s="626"/>
      <c r="BC127" s="626"/>
      <c r="BD127" s="626"/>
      <c r="BE127" s="626"/>
      <c r="BF127" s="626"/>
      <c r="BG127" s="626"/>
      <c r="BH127" s="626"/>
      <c r="BI127" s="626"/>
      <c r="BJ127" s="626"/>
      <c r="BK127" s="626"/>
      <c r="BL127" s="626"/>
      <c r="BM127" s="626"/>
      <c r="BN127" s="626"/>
      <c r="BO127" s="626"/>
      <c r="BP127" s="626"/>
      <c r="BQ127" s="626"/>
      <c r="BR127" s="626"/>
      <c r="BS127" s="626"/>
      <c r="BT127" s="626"/>
      <c r="BU127" s="626"/>
      <c r="BV127" s="627"/>
      <c r="BW127" s="627"/>
      <c r="BX127" s="627"/>
      <c r="BY127" s="627"/>
      <c r="BZ127" s="627"/>
      <c r="CA127" s="627"/>
      <c r="CB127" s="627"/>
      <c r="CC127" s="627"/>
      <c r="CD127" s="627"/>
      <c r="CE127" s="627"/>
    </row>
    <row s="1851" customFormat="1" customHeight="1" ht="15">
      <c r="A128" s="624"/>
      <c r="B128" s="625"/>
      <c r="C128" s="625"/>
      <c r="D128" s="2580"/>
      <c r="E128" s="2378" t="s">
        <v>575</v>
      </c>
      <c r="F128" s="2379"/>
      <c r="G128" s="2380"/>
      <c r="H128" s="2384" t="str">
        <f>IF(A127="","",INDEX(DIFFERENTIATION_UNMERGE_AREA,MATCH(A127,DIFFERENTIATION_ID_DIFF,0)))</f>
        <v/>
      </c>
      <c r="I128" s="2384"/>
      <c r="J128" s="2384"/>
      <c r="K128" s="2384"/>
      <c r="L128" s="2384"/>
      <c r="M128" s="2384"/>
      <c r="N128" s="2384"/>
      <c r="O128" s="2384"/>
      <c r="P128" s="2384"/>
      <c r="Q128" s="2384"/>
      <c r="R128" s="2384"/>
      <c r="S128" s="720"/>
      <c r="T128" s="717"/>
      <c r="U128" s="626"/>
      <c r="V128" s="626"/>
      <c r="W128" s="627"/>
      <c r="X128" s="627"/>
      <c r="Y128" s="627"/>
      <c r="Z128" s="627"/>
      <c r="AA128" s="628"/>
      <c r="AB128" s="629"/>
      <c r="AC128" s="2376"/>
      <c r="AD128" s="630"/>
      <c r="AE128" s="631"/>
      <c r="AF128" s="631"/>
      <c r="AG128" s="632"/>
      <c r="AH128" s="633"/>
      <c r="AI128" s="626"/>
      <c r="AJ128" s="626"/>
      <c r="AK128" s="626"/>
      <c r="AL128" s="626"/>
      <c r="AM128" s="626"/>
      <c r="AN128" s="626"/>
      <c r="AO128" s="626"/>
      <c r="AP128" s="626"/>
      <c r="AQ128" s="626"/>
      <c r="AR128" s="626"/>
      <c r="AS128" s="626"/>
      <c r="AT128" s="626"/>
      <c r="AU128" s="626"/>
      <c r="AV128" s="626"/>
      <c r="AW128" s="626"/>
      <c r="AX128" s="626"/>
      <c r="AY128" s="626"/>
      <c r="AZ128" s="626"/>
      <c r="BA128" s="626"/>
      <c r="BB128" s="626"/>
      <c r="BC128" s="626"/>
      <c r="BD128" s="626"/>
      <c r="BE128" s="626"/>
      <c r="BF128" s="626"/>
      <c r="BG128" s="626"/>
      <c r="BH128" s="626"/>
      <c r="BI128" s="626"/>
      <c r="BJ128" s="626"/>
      <c r="BK128" s="626"/>
      <c r="BL128" s="626"/>
      <c r="BM128" s="626"/>
      <c r="BN128" s="626"/>
      <c r="BO128" s="626"/>
      <c r="BP128" s="626"/>
      <c r="BQ128" s="626"/>
      <c r="BR128" s="626"/>
      <c r="BS128" s="626"/>
      <c r="BT128" s="626"/>
      <c r="BU128" s="626"/>
      <c r="BV128" s="627"/>
      <c r="BW128" s="627"/>
      <c r="BX128" s="627"/>
      <c r="BY128" s="627"/>
      <c r="BZ128" s="627"/>
      <c r="CA128" s="627"/>
      <c r="CB128" s="627"/>
      <c r="CC128" s="627"/>
      <c r="CD128" s="627"/>
      <c r="CE128" s="627"/>
    </row>
    <row s="1851" customFormat="1" customHeight="1" ht="15">
      <c r="A129" s="624"/>
      <c r="B129" s="625"/>
      <c r="C129" s="625"/>
      <c r="D129" s="2580"/>
      <c r="E129" s="2378" t="s">
        <v>576</v>
      </c>
      <c r="F129" s="2379"/>
      <c r="G129" s="2380"/>
      <c r="H129" s="2384" t="str">
        <f>IF(A127="","",INDEX(DIFFERENTIATION_UNMERGE_SYSTEM,MATCH(A127,DIFFERENTIATION_ID_DIFF,0)))</f>
        <v/>
      </c>
      <c r="I129" s="2384"/>
      <c r="J129" s="2384"/>
      <c r="K129" s="2384"/>
      <c r="L129" s="2384"/>
      <c r="M129" s="2384"/>
      <c r="N129" s="2384"/>
      <c r="O129" s="2384"/>
      <c r="P129" s="2384"/>
      <c r="Q129" s="2384"/>
      <c r="R129" s="2384"/>
      <c r="S129" s="720"/>
      <c r="T129" s="717"/>
      <c r="U129" s="626"/>
      <c r="V129" s="626"/>
      <c r="W129" s="627"/>
      <c r="X129" s="627"/>
      <c r="Y129" s="627"/>
      <c r="Z129" s="627"/>
      <c r="AA129" s="628"/>
      <c r="AB129" s="629"/>
      <c r="AC129" s="2376"/>
      <c r="AD129" s="630"/>
      <c r="AE129" s="631"/>
      <c r="AF129" s="631"/>
      <c r="AG129" s="632"/>
      <c r="AH129" s="633"/>
      <c r="AI129" s="626"/>
      <c r="AJ129" s="626"/>
      <c r="AK129" s="626"/>
      <c r="AL129" s="626"/>
      <c r="AM129" s="626"/>
      <c r="AN129" s="626"/>
      <c r="AO129" s="626"/>
      <c r="AP129" s="626"/>
      <c r="AQ129" s="626"/>
      <c r="AR129" s="626"/>
      <c r="AS129" s="626"/>
      <c r="AT129" s="626"/>
      <c r="AU129" s="626"/>
      <c r="AV129" s="626"/>
      <c r="AW129" s="626"/>
      <c r="AX129" s="626"/>
      <c r="AY129" s="626"/>
      <c r="AZ129" s="626"/>
      <c r="BA129" s="626"/>
      <c r="BB129" s="626"/>
      <c r="BC129" s="626"/>
      <c r="BD129" s="626"/>
      <c r="BE129" s="626"/>
      <c r="BF129" s="626"/>
      <c r="BG129" s="626"/>
      <c r="BH129" s="626"/>
      <c r="BI129" s="626"/>
      <c r="BJ129" s="626"/>
      <c r="BK129" s="626"/>
      <c r="BL129" s="626"/>
      <c r="BM129" s="626"/>
      <c r="BN129" s="626"/>
      <c r="BO129" s="626"/>
      <c r="BP129" s="626"/>
      <c r="BQ129" s="626"/>
      <c r="BR129" s="626"/>
      <c r="BS129" s="626"/>
      <c r="BT129" s="626"/>
      <c r="BU129" s="626"/>
      <c r="BV129" s="627"/>
      <c r="BW129" s="627"/>
      <c r="BX129" s="627"/>
      <c r="BY129" s="627"/>
      <c r="BZ129" s="627"/>
      <c r="CA129" s="627"/>
      <c r="CB129" s="627"/>
      <c r="CC129" s="627"/>
      <c r="CD129" s="627"/>
      <c r="CE129" s="627"/>
    </row>
    <row s="1851" customFormat="1" customHeight="1" ht="24.75">
      <c r="A130" s="1807"/>
      <c r="B130" s="1161"/>
      <c r="C130" s="413"/>
      <c r="D130" s="2580"/>
      <c r="E130" s="2377" t="s">
        <v>621</v>
      </c>
      <c r="F130" s="2377"/>
      <c r="G130" s="2377"/>
      <c r="H130" s="2377"/>
      <c r="I130" s="2377"/>
      <c r="J130" s="2377"/>
      <c r="K130" s="2377"/>
      <c r="L130" s="2377"/>
      <c r="M130" s="2377"/>
      <c r="N130" s="2377"/>
      <c r="O130" s="2377"/>
      <c r="P130" s="2377"/>
      <c r="Q130" s="559">
        <f>SUMIF(T131:T132,"i",Q131:Q132)</f>
        <v>0</v>
      </c>
      <c r="R130" s="1018"/>
      <c r="S130" s="1799" t="s">
        <v>622</v>
      </c>
      <c r="T130" s="718" t="s">
        <v>623</v>
      </c>
      <c r="U130" s="2375">
        <v>1</v>
      </c>
      <c r="V130" s="2375" t="s">
        <v>586</v>
      </c>
      <c r="W130" s="1161"/>
      <c r="X130" s="1161"/>
      <c r="Y130" s="1161"/>
      <c r="Z130" s="1161"/>
      <c r="AA130" s="1637"/>
      <c r="AB130" s="1161"/>
      <c r="AC130" s="2376"/>
      <c r="AD130" s="630"/>
      <c r="AE130" s="1161"/>
      <c r="AF130" s="1161"/>
      <c r="AG130" s="1637"/>
      <c r="AH130" s="1637"/>
      <c r="AI130" s="1637"/>
      <c r="AJ130" s="1637"/>
      <c r="AK130" s="1637"/>
      <c r="AL130" s="1637"/>
      <c r="AM130" s="1637"/>
      <c r="AN130" s="1637"/>
      <c r="AO130" s="1637"/>
      <c r="AP130" s="1637"/>
      <c r="AQ130" s="1637"/>
      <c r="AR130" s="1637"/>
      <c r="AS130" s="1637"/>
      <c r="AT130" s="1637"/>
      <c r="AU130" s="1637"/>
      <c r="AV130" s="1637"/>
      <c r="AW130" s="1637"/>
      <c r="AX130" s="1637"/>
      <c r="AY130" s="1637"/>
      <c r="AZ130" s="1637"/>
      <c r="BA130" s="1637"/>
      <c r="BB130" s="1637"/>
      <c r="BC130" s="1637"/>
      <c r="BD130" s="1637"/>
      <c r="BE130" s="1637"/>
      <c r="BF130" s="1637"/>
      <c r="BG130" s="1637"/>
      <c r="BH130" s="1637"/>
      <c r="BI130" s="1637"/>
      <c r="BJ130" s="1637"/>
      <c r="BK130" s="1637"/>
      <c r="BL130" s="1637"/>
      <c r="BM130" s="1637"/>
      <c r="BN130" s="1637"/>
      <c r="BO130" s="1637"/>
      <c r="BP130" s="1637"/>
      <c r="BQ130" s="1637"/>
      <c r="BR130" s="1637"/>
      <c r="BS130" s="1637"/>
      <c r="BT130" s="1637"/>
      <c r="BU130" s="1637"/>
      <c r="BV130" s="1161"/>
      <c r="BW130" s="1161"/>
      <c r="BX130" s="1161"/>
      <c r="BY130" s="1161"/>
      <c r="BZ130" s="1161"/>
      <c r="CA130" s="1161"/>
      <c r="CB130" s="1161"/>
      <c r="CC130" s="1161"/>
      <c r="CD130" s="1161"/>
      <c r="CE130" s="1161"/>
    </row>
    <row s="1851" customFormat="1" customHeight="1" ht="11.25" hidden="1">
      <c r="A131" s="1794"/>
      <c r="B131" s="1637"/>
      <c r="C131" s="1637"/>
      <c r="D131" s="2580"/>
      <c r="E131" s="636"/>
      <c r="F131" s="636">
        <v>0</v>
      </c>
      <c r="G131" s="636"/>
      <c r="H131" s="636"/>
      <c r="I131" s="636"/>
      <c r="J131" s="636"/>
      <c r="K131" s="636"/>
      <c r="L131" s="636"/>
      <c r="M131" s="636"/>
      <c r="N131" s="636"/>
      <c r="O131" s="636"/>
      <c r="P131" s="636"/>
      <c r="Q131" s="636"/>
      <c r="R131" s="636"/>
      <c r="S131" s="637"/>
      <c r="T131" s="719"/>
      <c r="U131" s="2375"/>
      <c r="V131" s="2375"/>
      <c r="W131" s="1637"/>
      <c r="X131" s="1637"/>
      <c r="Y131" s="1637"/>
      <c r="Z131" s="1637"/>
      <c r="AA131" s="1637"/>
      <c r="AB131" s="1161"/>
      <c r="AC131" s="2376"/>
      <c r="AD131" s="630"/>
      <c r="AE131" s="1161"/>
      <c r="AF131" s="1161"/>
      <c r="AG131" s="1637"/>
      <c r="AH131" s="1637"/>
      <c r="AI131" s="1637"/>
      <c r="AJ131" s="1637"/>
      <c r="AK131" s="1637"/>
      <c r="AL131" s="1637"/>
      <c r="AM131" s="1637"/>
      <c r="AN131" s="1637"/>
      <c r="AO131" s="1637"/>
      <c r="AP131" s="1637"/>
      <c r="AQ131" s="1637"/>
      <c r="AR131" s="1637"/>
      <c r="AS131" s="1637"/>
      <c r="AT131" s="1637"/>
      <c r="AU131" s="1637"/>
      <c r="AV131" s="1637"/>
      <c r="AW131" s="1637"/>
      <c r="AX131" s="1637"/>
      <c r="AY131" s="1637"/>
      <c r="AZ131" s="1637"/>
      <c r="BA131" s="1637"/>
      <c r="BB131" s="1637"/>
      <c r="BC131" s="1637"/>
      <c r="BD131" s="1637"/>
      <c r="BE131" s="1637"/>
      <c r="BF131" s="1637"/>
      <c r="BG131" s="1637"/>
      <c r="BH131" s="1637"/>
      <c r="BI131" s="1637"/>
      <c r="BJ131" s="1637"/>
      <c r="BK131" s="1637"/>
      <c r="BL131" s="1637"/>
      <c r="BM131" s="1637"/>
      <c r="BN131" s="1637"/>
      <c r="BO131" s="1637"/>
      <c r="BP131" s="1637"/>
      <c r="BQ131" s="1637"/>
      <c r="BR131" s="1637"/>
      <c r="BS131" s="1637"/>
      <c r="BT131" s="1637"/>
      <c r="BU131" s="1637"/>
      <c r="BV131" s="1637"/>
      <c r="BW131" s="1637"/>
      <c r="BX131" s="1637"/>
      <c r="BY131" s="1637"/>
      <c r="BZ131" s="1637"/>
      <c r="CA131" s="1637"/>
      <c r="CB131" s="1637"/>
      <c r="CC131" s="1637"/>
      <c r="CD131" s="1637"/>
      <c r="CE131" s="1637"/>
    </row>
    <row s="1851" customFormat="1" customHeight="1" ht="11.25">
      <c r="A132" s="1807"/>
      <c r="B132" s="1161"/>
      <c r="C132" s="413"/>
      <c r="D132" s="2580"/>
      <c r="E132" s="650" t="s">
        <v>28</v>
      </c>
      <c r="F132" s="1169" t="s">
        <v>28</v>
      </c>
      <c r="G132" s="1169" t="s">
        <v>1948</v>
      </c>
      <c r="H132" s="652" t="s">
        <v>28</v>
      </c>
      <c r="I132" s="652"/>
      <c r="J132" s="652"/>
      <c r="K132" s="652"/>
      <c r="L132" s="652"/>
      <c r="M132" s="652"/>
      <c r="N132" s="652"/>
      <c r="O132" s="652"/>
      <c r="P132" s="652"/>
      <c r="Q132" s="652"/>
      <c r="R132" s="653"/>
      <c r="S132" s="654"/>
      <c r="T132" s="719"/>
      <c r="U132" s="2375"/>
      <c r="V132" s="2375"/>
      <c r="W132" s="1161"/>
      <c r="X132" s="1161"/>
      <c r="Y132" s="1161"/>
      <c r="Z132" s="1161"/>
      <c r="AA132" s="1637"/>
      <c r="AB132" s="1161"/>
      <c r="AC132" s="2376"/>
      <c r="AD132" s="630"/>
      <c r="AE132" s="1161"/>
      <c r="AF132" s="1161"/>
      <c r="AG132" s="1637"/>
      <c r="AH132" s="1637"/>
      <c r="AI132" s="1637"/>
      <c r="AJ132" s="1637"/>
      <c r="AK132" s="1637"/>
      <c r="AL132" s="1637"/>
      <c r="AM132" s="1637"/>
      <c r="AN132" s="1637"/>
      <c r="AO132" s="1637"/>
      <c r="AP132" s="1637"/>
      <c r="AQ132" s="1637"/>
      <c r="AR132" s="1637"/>
      <c r="AS132" s="1637"/>
      <c r="AT132" s="1637"/>
      <c r="AU132" s="1637"/>
      <c r="AV132" s="1637"/>
      <c r="AW132" s="1637"/>
      <c r="AX132" s="1637"/>
      <c r="AY132" s="1637"/>
      <c r="AZ132" s="1637"/>
      <c r="BA132" s="1637"/>
      <c r="BB132" s="1637"/>
      <c r="BC132" s="1637"/>
      <c r="BD132" s="1637"/>
      <c r="BE132" s="1637"/>
      <c r="BF132" s="1637"/>
      <c r="BG132" s="1637"/>
      <c r="BH132" s="1637"/>
      <c r="BI132" s="1637"/>
      <c r="BJ132" s="1637"/>
      <c r="BK132" s="1637"/>
      <c r="BL132" s="1637"/>
      <c r="BM132" s="1637"/>
      <c r="BN132" s="1637"/>
      <c r="BO132" s="1637"/>
      <c r="BP132" s="1637"/>
      <c r="BQ132" s="1637"/>
      <c r="BR132" s="1637"/>
      <c r="BS132" s="1637"/>
      <c r="BT132" s="1637"/>
      <c r="BU132" s="1637"/>
      <c r="BV132" s="1161"/>
      <c r="BW132" s="1161"/>
      <c r="BX132" s="1161"/>
      <c r="BY132" s="1161"/>
      <c r="BZ132" s="1161"/>
      <c r="CA132" s="1161"/>
      <c r="CB132" s="1161"/>
      <c r="CC132" s="1161"/>
      <c r="CD132" s="1161"/>
      <c r="CE132" s="1161"/>
    </row>
    <row s="1317" customFormat="1" customHeight="1" ht="5.25" hidden="1">
      <c r="A133" s="1794"/>
      <c r="B133" s="1637"/>
      <c r="C133" s="1637"/>
      <c r="D133" s="2580"/>
      <c r="E133" s="1040"/>
      <c r="F133" s="1040"/>
      <c r="G133" s="1040"/>
      <c r="H133" s="1040"/>
      <c r="I133" s="1040"/>
      <c r="J133" s="1040"/>
      <c r="K133" s="1040"/>
      <c r="L133" s="1040"/>
      <c r="M133" s="1040"/>
      <c r="N133" s="1040"/>
      <c r="O133" s="1040"/>
      <c r="P133" s="1040"/>
      <c r="Q133" s="1041"/>
      <c r="R133" s="1042"/>
      <c r="S133" s="1043"/>
      <c r="T133" s="718" t="s">
        <v>623</v>
      </c>
      <c r="U133" s="2375">
        <v>1</v>
      </c>
      <c r="V133" s="2375" t="s">
        <v>586</v>
      </c>
      <c r="W133" s="1637"/>
      <c r="X133" s="1637"/>
      <c r="Y133" s="1637"/>
      <c r="Z133" s="1637"/>
      <c r="AA133" s="1637"/>
      <c r="AB133" s="1637"/>
      <c r="AC133" s="1038"/>
      <c r="AD133" s="1039"/>
      <c r="AE133" s="1637"/>
      <c r="AF133" s="1637"/>
      <c r="AG133" s="1637"/>
      <c r="AH133" s="1637"/>
      <c r="AI133" s="1637"/>
      <c r="AJ133" s="1637"/>
      <c r="AK133" s="1637"/>
      <c r="AL133" s="1637"/>
      <c r="AM133" s="1637"/>
      <c r="AN133" s="1637"/>
      <c r="AO133" s="1637"/>
      <c r="AP133" s="1637"/>
      <c r="AQ133" s="1637"/>
      <c r="AR133" s="1637"/>
      <c r="AS133" s="1637"/>
      <c r="AT133" s="1637"/>
      <c r="AU133" s="1637"/>
      <c r="AV133" s="1637"/>
      <c r="AW133" s="1637"/>
      <c r="AX133" s="1637"/>
      <c r="AY133" s="1637"/>
      <c r="AZ133" s="1637"/>
      <c r="BA133" s="1637"/>
      <c r="BB133" s="1637"/>
      <c r="BC133" s="1637"/>
      <c r="BD133" s="1637"/>
      <c r="BE133" s="1637"/>
      <c r="BF133" s="1637"/>
      <c r="BG133" s="1637"/>
      <c r="BH133" s="1637"/>
      <c r="BI133" s="1637"/>
      <c r="BJ133" s="1637"/>
      <c r="BK133" s="1637"/>
      <c r="BL133" s="1637"/>
      <c r="BM133" s="1637"/>
      <c r="BN133" s="1637"/>
      <c r="BO133" s="1637"/>
      <c r="BP133" s="1637"/>
      <c r="BQ133" s="1637"/>
      <c r="BR133" s="1637"/>
      <c r="BS133" s="1637"/>
      <c r="BT133" s="1637"/>
      <c r="BU133" s="1637"/>
      <c r="BV133" s="1637"/>
      <c r="BW133" s="1637"/>
      <c r="BX133" s="1637"/>
      <c r="BY133" s="1637"/>
      <c r="BZ133" s="1637"/>
      <c r="CA133" s="1637"/>
      <c r="CB133" s="1637"/>
      <c r="CC133" s="1637"/>
      <c r="CD133" s="1637"/>
      <c r="CE133" s="1637"/>
    </row>
    <row s="1317" customFormat="1" customHeight="1" ht="5.25" hidden="1">
      <c r="A134" s="1794"/>
      <c r="B134" s="1637"/>
      <c r="C134" s="1637"/>
      <c r="D134" s="2580"/>
      <c r="E134" s="636"/>
      <c r="F134" s="636"/>
      <c r="G134" s="636"/>
      <c r="H134" s="636"/>
      <c r="I134" s="636"/>
      <c r="J134" s="636"/>
      <c r="K134" s="636"/>
      <c r="L134" s="636"/>
      <c r="M134" s="636"/>
      <c r="N134" s="636"/>
      <c r="O134" s="636"/>
      <c r="P134" s="636"/>
      <c r="Q134" s="636"/>
      <c r="R134" s="636"/>
      <c r="S134" s="637"/>
      <c r="T134" s="719"/>
      <c r="U134" s="2375"/>
      <c r="V134" s="2375"/>
      <c r="W134" s="1637"/>
      <c r="X134" s="1637"/>
      <c r="Y134" s="1637"/>
      <c r="Z134" s="1637"/>
      <c r="AA134" s="1637"/>
      <c r="AB134" s="1637"/>
      <c r="AC134" s="1038"/>
      <c r="AD134" s="1039"/>
      <c r="AE134" s="1637"/>
      <c r="AF134" s="1637"/>
      <c r="AG134" s="1637"/>
      <c r="AH134" s="1637"/>
      <c r="AI134" s="1637"/>
      <c r="AJ134" s="1637"/>
      <c r="AK134" s="1637"/>
      <c r="AL134" s="1637"/>
      <c r="AM134" s="1637"/>
      <c r="AN134" s="1637"/>
      <c r="AO134" s="1637"/>
      <c r="AP134" s="1637"/>
      <c r="AQ134" s="1637"/>
      <c r="AR134" s="1637"/>
      <c r="AS134" s="1637"/>
      <c r="AT134" s="1637"/>
      <c r="AU134" s="1637"/>
      <c r="AV134" s="1637"/>
      <c r="AW134" s="1637"/>
      <c r="AX134" s="1637"/>
      <c r="AY134" s="1637"/>
      <c r="AZ134" s="1637"/>
      <c r="BA134" s="1637"/>
      <c r="BB134" s="1637"/>
      <c r="BC134" s="1637"/>
      <c r="BD134" s="1637"/>
      <c r="BE134" s="1637"/>
      <c r="BF134" s="1637"/>
      <c r="BG134" s="1637"/>
      <c r="BH134" s="1637"/>
      <c r="BI134" s="1637"/>
      <c r="BJ134" s="1637"/>
      <c r="BK134" s="1637"/>
      <c r="BL134" s="1637"/>
      <c r="BM134" s="1637"/>
      <c r="BN134" s="1637"/>
      <c r="BO134" s="1637"/>
      <c r="BP134" s="1637"/>
      <c r="BQ134" s="1637"/>
      <c r="BR134" s="1637"/>
      <c r="BS134" s="1637"/>
      <c r="BT134" s="1637"/>
      <c r="BU134" s="1637"/>
      <c r="BV134" s="1637"/>
      <c r="BW134" s="1637"/>
      <c r="BX134" s="1637"/>
      <c r="BY134" s="1637"/>
      <c r="BZ134" s="1637"/>
      <c r="CA134" s="1637"/>
      <c r="CB134" s="1637"/>
      <c r="CC134" s="1637"/>
      <c r="CD134" s="1637"/>
      <c r="CE134" s="1637"/>
    </row>
    <row s="1317" customFormat="1" customHeight="1" ht="5.25" hidden="1">
      <c r="A135" s="1794"/>
      <c r="B135" s="1637"/>
      <c r="C135" s="1637"/>
      <c r="D135" s="2581"/>
      <c r="E135" s="1044"/>
      <c r="F135" s="1045"/>
      <c r="G135" s="1045"/>
      <c r="H135" s="1046"/>
      <c r="I135" s="1046"/>
      <c r="J135" s="1046"/>
      <c r="K135" s="1046"/>
      <c r="L135" s="1046"/>
      <c r="M135" s="1046"/>
      <c r="N135" s="1046"/>
      <c r="O135" s="1046"/>
      <c r="P135" s="1046"/>
      <c r="Q135" s="1046"/>
      <c r="R135" s="947"/>
      <c r="S135" s="1047"/>
      <c r="T135" s="719"/>
      <c r="U135" s="2375"/>
      <c r="V135" s="2375"/>
      <c r="W135" s="1637"/>
      <c r="X135" s="1637"/>
      <c r="Y135" s="1637"/>
      <c r="Z135" s="1637"/>
      <c r="AA135" s="1637"/>
      <c r="AB135" s="1637"/>
      <c r="AC135" s="1038"/>
      <c r="AD135" s="1039"/>
      <c r="AE135" s="1637"/>
      <c r="AF135" s="1637"/>
      <c r="AG135" s="1637"/>
      <c r="AH135" s="1637"/>
      <c r="AI135" s="1637"/>
      <c r="AJ135" s="1637"/>
      <c r="AK135" s="1637"/>
      <c r="AL135" s="1637"/>
      <c r="AM135" s="1637"/>
      <c r="AN135" s="1637"/>
      <c r="AO135" s="1637"/>
      <c r="AP135" s="1637"/>
      <c r="AQ135" s="1637"/>
      <c r="AR135" s="1637"/>
      <c r="AS135" s="1637"/>
      <c r="AT135" s="1637"/>
      <c r="AU135" s="1637"/>
      <c r="AV135" s="1637"/>
      <c r="AW135" s="1637"/>
      <c r="AX135" s="1637"/>
      <c r="AY135" s="1637"/>
      <c r="AZ135" s="1637"/>
      <c r="BA135" s="1637"/>
      <c r="BB135" s="1637"/>
      <c r="BC135" s="1637"/>
      <c r="BD135" s="1637"/>
      <c r="BE135" s="1637"/>
      <c r="BF135" s="1637"/>
      <c r="BG135" s="1637"/>
      <c r="BH135" s="1637"/>
      <c r="BI135" s="1637"/>
      <c r="BJ135" s="1637"/>
      <c r="BK135" s="1637"/>
      <c r="BL135" s="1637"/>
      <c r="BM135" s="1637"/>
      <c r="BN135" s="1637"/>
      <c r="BO135" s="1637"/>
      <c r="BP135" s="1637"/>
      <c r="BQ135" s="1637"/>
      <c r="BR135" s="1637"/>
      <c r="BS135" s="1637"/>
      <c r="BT135" s="1637"/>
      <c r="BU135" s="1637"/>
      <c r="BV135" s="1637"/>
      <c r="BW135" s="1637"/>
      <c r="BX135" s="1637"/>
      <c r="BY135" s="1637"/>
      <c r="BZ135" s="1637"/>
      <c r="CA135" s="1637"/>
      <c r="CB135" s="1637"/>
      <c r="CC135" s="1637"/>
      <c r="CD135" s="1637"/>
      <c r="CE135" s="1637"/>
    </row>
    <row customHeight="1" ht="17.25">
      <c r="D136" s="1837"/>
    </row>
    <row s="1816" customFormat="1" customHeight="1" ht="11.25">
      <c r="A137" s="1816" t="s">
        <v>1950</v>
      </c>
    </row>
    <row r="139" s="1851" customFormat="1" customHeight="1" ht="45">
      <c r="A139" s="1807"/>
      <c r="B139" s="1161"/>
      <c r="C139" s="413"/>
      <c r="D139" s="90"/>
      <c r="E139" s="2573"/>
      <c r="F139" s="2109" t="s">
        <v>112</v>
      </c>
      <c r="G139" s="2576" t="s">
        <v>28</v>
      </c>
      <c r="H139" s="290"/>
      <c r="I139" s="638" t="s">
        <v>112</v>
      </c>
      <c r="J139" s="1808" t="s">
        <v>1951</v>
      </c>
      <c r="K139" s="639" t="s">
        <v>557</v>
      </c>
      <c r="L139" s="2225" t="s">
        <v>557</v>
      </c>
      <c r="M139" s="2578"/>
      <c r="N139" s="639" t="s">
        <v>557</v>
      </c>
      <c r="O139" s="639" t="s">
        <v>557</v>
      </c>
      <c r="P139" s="639" t="s">
        <v>557</v>
      </c>
      <c r="Q139" s="640">
        <f>SUM(Q140:Q142)</f>
        <v>0</v>
      </c>
      <c r="R139" s="640">
        <f>IF(R136=0,0,(Q136/R136)*100)</f>
        <v>0</v>
      </c>
      <c r="S139" s="2180"/>
      <c r="T139" s="718" t="s">
        <v>623</v>
      </c>
      <c r="U139" s="90"/>
      <c r="V139" s="90"/>
      <c r="AC139" s="90"/>
    </row>
    <row s="1851" customFormat="1" customHeight="1" ht="11.25">
      <c r="A140" s="1807"/>
      <c r="B140" s="1161"/>
      <c r="C140" s="413"/>
      <c r="D140" s="90"/>
      <c r="E140" s="2574"/>
      <c r="F140" s="2109"/>
      <c r="G140" s="2576"/>
      <c r="H140" s="2128"/>
      <c r="I140" s="2516" t="s">
        <v>1032</v>
      </c>
      <c r="J140" s="2570"/>
      <c r="K140" s="2571"/>
      <c r="L140" s="641"/>
      <c r="M140" s="642" t="s">
        <v>112</v>
      </c>
      <c r="N140" s="1796"/>
      <c r="O140" s="643"/>
      <c r="P140" s="644"/>
      <c r="Q140" s="643"/>
      <c r="R140" s="645">
        <v>0</v>
      </c>
      <c r="S140" s="2180"/>
      <c r="T140" s="718"/>
      <c r="U140" s="90"/>
      <c r="V140" s="90"/>
      <c r="AC140" s="90"/>
    </row>
    <row s="1851" customFormat="1" customHeight="1" ht="11.25">
      <c r="A141" s="1807"/>
      <c r="B141" s="1161"/>
      <c r="C141" s="413"/>
      <c r="D141" s="90"/>
      <c r="E141" s="2574"/>
      <c r="F141" s="2109"/>
      <c r="G141" s="2576"/>
      <c r="H141" s="2128"/>
      <c r="I141" s="2516"/>
      <c r="J141" s="2570"/>
      <c r="K141" s="2572"/>
      <c r="L141" s="646"/>
      <c r="M141" s="647"/>
      <c r="N141" s="648" t="s">
        <v>1952</v>
      </c>
      <c r="O141" s="648"/>
      <c r="P141" s="648"/>
      <c r="Q141" s="648"/>
      <c r="R141" s="649"/>
      <c r="S141" s="2180"/>
      <c r="T141" s="718"/>
      <c r="U141" s="90"/>
      <c r="V141" s="90"/>
      <c r="AC141" s="90"/>
    </row>
    <row s="1851" customFormat="1" customHeight="1" ht="11.25">
      <c r="A142" s="1807"/>
      <c r="B142" s="1161"/>
      <c r="C142" s="413"/>
      <c r="D142" s="90"/>
      <c r="E142" s="2575"/>
      <c r="F142" s="2109"/>
      <c r="G142" s="2577"/>
      <c r="H142" s="646" t="s">
        <v>28</v>
      </c>
      <c r="I142" s="647"/>
      <c r="J142" s="648" t="s">
        <v>1953</v>
      </c>
      <c r="K142" s="648"/>
      <c r="L142" s="648"/>
      <c r="M142" s="648"/>
      <c r="N142" s="648"/>
      <c r="O142" s="648"/>
      <c r="P142" s="648"/>
      <c r="Q142" s="648"/>
      <c r="R142" s="649"/>
      <c r="S142" s="2180"/>
      <c r="T142" s="718"/>
      <c r="U142" s="90"/>
      <c r="V142" s="90"/>
      <c r="AC142" s="90"/>
    </row>
    <row r="147" s="1851" customFormat="1" customHeight="1" ht="11.25">
      <c r="A147" s="1807"/>
      <c r="B147" s="1161"/>
      <c r="C147" s="413"/>
      <c r="D147" s="90"/>
      <c r="E147" s="1831"/>
      <c r="F147" s="1831"/>
      <c r="G147" s="1831"/>
      <c r="H147" s="2128"/>
      <c r="I147" s="2516" t="s">
        <v>1032</v>
      </c>
      <c r="J147" s="2570"/>
      <c r="K147" s="2571"/>
      <c r="L147" s="641"/>
      <c r="M147" s="642" t="s">
        <v>112</v>
      </c>
      <c r="N147" s="1796"/>
      <c r="O147" s="643"/>
      <c r="P147" s="644"/>
      <c r="Q147" s="643"/>
      <c r="R147" s="645">
        <v>0</v>
      </c>
      <c r="S147" s="90"/>
      <c r="T147" s="718"/>
      <c r="U147" s="90"/>
      <c r="V147" s="90"/>
      <c r="AC147" s="90"/>
    </row>
    <row s="1851" customFormat="1" customHeight="1" ht="11.25">
      <c r="A148" s="1807"/>
      <c r="B148" s="1161"/>
      <c r="C148" s="413"/>
      <c r="D148" s="90"/>
      <c r="E148" s="1831"/>
      <c r="F148" s="1831"/>
      <c r="G148" s="1831"/>
      <c r="H148" s="2128"/>
      <c r="I148" s="2516"/>
      <c r="J148" s="2570"/>
      <c r="K148" s="2572"/>
      <c r="L148" s="646"/>
      <c r="M148" s="647"/>
      <c r="N148" s="648" t="s">
        <v>1952</v>
      </c>
      <c r="O148" s="648"/>
      <c r="P148" s="648"/>
      <c r="Q148" s="648"/>
      <c r="R148" s="649"/>
      <c r="S148" s="90"/>
      <c r="T148" s="718"/>
      <c r="U148" s="90"/>
      <c r="V148" s="90"/>
      <c r="AC148" s="90"/>
    </row>
    <row r="150" s="1851" customFormat="1" customHeight="1" ht="11.25">
      <c r="A150" s="1807"/>
      <c r="B150" s="1161"/>
      <c r="C150" s="413"/>
      <c r="D150" s="90"/>
      <c r="E150" s="1838"/>
      <c r="F150" s="1836"/>
      <c r="G150" s="1836"/>
      <c r="H150" s="1839"/>
      <c r="I150" s="1831"/>
      <c r="J150" s="1832"/>
      <c r="K150" s="1832"/>
      <c r="L150" s="641"/>
      <c r="M150" s="642" t="s">
        <v>112</v>
      </c>
      <c r="N150" s="1796"/>
      <c r="O150" s="643"/>
      <c r="P150" s="644"/>
      <c r="Q150" s="643"/>
      <c r="R150" s="645">
        <v>0</v>
      </c>
      <c r="S150" s="90"/>
      <c r="T150" s="718"/>
      <c r="U150" s="90"/>
      <c r="V150" s="90"/>
      <c r="AC150" s="90"/>
    </row>
    <row r="152" s="1816" customFormat="1" customHeight="1" ht="17.25">
      <c r="A152" s="1816" t="s">
        <v>1954</v>
      </c>
    </row>
    <row customHeight="1" ht="17.25">
      <c r="G153" s="1840"/>
      <c r="H153" s="1840"/>
      <c r="I153" s="1840"/>
      <c r="M153" s="1836"/>
    </row>
    <row s="1854" customFormat="1" customHeight="1" ht="17.25">
      <c r="A154" s="1841"/>
      <c r="C154" s="1843"/>
      <c r="D154" s="2530"/>
      <c r="E154" s="2144"/>
      <c r="F154" s="2146"/>
      <c r="G154" s="2532"/>
      <c r="H154" s="2530"/>
      <c r="I154" s="2530">
        <v>1</v>
      </c>
      <c r="J154" s="2502"/>
      <c r="K154" s="2186" t="s">
        <v>63</v>
      </c>
      <c r="L154" s="2109"/>
      <c r="M154" s="2109" t="s">
        <v>112</v>
      </c>
      <c r="N154" s="2505" t="str">
        <f>IF(Z154="","",INDEX(TERRITORY_MR_LIST,MATCH(Z154,TERRITORY_LIST_ID,0)))</f>
        <v/>
      </c>
      <c r="O154" s="2186" t="s">
        <v>63</v>
      </c>
      <c r="P154" s="2109"/>
      <c r="Q154" s="2109" t="s">
        <v>112</v>
      </c>
      <c r="R154" s="2503" t="s">
        <v>28</v>
      </c>
      <c r="S154" s="2108" t="s">
        <v>63</v>
      </c>
      <c r="T154" s="1812"/>
      <c r="U154" s="1812" t="s">
        <v>112</v>
      </c>
      <c r="V154" s="1844" t="s">
        <v>28</v>
      </c>
      <c r="W154" s="1802"/>
      <c r="Y154" s="1268"/>
      <c r="Z154" s="1268"/>
      <c r="AA154" s="1268"/>
      <c r="AB154" s="1268"/>
      <c r="AC154" s="1268"/>
      <c r="AD154" s="1268"/>
      <c r="AE154" s="1268"/>
      <c r="AF154" s="1268"/>
      <c r="AG154" s="1268"/>
      <c r="AH154" s="1268"/>
      <c r="AI154" s="1268"/>
      <c r="AJ154" s="1268"/>
      <c r="AK154" s="1268"/>
      <c r="AL154" s="1845"/>
      <c r="AM154" s="1845"/>
      <c r="AN154" s="1268"/>
      <c r="AO154" s="1268"/>
      <c r="AP154" s="1268"/>
      <c r="AQ154" s="1268"/>
    </row>
    <row s="1854" customFormat="1" customHeight="1" ht="17.25">
      <c r="A155" s="1841"/>
      <c r="C155" s="1846"/>
      <c r="D155" s="2530"/>
      <c r="E155" s="2144"/>
      <c r="F155" s="2147"/>
      <c r="G155" s="2532"/>
      <c r="H155" s="2530"/>
      <c r="I155" s="2530"/>
      <c r="J155" s="2502"/>
      <c r="K155" s="2187"/>
      <c r="L155" s="2109"/>
      <c r="M155" s="2109"/>
      <c r="N155" s="2505"/>
      <c r="O155" s="2187"/>
      <c r="P155" s="2109"/>
      <c r="Q155" s="2109"/>
      <c r="R155" s="2503"/>
      <c r="S155" s="2108"/>
      <c r="T155" s="318"/>
      <c r="U155" s="319"/>
      <c r="V155" s="319" t="s">
        <v>426</v>
      </c>
      <c r="W155" s="320"/>
      <c r="Y155" s="1260"/>
      <c r="Z155" s="1260"/>
      <c r="AA155" s="1260"/>
      <c r="AB155" s="1260"/>
      <c r="AC155" s="1260"/>
      <c r="AD155" s="1260"/>
      <c r="AE155" s="1260"/>
      <c r="AF155" s="1260"/>
      <c r="AG155" s="1260"/>
      <c r="AH155" s="1260"/>
      <c r="AI155" s="1260"/>
      <c r="AJ155" s="1260"/>
      <c r="AK155" s="1260"/>
    </row>
    <row s="1854" customFormat="1" customHeight="1" ht="17.25">
      <c r="A156" s="1841"/>
      <c r="C156" s="1846"/>
      <c r="D156" s="2504"/>
      <c r="E156" s="2531"/>
      <c r="F156" s="2147"/>
      <c r="G156" s="2533"/>
      <c r="H156" s="2504"/>
      <c r="I156" s="2504"/>
      <c r="J156" s="2534"/>
      <c r="K156" s="2187"/>
      <c r="L156" s="2504"/>
      <c r="M156" s="2504"/>
      <c r="N156" s="2506"/>
      <c r="O156" s="2113"/>
      <c r="P156" s="318"/>
      <c r="Q156" s="319"/>
      <c r="R156" s="319" t="s">
        <v>232</v>
      </c>
      <c r="S156" s="1847"/>
      <c r="T156" s="1847"/>
      <c r="U156" s="1847"/>
      <c r="V156" s="1847"/>
      <c r="W156" s="320"/>
      <c r="Y156" s="1260"/>
      <c r="Z156" s="1260"/>
      <c r="AA156" s="1260"/>
      <c r="AB156" s="1260"/>
      <c r="AC156" s="1260"/>
      <c r="AD156" s="1260"/>
      <c r="AE156" s="1260"/>
      <c r="AF156" s="1260"/>
      <c r="AG156" s="1260"/>
      <c r="AH156" s="1260"/>
      <c r="AI156" s="1260"/>
      <c r="AJ156" s="1260"/>
      <c r="AK156" s="1260"/>
    </row>
    <row s="1854" customFormat="1" customHeight="1" ht="17.25">
      <c r="A157" s="1841"/>
      <c r="C157" s="1846"/>
      <c r="D157" s="2504"/>
      <c r="E157" s="2531"/>
      <c r="F157" s="2147"/>
      <c r="G157" s="2533"/>
      <c r="H157" s="2504"/>
      <c r="I157" s="2504"/>
      <c r="J157" s="2534"/>
      <c r="K157" s="2113"/>
      <c r="L157" s="318"/>
      <c r="M157" s="319"/>
      <c r="N157" s="319" t="s">
        <v>233</v>
      </c>
      <c r="O157" s="319"/>
      <c r="P157" s="319"/>
      <c r="Q157" s="319"/>
      <c r="R157" s="319"/>
      <c r="S157" s="1847"/>
      <c r="T157" s="1847"/>
      <c r="U157" s="1847"/>
      <c r="V157" s="1847"/>
      <c r="W157" s="320"/>
      <c r="Y157" s="1260"/>
      <c r="Z157" s="1260"/>
      <c r="AA157" s="1260"/>
      <c r="AB157" s="1260"/>
      <c r="AC157" s="1260"/>
      <c r="AD157" s="1260"/>
      <c r="AE157" s="1260"/>
      <c r="AF157" s="1260"/>
      <c r="AG157" s="1260"/>
      <c r="AH157" s="1260"/>
      <c r="AI157" s="1260"/>
      <c r="AJ157" s="1260"/>
      <c r="AK157" s="1260"/>
    </row>
    <row s="1854" customFormat="1" customHeight="1" ht="17.25">
      <c r="A158" s="1841"/>
      <c r="C158" s="1846"/>
      <c r="D158" s="2504"/>
      <c r="E158" s="2531"/>
      <c r="F158" s="2148"/>
      <c r="G158" s="2533"/>
      <c r="H158" s="318"/>
      <c r="I158" s="319"/>
      <c r="J158" s="319" t="s">
        <v>240</v>
      </c>
      <c r="K158" s="319"/>
      <c r="L158" s="319"/>
      <c r="M158" s="319"/>
      <c r="N158" s="319"/>
      <c r="O158" s="319"/>
      <c r="P158" s="319"/>
      <c r="Q158" s="319"/>
      <c r="R158" s="319"/>
      <c r="S158" s="1847"/>
      <c r="T158" s="1847"/>
      <c r="U158" s="1847"/>
      <c r="V158" s="1847"/>
      <c r="W158" s="320"/>
      <c r="Y158" s="1260"/>
      <c r="Z158" s="1260"/>
      <c r="AA158" s="1260"/>
      <c r="AB158" s="1260"/>
      <c r="AC158" s="1260"/>
      <c r="AD158" s="1260"/>
      <c r="AE158" s="1260"/>
      <c r="AF158" s="1260"/>
      <c r="AG158" s="1260"/>
      <c r="AH158" s="1260"/>
      <c r="AI158" s="1260"/>
      <c r="AJ158" s="1260"/>
      <c r="AK158" s="1260"/>
    </row>
    <row customHeight="1" ht="17.25">
      <c r="G159" s="1840"/>
      <c r="H159" s="1840"/>
      <c r="I159" s="1840"/>
      <c r="M159" s="1836"/>
    </row>
    <row s="1854" customFormat="1" customHeight="1" ht="17.25">
      <c r="A160" s="1841"/>
      <c r="C160" s="1843"/>
      <c r="D160" s="1831"/>
      <c r="E160" s="1848"/>
      <c r="F160" s="1785"/>
      <c r="G160" s="1849"/>
      <c r="H160" s="2530"/>
      <c r="I160" s="2530">
        <v>1</v>
      </c>
      <c r="J160" s="2502"/>
      <c r="K160" s="2186" t="s">
        <v>63</v>
      </c>
      <c r="L160" s="2109"/>
      <c r="M160" s="2109" t="s">
        <v>112</v>
      </c>
      <c r="N160" s="2505" t="str">
        <f>IF(Z160="","",INDEX(TERRITORY_MR_LIST,MATCH(Z160,TERRITORY_LIST_ID,0)))</f>
        <v/>
      </c>
      <c r="O160" s="2186" t="s">
        <v>63</v>
      </c>
      <c r="P160" s="2109"/>
      <c r="Q160" s="2109" t="s">
        <v>112</v>
      </c>
      <c r="R160" s="2503" t="s">
        <v>28</v>
      </c>
      <c r="S160" s="2108" t="s">
        <v>63</v>
      </c>
      <c r="T160" s="1812"/>
      <c r="U160" s="1812" t="s">
        <v>112</v>
      </c>
      <c r="V160" s="1844" t="s">
        <v>28</v>
      </c>
      <c r="W160" s="1802"/>
      <c r="Y160" s="1268"/>
      <c r="Z160" s="1268"/>
      <c r="AA160" s="1268"/>
      <c r="AB160" s="1268"/>
      <c r="AC160" s="1268"/>
      <c r="AD160" s="1268"/>
      <c r="AE160" s="1268"/>
      <c r="AF160" s="1268"/>
      <c r="AG160" s="1268"/>
      <c r="AH160" s="1268"/>
      <c r="AI160" s="1268"/>
      <c r="AJ160" s="1268"/>
      <c r="AK160" s="1268"/>
      <c r="AL160" s="1845"/>
      <c r="AM160" s="1845"/>
      <c r="AN160" s="1268"/>
      <c r="AO160" s="1268"/>
      <c r="AP160" s="1268"/>
      <c r="AQ160" s="1268"/>
    </row>
    <row s="1854" customFormat="1" customHeight="1" ht="17.25">
      <c r="A161" s="1841"/>
      <c r="C161" s="1846"/>
      <c r="D161" s="1831"/>
      <c r="E161" s="1848"/>
      <c r="F161" s="1785"/>
      <c r="G161" s="1849"/>
      <c r="H161" s="2530"/>
      <c r="I161" s="2530"/>
      <c r="J161" s="2502"/>
      <c r="K161" s="2187"/>
      <c r="L161" s="2109"/>
      <c r="M161" s="2109"/>
      <c r="N161" s="2505"/>
      <c r="O161" s="2187"/>
      <c r="P161" s="2109"/>
      <c r="Q161" s="2109"/>
      <c r="R161" s="2503"/>
      <c r="S161" s="2108"/>
      <c r="T161" s="318"/>
      <c r="U161" s="319"/>
      <c r="V161" s="319" t="s">
        <v>426</v>
      </c>
      <c r="W161" s="320"/>
      <c r="Y161" s="1260"/>
      <c r="Z161" s="1260"/>
      <c r="AA161" s="1260"/>
      <c r="AB161" s="1260"/>
      <c r="AC161" s="1260"/>
      <c r="AD161" s="1260"/>
      <c r="AE161" s="1260"/>
      <c r="AF161" s="1260"/>
      <c r="AG161" s="1260"/>
      <c r="AH161" s="1260"/>
      <c r="AI161" s="1260"/>
      <c r="AJ161" s="1260"/>
      <c r="AK161" s="1260"/>
    </row>
    <row s="1854" customFormat="1" customHeight="1" ht="17.25">
      <c r="A162" s="1841"/>
      <c r="C162" s="1846"/>
      <c r="D162" s="1831"/>
      <c r="E162" s="1848"/>
      <c r="F162" s="1785"/>
      <c r="G162" s="1849"/>
      <c r="H162" s="2504"/>
      <c r="I162" s="2504"/>
      <c r="J162" s="2534"/>
      <c r="K162" s="2187"/>
      <c r="L162" s="2504"/>
      <c r="M162" s="2504"/>
      <c r="N162" s="2506"/>
      <c r="O162" s="2113"/>
      <c r="P162" s="318"/>
      <c r="Q162" s="319"/>
      <c r="R162" s="319" t="s">
        <v>232</v>
      </c>
      <c r="S162" s="1847"/>
      <c r="T162" s="1847"/>
      <c r="U162" s="1847"/>
      <c r="V162" s="1847"/>
      <c r="W162" s="320"/>
      <c r="Y162" s="1260"/>
      <c r="Z162" s="1260"/>
      <c r="AA162" s="1260"/>
      <c r="AB162" s="1260"/>
      <c r="AC162" s="1260"/>
      <c r="AD162" s="1260"/>
      <c r="AE162" s="1260"/>
      <c r="AF162" s="1260"/>
      <c r="AG162" s="1260"/>
      <c r="AH162" s="1260"/>
      <c r="AI162" s="1260"/>
      <c r="AJ162" s="1260"/>
      <c r="AK162" s="1260"/>
    </row>
    <row s="1854" customFormat="1" customHeight="1" ht="17.25">
      <c r="A163" s="1841"/>
      <c r="C163" s="1846"/>
      <c r="D163" s="1831"/>
      <c r="E163" s="1848"/>
      <c r="F163" s="1785"/>
      <c r="G163" s="1849"/>
      <c r="H163" s="2504"/>
      <c r="I163" s="2504"/>
      <c r="J163" s="2534"/>
      <c r="K163" s="2113"/>
      <c r="L163" s="318"/>
      <c r="M163" s="319"/>
      <c r="N163" s="319" t="s">
        <v>233</v>
      </c>
      <c r="O163" s="319"/>
      <c r="P163" s="319"/>
      <c r="Q163" s="319"/>
      <c r="R163" s="319"/>
      <c r="S163" s="1847"/>
      <c r="T163" s="1847"/>
      <c r="U163" s="1847"/>
      <c r="V163" s="1847"/>
      <c r="W163" s="320"/>
      <c r="Y163" s="1260"/>
      <c r="Z163" s="1260"/>
      <c r="AA163" s="1260"/>
      <c r="AB163" s="1260"/>
      <c r="AC163" s="1260"/>
      <c r="AD163" s="1260"/>
      <c r="AE163" s="1260"/>
      <c r="AF163" s="1260"/>
      <c r="AG163" s="1260"/>
      <c r="AH163" s="1260"/>
      <c r="AI163" s="1260"/>
      <c r="AJ163" s="1260"/>
      <c r="AK163" s="1260"/>
    </row>
    <row customHeight="1" ht="17.25">
      <c r="G164" s="1840"/>
      <c r="H164" s="1840"/>
      <c r="I164" s="1840"/>
      <c r="M164" s="1836"/>
    </row>
    <row s="1854" customFormat="1" customHeight="1" ht="17.25">
      <c r="A165" s="1841"/>
      <c r="C165" s="1843"/>
      <c r="D165" s="1831"/>
      <c r="E165" s="1848"/>
      <c r="F165" s="1785"/>
      <c r="G165" s="1849"/>
      <c r="H165" s="1831"/>
      <c r="I165" s="1831"/>
      <c r="J165" s="1850"/>
      <c r="K165" s="1761"/>
      <c r="L165" s="2109"/>
      <c r="M165" s="2109" t="s">
        <v>112</v>
      </c>
      <c r="N165" s="2505" t="str">
        <f>IF(Z165="","",INDEX(TERRITORY_MR_LIST,MATCH(Z165,TERRITORY_LIST_ID,0)))</f>
        <v/>
      </c>
      <c r="O165" s="2186" t="s">
        <v>63</v>
      </c>
      <c r="P165" s="2109"/>
      <c r="Q165" s="2109" t="s">
        <v>112</v>
      </c>
      <c r="R165" s="2503" t="s">
        <v>28</v>
      </c>
      <c r="S165" s="2108" t="s">
        <v>63</v>
      </c>
      <c r="T165" s="1812"/>
      <c r="U165" s="1812" t="s">
        <v>112</v>
      </c>
      <c r="V165" s="1844" t="s">
        <v>28</v>
      </c>
      <c r="W165" s="1802"/>
      <c r="Y165" s="1268"/>
      <c r="Z165" s="1268"/>
      <c r="AA165" s="1268"/>
      <c r="AB165" s="1268"/>
      <c r="AC165" s="1268"/>
      <c r="AD165" s="1268"/>
      <c r="AE165" s="1268"/>
      <c r="AF165" s="1268"/>
      <c r="AG165" s="1268"/>
      <c r="AH165" s="1268"/>
      <c r="AI165" s="1268"/>
      <c r="AJ165" s="1268"/>
      <c r="AK165" s="1268"/>
      <c r="AL165" s="1845"/>
      <c r="AM165" s="1845"/>
      <c r="AN165" s="1268"/>
      <c r="AO165" s="1268"/>
      <c r="AP165" s="1268"/>
      <c r="AQ165" s="1268"/>
    </row>
    <row s="1854" customFormat="1" customHeight="1" ht="17.25">
      <c r="A166" s="1841"/>
      <c r="C166" s="1846"/>
      <c r="D166" s="1831"/>
      <c r="E166" s="1848"/>
      <c r="F166" s="1785"/>
      <c r="G166" s="1849"/>
      <c r="H166" s="1831"/>
      <c r="I166" s="1831"/>
      <c r="J166" s="1850"/>
      <c r="K166" s="1761"/>
      <c r="L166" s="2109"/>
      <c r="M166" s="2109"/>
      <c r="N166" s="2505"/>
      <c r="O166" s="2187"/>
      <c r="P166" s="2109"/>
      <c r="Q166" s="2109"/>
      <c r="R166" s="2503"/>
      <c r="S166" s="2108"/>
      <c r="T166" s="318"/>
      <c r="U166" s="319"/>
      <c r="V166" s="319" t="s">
        <v>426</v>
      </c>
      <c r="W166" s="320"/>
      <c r="Y166" s="1260"/>
      <c r="Z166" s="1260"/>
      <c r="AA166" s="1260"/>
      <c r="AB166" s="1260"/>
      <c r="AC166" s="1260"/>
      <c r="AD166" s="1260"/>
      <c r="AE166" s="1260"/>
      <c r="AF166" s="1260"/>
      <c r="AG166" s="1260"/>
      <c r="AH166" s="1260"/>
      <c r="AI166" s="1260"/>
      <c r="AJ166" s="1260"/>
      <c r="AK166" s="1260"/>
    </row>
    <row s="1854" customFormat="1" customHeight="1" ht="17.25">
      <c r="A167" s="1841"/>
      <c r="C167" s="1846"/>
      <c r="D167" s="1831"/>
      <c r="E167" s="1848"/>
      <c r="F167" s="1785"/>
      <c r="G167" s="1849"/>
      <c r="H167" s="1831"/>
      <c r="I167" s="1831"/>
      <c r="J167" s="1850"/>
      <c r="K167" s="1761"/>
      <c r="L167" s="2504"/>
      <c r="M167" s="2504"/>
      <c r="N167" s="2506"/>
      <c r="O167" s="2113"/>
      <c r="P167" s="318"/>
      <c r="Q167" s="319"/>
      <c r="R167" s="319" t="s">
        <v>232</v>
      </c>
      <c r="S167" s="1847"/>
      <c r="T167" s="1847"/>
      <c r="U167" s="1847"/>
      <c r="V167" s="1847"/>
      <c r="W167" s="320"/>
      <c r="Y167" s="1260"/>
      <c r="Z167" s="1260"/>
      <c r="AA167" s="1260"/>
      <c r="AB167" s="1260"/>
      <c r="AC167" s="1260"/>
      <c r="AD167" s="1260"/>
      <c r="AE167" s="1260"/>
      <c r="AF167" s="1260"/>
      <c r="AG167" s="1260"/>
      <c r="AH167" s="1260"/>
      <c r="AI167" s="1260"/>
      <c r="AJ167" s="1260"/>
      <c r="AK167" s="1260"/>
    </row>
    <row customHeight="1" ht="17.25">
      <c r="G168" s="1840"/>
      <c r="H168" s="1840"/>
      <c r="I168" s="1840"/>
      <c r="M168" s="1836"/>
    </row>
    <row s="1854" customFormat="1" customHeight="1" ht="17.25">
      <c r="A169" s="1841"/>
      <c r="C169" s="1843"/>
      <c r="D169" s="1831"/>
      <c r="E169" s="1848"/>
      <c r="F169" s="1785"/>
      <c r="G169" s="1849"/>
      <c r="H169" s="1831"/>
      <c r="I169" s="1831"/>
      <c r="J169" s="1850"/>
      <c r="K169" s="1761"/>
      <c r="L169" s="1757"/>
      <c r="M169" s="1757"/>
      <c r="N169" s="2049"/>
      <c r="O169" s="1788"/>
      <c r="P169" s="2109"/>
      <c r="Q169" s="2109" t="s">
        <v>112</v>
      </c>
      <c r="R169" s="2503" t="s">
        <v>28</v>
      </c>
      <c r="S169" s="2108" t="s">
        <v>63</v>
      </c>
      <c r="T169" s="1812"/>
      <c r="U169" s="1812" t="s">
        <v>112</v>
      </c>
      <c r="V169" s="1844" t="s">
        <v>28</v>
      </c>
      <c r="W169" s="1802"/>
      <c r="Y169" s="1268"/>
      <c r="Z169" s="1268"/>
      <c r="AA169" s="1268"/>
      <c r="AB169" s="1268"/>
      <c r="AC169" s="1268"/>
      <c r="AD169" s="1268"/>
      <c r="AE169" s="1268"/>
      <c r="AF169" s="1268"/>
      <c r="AG169" s="1268"/>
      <c r="AH169" s="1268"/>
      <c r="AI169" s="1268"/>
      <c r="AJ169" s="1268"/>
      <c r="AK169" s="1268"/>
      <c r="AL169" s="1845"/>
      <c r="AM169" s="1845"/>
      <c r="AN169" s="1268"/>
      <c r="AO169" s="1268"/>
      <c r="AP169" s="1268"/>
      <c r="AQ169" s="1268"/>
    </row>
    <row s="1854" customFormat="1" customHeight="1" ht="17.25">
      <c r="A170" s="1841"/>
      <c r="C170" s="1846"/>
      <c r="D170" s="1831"/>
      <c r="E170" s="1848"/>
      <c r="F170" s="1785"/>
      <c r="G170" s="1849"/>
      <c r="H170" s="1831"/>
      <c r="I170" s="1831"/>
      <c r="J170" s="1850"/>
      <c r="K170" s="1761"/>
      <c r="L170" s="1757"/>
      <c r="M170" s="1757"/>
      <c r="N170" s="2049"/>
      <c r="O170" s="1788"/>
      <c r="P170" s="2109"/>
      <c r="Q170" s="2109"/>
      <c r="R170" s="2503"/>
      <c r="S170" s="2108"/>
      <c r="T170" s="318"/>
      <c r="U170" s="319"/>
      <c r="V170" s="319" t="s">
        <v>426</v>
      </c>
      <c r="W170" s="320"/>
      <c r="Y170" s="1260"/>
      <c r="Z170" s="1260"/>
      <c r="AA170" s="1260"/>
      <c r="AB170" s="1260"/>
      <c r="AC170" s="1260"/>
      <c r="AD170" s="1260"/>
      <c r="AE170" s="1260"/>
      <c r="AF170" s="1260"/>
      <c r="AG170" s="1260"/>
      <c r="AH170" s="1260"/>
      <c r="AI170" s="1260"/>
      <c r="AJ170" s="1260"/>
      <c r="AK170" s="1260"/>
    </row>
    <row customHeight="1" ht="17.25">
      <c r="G171" s="1840"/>
      <c r="H171" s="1840"/>
      <c r="I171" s="1840"/>
      <c r="M171" s="1836"/>
    </row>
    <row s="1854" customFormat="1" customHeight="1" ht="17.25">
      <c r="A172" s="1841"/>
      <c r="C172" s="1843"/>
      <c r="D172" s="1831"/>
      <c r="E172" s="1848"/>
      <c r="F172" s="1785"/>
      <c r="G172" s="1849"/>
      <c r="H172" s="1757"/>
      <c r="I172" s="1757"/>
      <c r="J172" s="1758"/>
      <c r="K172" s="1849"/>
      <c r="L172" s="1757"/>
      <c r="M172" s="1757"/>
      <c r="N172" s="1849"/>
      <c r="O172" s="1849"/>
      <c r="P172" s="1757"/>
      <c r="Q172" s="1757"/>
      <c r="R172" s="1759"/>
      <c r="S172" s="1849"/>
      <c r="T172" s="1812"/>
      <c r="U172" s="1812" t="s">
        <v>112</v>
      </c>
      <c r="V172" s="1844" t="s">
        <v>28</v>
      </c>
      <c r="W172" s="1802"/>
      <c r="Y172" s="1268"/>
      <c r="Z172" s="1268"/>
      <c r="AA172" s="1268"/>
      <c r="AB172" s="1268"/>
      <c r="AC172" s="1268"/>
      <c r="AD172" s="1268"/>
      <c r="AE172" s="1268"/>
      <c r="AF172" s="1268"/>
      <c r="AG172" s="1268"/>
      <c r="AH172" s="1268"/>
      <c r="AI172" s="1268"/>
      <c r="AJ172" s="1268"/>
      <c r="AK172" s="1268"/>
      <c r="AL172" s="1845"/>
      <c r="AM172" s="1845"/>
      <c r="AN172" s="1268"/>
      <c r="AO172" s="1268"/>
      <c r="AP172" s="1268"/>
      <c r="AQ172" s="1268"/>
    </row>
    <row r="174" s="1816" customFormat="1" customHeight="1" ht="17.25">
      <c r="A174" s="1816" t="s">
        <v>1955</v>
      </c>
    </row>
    <row customHeight="1" ht="17.25">
      <c r="G175" s="1840"/>
      <c r="H175" s="1840"/>
      <c r="I175" s="1840"/>
      <c r="M175" s="1836"/>
    </row>
    <row s="1854" customFormat="1" customHeight="1" ht="17.25">
      <c r="A176" s="1841"/>
      <c r="C176" s="1843"/>
      <c r="D176" s="2530"/>
      <c r="E176" s="2144"/>
      <c r="F176" s="2146"/>
      <c r="G176" s="2532"/>
      <c r="H176" s="2530"/>
      <c r="I176" s="2530">
        <v>1</v>
      </c>
      <c r="J176" s="2502"/>
      <c r="K176" s="2186" t="s">
        <v>63</v>
      </c>
      <c r="L176" s="2109"/>
      <c r="M176" s="2109" t="s">
        <v>112</v>
      </c>
      <c r="N176" s="2505" t="str">
        <f>IF(Z176="","",INDEX(TERRITORY_MR_LIST,MATCH(Z176,TERRITORY_LIST_ID,0)))</f>
        <v/>
      </c>
      <c r="O176" s="2186" t="s">
        <v>63</v>
      </c>
      <c r="P176" s="2109"/>
      <c r="Q176" s="2109" t="s">
        <v>112</v>
      </c>
      <c r="R176" s="2503" t="s">
        <v>28</v>
      </c>
      <c r="S176" s="2407" t="s">
        <v>19</v>
      </c>
      <c r="T176" s="1803"/>
      <c r="U176" s="1803" t="s">
        <v>112</v>
      </c>
      <c r="V176" s="1435"/>
      <c r="W176" s="2502"/>
      <c r="Y176" s="1268"/>
      <c r="Z176" s="1268"/>
      <c r="AA176" s="1268"/>
      <c r="AB176" s="1268"/>
      <c r="AC176" s="1268"/>
      <c r="AD176" s="1268"/>
      <c r="AE176" s="1268"/>
      <c r="AF176" s="1268"/>
      <c r="AG176" s="1268"/>
      <c r="AH176" s="1268"/>
      <c r="AI176" s="1268"/>
      <c r="AJ176" s="1268"/>
      <c r="AK176" s="1268"/>
      <c r="AL176" s="1845"/>
      <c r="AM176" s="1845"/>
      <c r="AN176" s="1268"/>
      <c r="AO176" s="1268"/>
      <c r="AP176" s="1268"/>
      <c r="AQ176" s="1268"/>
    </row>
    <row s="1854" customFormat="1" customHeight="1" ht="17.25">
      <c r="A177" s="1841"/>
      <c r="C177" s="1846"/>
      <c r="D177" s="2530"/>
      <c r="E177" s="2144"/>
      <c r="F177" s="2147"/>
      <c r="G177" s="2532"/>
      <c r="H177" s="2530"/>
      <c r="I177" s="2530"/>
      <c r="J177" s="2502"/>
      <c r="K177" s="2187"/>
      <c r="L177" s="2109"/>
      <c r="M177" s="2109"/>
      <c r="N177" s="2505"/>
      <c r="O177" s="2187"/>
      <c r="P177" s="2109"/>
      <c r="Q177" s="2109"/>
      <c r="R177" s="2503"/>
      <c r="S177" s="2407"/>
      <c r="T177" s="1436"/>
      <c r="U177" s="1437"/>
      <c r="V177" s="1437"/>
      <c r="W177" s="2502"/>
      <c r="Y177" s="1260"/>
      <c r="Z177" s="1260"/>
      <c r="AA177" s="1260"/>
      <c r="AB177" s="1260"/>
      <c r="AC177" s="1260"/>
      <c r="AD177" s="1260"/>
      <c r="AE177" s="1260"/>
      <c r="AF177" s="1260"/>
      <c r="AG177" s="1260"/>
      <c r="AH177" s="1260"/>
      <c r="AI177" s="1260"/>
      <c r="AJ177" s="1260"/>
      <c r="AK177" s="1260"/>
    </row>
    <row s="1854" customFormat="1" customHeight="1" ht="17.25">
      <c r="A178" s="1841"/>
      <c r="C178" s="1846"/>
      <c r="D178" s="2504"/>
      <c r="E178" s="2531"/>
      <c r="F178" s="2147"/>
      <c r="G178" s="2533"/>
      <c r="H178" s="2504"/>
      <c r="I178" s="2504"/>
      <c r="J178" s="2534"/>
      <c r="K178" s="2187"/>
      <c r="L178" s="2504"/>
      <c r="M178" s="2504"/>
      <c r="N178" s="2506"/>
      <c r="O178" s="2113"/>
      <c r="P178" s="318"/>
      <c r="Q178" s="319"/>
      <c r="R178" s="319" t="s">
        <v>232</v>
      </c>
      <c r="S178" s="1847"/>
      <c r="T178" s="1847"/>
      <c r="U178" s="1847"/>
      <c r="V178" s="1847"/>
      <c r="W178" s="1434"/>
      <c r="Y178" s="1260"/>
      <c r="Z178" s="1260"/>
      <c r="AA178" s="1260"/>
      <c r="AB178" s="1260"/>
      <c r="AC178" s="1260"/>
      <c r="AD178" s="1260"/>
      <c r="AE178" s="1260"/>
      <c r="AF178" s="1260"/>
      <c r="AG178" s="1260"/>
      <c r="AH178" s="1260"/>
      <c r="AI178" s="1260"/>
      <c r="AJ178" s="1260"/>
      <c r="AK178" s="1260"/>
    </row>
    <row s="1854" customFormat="1" customHeight="1" ht="17.25">
      <c r="A179" s="1841"/>
      <c r="C179" s="1846"/>
      <c r="D179" s="2504"/>
      <c r="E179" s="2531"/>
      <c r="F179" s="2147"/>
      <c r="G179" s="2533"/>
      <c r="H179" s="2504"/>
      <c r="I179" s="2504"/>
      <c r="J179" s="2534"/>
      <c r="K179" s="2113"/>
      <c r="L179" s="318"/>
      <c r="M179" s="319"/>
      <c r="N179" s="319" t="s">
        <v>233</v>
      </c>
      <c r="O179" s="319"/>
      <c r="P179" s="319"/>
      <c r="Q179" s="319"/>
      <c r="R179" s="319"/>
      <c r="S179" s="1847"/>
      <c r="T179" s="1847"/>
      <c r="U179" s="1847"/>
      <c r="V179" s="1847"/>
      <c r="W179" s="320"/>
      <c r="Y179" s="1260"/>
      <c r="Z179" s="1260"/>
      <c r="AA179" s="1260"/>
      <c r="AB179" s="1260"/>
      <c r="AC179" s="1260"/>
      <c r="AD179" s="1260"/>
      <c r="AE179" s="1260"/>
      <c r="AF179" s="1260"/>
      <c r="AG179" s="1260"/>
      <c r="AH179" s="1260"/>
      <c r="AI179" s="1260"/>
      <c r="AJ179" s="1260"/>
      <c r="AK179" s="1260"/>
    </row>
    <row s="1854" customFormat="1" customHeight="1" ht="17.25">
      <c r="A180" s="1841"/>
      <c r="C180" s="1846"/>
      <c r="D180" s="2504"/>
      <c r="E180" s="2531"/>
      <c r="F180" s="2148"/>
      <c r="G180" s="2533"/>
      <c r="H180" s="318"/>
      <c r="I180" s="319"/>
      <c r="J180" s="319" t="s">
        <v>240</v>
      </c>
      <c r="K180" s="319"/>
      <c r="L180" s="319"/>
      <c r="M180" s="319"/>
      <c r="N180" s="319"/>
      <c r="O180" s="319"/>
      <c r="P180" s="319"/>
      <c r="Q180" s="319"/>
      <c r="R180" s="319"/>
      <c r="S180" s="1847"/>
      <c r="T180" s="1847"/>
      <c r="U180" s="1847"/>
      <c r="V180" s="1847"/>
      <c r="W180" s="320"/>
      <c r="Y180" s="1260"/>
      <c r="Z180" s="1260"/>
      <c r="AA180" s="1260"/>
      <c r="AB180" s="1260"/>
      <c r="AC180" s="1260"/>
      <c r="AD180" s="1260"/>
      <c r="AE180" s="1260"/>
      <c r="AF180" s="1260"/>
      <c r="AG180" s="1260"/>
      <c r="AH180" s="1260"/>
      <c r="AI180" s="1260"/>
      <c r="AJ180" s="1260"/>
      <c r="AK180" s="1260"/>
    </row>
    <row customHeight="1" ht="17.25">
      <c r="A181" s="1851"/>
    </row>
    <row s="1854" customFormat="1" customHeight="1" ht="17.25">
      <c r="A182" s="1841"/>
      <c r="C182" s="1843"/>
      <c r="D182" s="1831"/>
      <c r="E182" s="1848"/>
      <c r="F182" s="1785"/>
      <c r="G182" s="1849"/>
      <c r="H182" s="2530"/>
      <c r="I182" s="2530">
        <v>1</v>
      </c>
      <c r="J182" s="2502"/>
      <c r="K182" s="2186" t="s">
        <v>63</v>
      </c>
      <c r="L182" s="2109"/>
      <c r="M182" s="2109" t="s">
        <v>112</v>
      </c>
      <c r="N182" s="2505" t="str">
        <f>IF(Z182="","",INDEX(TERRITORY_MR_LIST,MATCH(Z182,TERRITORY_LIST_ID,0)))</f>
        <v/>
      </c>
      <c r="O182" s="2186" t="s">
        <v>63</v>
      </c>
      <c r="P182" s="2109"/>
      <c r="Q182" s="2109" t="s">
        <v>112</v>
      </c>
      <c r="R182" s="2503" t="s">
        <v>28</v>
      </c>
      <c r="S182" s="2407" t="s">
        <v>19</v>
      </c>
      <c r="T182" s="1803"/>
      <c r="U182" s="1803" t="s">
        <v>112</v>
      </c>
      <c r="V182" s="1435"/>
      <c r="W182" s="2502"/>
      <c r="Y182" s="1268"/>
      <c r="Z182" s="1268"/>
      <c r="AA182" s="1268"/>
      <c r="AB182" s="1268"/>
      <c r="AC182" s="1268"/>
      <c r="AD182" s="1268"/>
      <c r="AE182" s="1268"/>
      <c r="AF182" s="1268"/>
      <c r="AG182" s="1268"/>
      <c r="AH182" s="1268"/>
      <c r="AI182" s="1268"/>
      <c r="AJ182" s="1268"/>
      <c r="AK182" s="1268"/>
      <c r="AL182" s="1845"/>
      <c r="AM182" s="1845"/>
      <c r="AN182" s="1268"/>
      <c r="AO182" s="1268"/>
      <c r="AP182" s="1268"/>
      <c r="AQ182" s="1268"/>
    </row>
    <row s="1854" customFormat="1" customHeight="1" ht="17.25">
      <c r="A183" s="1841"/>
      <c r="C183" s="1846"/>
      <c r="D183" s="1831"/>
      <c r="E183" s="1848"/>
      <c r="F183" s="1785"/>
      <c r="G183" s="1849"/>
      <c r="H183" s="2530"/>
      <c r="I183" s="2530"/>
      <c r="J183" s="2502"/>
      <c r="K183" s="2187"/>
      <c r="L183" s="2109"/>
      <c r="M183" s="2109"/>
      <c r="N183" s="2505"/>
      <c r="O183" s="2187"/>
      <c r="P183" s="2109"/>
      <c r="Q183" s="2109"/>
      <c r="R183" s="2503"/>
      <c r="S183" s="2407"/>
      <c r="T183" s="1436"/>
      <c r="U183" s="1437"/>
      <c r="V183" s="1437"/>
      <c r="W183" s="2502"/>
      <c r="Y183" s="1260"/>
      <c r="Z183" s="1260"/>
      <c r="AA183" s="1260"/>
      <c r="AB183" s="1260"/>
      <c r="AC183" s="1260"/>
      <c r="AD183" s="1260"/>
      <c r="AE183" s="1260"/>
      <c r="AF183" s="1260"/>
      <c r="AG183" s="1260"/>
      <c r="AH183" s="1260"/>
      <c r="AI183" s="1260"/>
      <c r="AJ183" s="1260"/>
      <c r="AK183" s="1260"/>
    </row>
    <row s="1854" customFormat="1" customHeight="1" ht="17.25">
      <c r="A184" s="1841"/>
      <c r="C184" s="1846"/>
      <c r="D184" s="1831"/>
      <c r="E184" s="1848"/>
      <c r="F184" s="1785"/>
      <c r="G184" s="1849"/>
      <c r="H184" s="2504"/>
      <c r="I184" s="2504"/>
      <c r="J184" s="2534"/>
      <c r="K184" s="2187"/>
      <c r="L184" s="2504"/>
      <c r="M184" s="2504"/>
      <c r="N184" s="2506"/>
      <c r="O184" s="2113"/>
      <c r="P184" s="318"/>
      <c r="Q184" s="319"/>
      <c r="R184" s="319" t="s">
        <v>232</v>
      </c>
      <c r="S184" s="1847"/>
      <c r="T184" s="1847"/>
      <c r="U184" s="1847"/>
      <c r="V184" s="1847"/>
      <c r="W184" s="1434"/>
      <c r="Y184" s="1260"/>
      <c r="Z184" s="1260"/>
      <c r="AA184" s="1260"/>
      <c r="AB184" s="1260"/>
      <c r="AC184" s="1260"/>
      <c r="AD184" s="1260"/>
      <c r="AE184" s="1260"/>
      <c r="AF184" s="1260"/>
      <c r="AG184" s="1260"/>
      <c r="AH184" s="1260"/>
      <c r="AI184" s="1260"/>
      <c r="AJ184" s="1260"/>
      <c r="AK184" s="1260"/>
    </row>
    <row s="1854" customFormat="1" customHeight="1" ht="17.25">
      <c r="A185" s="1841"/>
      <c r="C185" s="1846"/>
      <c r="D185" s="1831"/>
      <c r="E185" s="1848"/>
      <c r="F185" s="1785"/>
      <c r="G185" s="1849"/>
      <c r="H185" s="2504"/>
      <c r="I185" s="2504"/>
      <c r="J185" s="2534"/>
      <c r="K185" s="2113"/>
      <c r="L185" s="318"/>
      <c r="M185" s="319"/>
      <c r="N185" s="319" t="s">
        <v>233</v>
      </c>
      <c r="O185" s="319"/>
      <c r="P185" s="319"/>
      <c r="Q185" s="319"/>
      <c r="R185" s="319"/>
      <c r="S185" s="1847"/>
      <c r="T185" s="1847"/>
      <c r="U185" s="1847"/>
      <c r="V185" s="1847"/>
      <c r="W185" s="320"/>
      <c r="Y185" s="1260"/>
      <c r="Z185" s="1260"/>
      <c r="AA185" s="1260"/>
      <c r="AB185" s="1260"/>
      <c r="AC185" s="1260"/>
      <c r="AD185" s="1260"/>
      <c r="AE185" s="1260"/>
      <c r="AF185" s="1260"/>
      <c r="AG185" s="1260"/>
      <c r="AH185" s="1260"/>
      <c r="AI185" s="1260"/>
      <c r="AJ185" s="1260"/>
      <c r="AK185" s="1260"/>
    </row>
    <row customHeight="1" ht="17.25">
      <c r="A186" s="1851"/>
    </row>
    <row s="1854" customFormat="1" customHeight="1" ht="17.25">
      <c r="A187" s="1841"/>
      <c r="C187" s="1843"/>
      <c r="D187" s="1831"/>
      <c r="E187" s="1848"/>
      <c r="F187" s="1785"/>
      <c r="G187" s="1849"/>
      <c r="H187" s="1831"/>
      <c r="I187" s="1831"/>
      <c r="J187" s="1852"/>
      <c r="K187" s="1849"/>
      <c r="L187" s="2109"/>
      <c r="M187" s="2109" t="s">
        <v>112</v>
      </c>
      <c r="N187" s="2505" t="str">
        <f>IF(Z187="","",INDEX(TERRITORY_MR_LIST,MATCH(Z187,TERRITORY_LIST_ID,0)))</f>
        <v/>
      </c>
      <c r="O187" s="2186" t="s">
        <v>63</v>
      </c>
      <c r="P187" s="2109"/>
      <c r="Q187" s="2109" t="s">
        <v>112</v>
      </c>
      <c r="R187" s="2503" t="s">
        <v>28</v>
      </c>
      <c r="S187" s="2407" t="s">
        <v>19</v>
      </c>
      <c r="T187" s="1803"/>
      <c r="U187" s="1803" t="s">
        <v>112</v>
      </c>
      <c r="V187" s="1435"/>
      <c r="W187" s="2502"/>
      <c r="Y187" s="1268"/>
      <c r="Z187" s="1268"/>
      <c r="AA187" s="1268"/>
      <c r="AB187" s="1268"/>
      <c r="AC187" s="1268"/>
      <c r="AD187" s="1268"/>
      <c r="AE187" s="1268"/>
      <c r="AF187" s="1268"/>
      <c r="AG187" s="1268"/>
      <c r="AH187" s="1268"/>
      <c r="AI187" s="1268"/>
      <c r="AJ187" s="1268"/>
      <c r="AK187" s="1268"/>
      <c r="AL187" s="1845"/>
      <c r="AM187" s="1845"/>
      <c r="AN187" s="1268"/>
      <c r="AO187" s="1268"/>
      <c r="AP187" s="1268"/>
      <c r="AQ187" s="1268"/>
    </row>
    <row s="1854" customFormat="1" customHeight="1" ht="17.25">
      <c r="A188" s="1841"/>
      <c r="C188" s="1846"/>
      <c r="D188" s="1831"/>
      <c r="E188" s="1848"/>
      <c r="F188" s="1785"/>
      <c r="G188" s="1849"/>
      <c r="H188" s="1831"/>
      <c r="I188" s="1831"/>
      <c r="J188" s="1852"/>
      <c r="K188" s="1849"/>
      <c r="L188" s="2109"/>
      <c r="M188" s="2109"/>
      <c r="N188" s="2505"/>
      <c r="O188" s="2187"/>
      <c r="P188" s="2109"/>
      <c r="Q188" s="2109"/>
      <c r="R188" s="2503"/>
      <c r="S188" s="2407"/>
      <c r="T188" s="1436"/>
      <c r="U188" s="1437"/>
      <c r="V188" s="1437"/>
      <c r="W188" s="2502"/>
      <c r="Y188" s="1260"/>
      <c r="Z188" s="1260"/>
      <c r="AA188" s="1260"/>
      <c r="AB188" s="1260"/>
      <c r="AC188" s="1260"/>
      <c r="AD188" s="1260"/>
      <c r="AE188" s="1260"/>
      <c r="AF188" s="1260"/>
      <c r="AG188" s="1260"/>
      <c r="AH188" s="1260"/>
      <c r="AI188" s="1260"/>
      <c r="AJ188" s="1260"/>
      <c r="AK188" s="1260"/>
    </row>
    <row s="1854" customFormat="1" customHeight="1" ht="17.25">
      <c r="A189" s="1841"/>
      <c r="C189" s="1846"/>
      <c r="D189" s="1831"/>
      <c r="E189" s="1848"/>
      <c r="F189" s="1785"/>
      <c r="G189" s="1849"/>
      <c r="H189" s="1831"/>
      <c r="I189" s="1831"/>
      <c r="J189" s="1852"/>
      <c r="K189" s="1849"/>
      <c r="L189" s="2504"/>
      <c r="M189" s="2504"/>
      <c r="N189" s="2506"/>
      <c r="O189" s="2113"/>
      <c r="P189" s="318"/>
      <c r="Q189" s="319"/>
      <c r="R189" s="319" t="s">
        <v>232</v>
      </c>
      <c r="S189" s="1847"/>
      <c r="T189" s="1847"/>
      <c r="U189" s="1847"/>
      <c r="V189" s="1847"/>
      <c r="W189" s="1434"/>
      <c r="Y189" s="1260"/>
      <c r="Z189" s="1260"/>
      <c r="AA189" s="1260"/>
      <c r="AB189" s="1260"/>
      <c r="AC189" s="1260"/>
      <c r="AD189" s="1260"/>
      <c r="AE189" s="1260"/>
      <c r="AF189" s="1260"/>
      <c r="AG189" s="1260"/>
      <c r="AH189" s="1260"/>
      <c r="AI189" s="1260"/>
      <c r="AJ189" s="1260"/>
      <c r="AK189" s="1260"/>
    </row>
    <row customHeight="1" ht="17.25">
      <c r="A190" s="1851"/>
    </row>
    <row s="1854" customFormat="1" customHeight="1" ht="17.25">
      <c r="A191" s="1841"/>
      <c r="C191" s="1843"/>
      <c r="D191" s="1831"/>
      <c r="E191" s="1848"/>
      <c r="F191" s="1785"/>
      <c r="G191" s="1849"/>
      <c r="H191" s="1831"/>
      <c r="I191" s="1831"/>
      <c r="J191" s="1852"/>
      <c r="K191" s="1849"/>
      <c r="L191" s="1831"/>
      <c r="M191" s="1831"/>
      <c r="N191" s="2049"/>
      <c r="O191" s="1788"/>
      <c r="P191" s="2109"/>
      <c r="Q191" s="2109" t="s">
        <v>112</v>
      </c>
      <c r="R191" s="2503" t="s">
        <v>28</v>
      </c>
      <c r="S191" s="2407" t="s">
        <v>19</v>
      </c>
      <c r="T191" s="1803"/>
      <c r="U191" s="1803" t="s">
        <v>112</v>
      </c>
      <c r="V191" s="1435"/>
      <c r="W191" s="2502"/>
      <c r="Y191" s="1268"/>
      <c r="Z191" s="1268"/>
      <c r="AA191" s="1268"/>
      <c r="AB191" s="1268"/>
      <c r="AC191" s="1268"/>
      <c r="AD191" s="1268"/>
      <c r="AE191" s="1268"/>
      <c r="AF191" s="1268"/>
      <c r="AG191" s="1268"/>
      <c r="AH191" s="1268"/>
      <c r="AI191" s="1268"/>
      <c r="AJ191" s="1268"/>
      <c r="AK191" s="1268"/>
      <c r="AL191" s="1845"/>
      <c r="AM191" s="1845"/>
      <c r="AN191" s="1268"/>
      <c r="AO191" s="1268"/>
      <c r="AP191" s="1268"/>
      <c r="AQ191" s="1268"/>
    </row>
    <row s="1854" customFormat="1" customHeight="1" ht="17.25">
      <c r="A192" s="1841"/>
      <c r="C192" s="1846"/>
      <c r="D192" s="1831"/>
      <c r="E192" s="1848"/>
      <c r="F192" s="1785"/>
      <c r="G192" s="1849"/>
      <c r="H192" s="1831"/>
      <c r="I192" s="1831"/>
      <c r="J192" s="1852"/>
      <c r="K192" s="1849"/>
      <c r="L192" s="1831"/>
      <c r="M192" s="1831"/>
      <c r="N192" s="2049"/>
      <c r="O192" s="1788"/>
      <c r="P192" s="2109"/>
      <c r="Q192" s="2109"/>
      <c r="R192" s="2503"/>
      <c r="S192" s="2407"/>
      <c r="T192" s="1436"/>
      <c r="U192" s="1437"/>
      <c r="V192" s="1437"/>
      <c r="W192" s="2502"/>
      <c r="Y192" s="1260"/>
      <c r="Z192" s="1260"/>
      <c r="AA192" s="1260"/>
      <c r="AB192" s="1260"/>
      <c r="AC192" s="1260"/>
      <c r="AD192" s="1260"/>
      <c r="AE192" s="1260"/>
      <c r="AF192" s="1260"/>
      <c r="AG192" s="1260"/>
      <c r="AH192" s="1260"/>
      <c r="AI192" s="1260"/>
      <c r="AJ192" s="1260"/>
      <c r="AK192" s="1260"/>
    </row>
    <row customHeight="1" ht="17.25">
      <c r="A193" s="1851"/>
    </row>
    <row customHeight="1" ht="16.5">
      <c r="A194" s="1841"/>
      <c r="B194" s="1842"/>
      <c r="C194" s="1846"/>
      <c r="D194" s="2554"/>
      <c r="E194" s="2180"/>
      <c r="F194" s="2180"/>
      <c r="G194" s="2128"/>
      <c r="H194" s="2555"/>
      <c r="I194" s="2568"/>
      <c r="J194" s="2153"/>
      <c r="K194" s="2138"/>
      <c r="L194" s="2138"/>
      <c r="M194" s="2138"/>
      <c r="N194" s="2566"/>
      <c r="O194" s="2138"/>
      <c r="P194" s="2138"/>
      <c r="Q194" s="2138"/>
      <c r="R194" s="2564"/>
      <c r="S194" s="2138"/>
      <c r="T194" s="1784"/>
      <c r="U194" s="1784"/>
      <c r="V194" s="1853"/>
      <c r="W194" s="1297"/>
    </row>
    <row customHeight="1" ht="16.5">
      <c r="A195" s="1841"/>
      <c r="B195" s="1842"/>
      <c r="C195" s="1846"/>
      <c r="D195" s="2554"/>
      <c r="E195" s="2180"/>
      <c r="F195" s="2180"/>
      <c r="G195" s="2128"/>
      <c r="H195" s="2556"/>
      <c r="I195" s="2569"/>
      <c r="J195" s="2154"/>
      <c r="K195" s="2139"/>
      <c r="L195" s="2139"/>
      <c r="M195" s="2139"/>
      <c r="N195" s="2567"/>
      <c r="O195" s="2139"/>
      <c r="P195" s="2139"/>
      <c r="Q195" s="2139"/>
      <c r="R195" s="2565"/>
      <c r="S195" s="2139"/>
      <c r="T195" s="1298"/>
      <c r="U195" s="1298"/>
      <c r="V195" s="1298"/>
      <c r="W195" s="1299"/>
    </row>
    <row customHeight="1" ht="17.25">
      <c r="A196" s="1841"/>
      <c r="B196" s="1842"/>
      <c r="C196" s="1846"/>
      <c r="D196" s="2554"/>
      <c r="E196" s="2180"/>
      <c r="F196" s="2180"/>
      <c r="G196" s="2128"/>
      <c r="H196" s="2556"/>
      <c r="I196" s="2569"/>
      <c r="J196" s="2557"/>
      <c r="K196" s="2139"/>
      <c r="L196" s="2139"/>
      <c r="M196" s="2139"/>
      <c r="N196" s="2565"/>
      <c r="O196" s="2139"/>
      <c r="P196" s="1787"/>
      <c r="Q196" s="1298"/>
      <c r="R196" s="1298"/>
      <c r="S196" s="1854"/>
      <c r="T196" s="1854"/>
      <c r="U196" s="1854"/>
      <c r="V196" s="1854"/>
      <c r="W196" s="1299"/>
    </row>
    <row customHeight="1" ht="17.25">
      <c r="A197" s="1841"/>
      <c r="B197" s="1842"/>
      <c r="C197" s="1846"/>
      <c r="D197" s="2554"/>
      <c r="E197" s="2180"/>
      <c r="F197" s="2180"/>
      <c r="G197" s="2128"/>
      <c r="H197" s="2556"/>
      <c r="I197" s="2569"/>
      <c r="J197" s="2557"/>
      <c r="K197" s="2139"/>
      <c r="L197" s="1298"/>
      <c r="M197" s="1298"/>
      <c r="N197" s="1298"/>
      <c r="O197" s="1298"/>
      <c r="P197" s="1298"/>
      <c r="Q197" s="1298"/>
      <c r="R197" s="1298"/>
      <c r="S197" s="1854"/>
      <c r="T197" s="1854"/>
      <c r="U197" s="1854"/>
      <c r="V197" s="1854"/>
      <c r="W197" s="1299"/>
    </row>
    <row customHeight="1" ht="17.25">
      <c r="A198" s="1841"/>
      <c r="B198" s="1842"/>
      <c r="C198" s="1846"/>
      <c r="D198" s="2554"/>
      <c r="E198" s="2180"/>
      <c r="F198" s="2180"/>
      <c r="G198" s="2128"/>
      <c r="H198" s="1300"/>
      <c r="I198" s="1301"/>
      <c r="J198" s="1301"/>
      <c r="K198" s="1301"/>
      <c r="L198" s="1301"/>
      <c r="M198" s="1301"/>
      <c r="N198" s="1301"/>
      <c r="O198" s="1301"/>
      <c r="P198" s="1301"/>
      <c r="Q198" s="1301"/>
      <c r="R198" s="1301"/>
      <c r="S198" s="1855"/>
      <c r="T198" s="1855"/>
      <c r="U198" s="1855"/>
      <c r="V198" s="1855"/>
      <c r="W198" s="1303"/>
    </row>
    <row r="200" s="1816" customFormat="1" customHeight="1" ht="17.25">
      <c r="A200" s="1816" t="s">
        <v>1956</v>
      </c>
    </row>
    <row customHeight="1" ht="17.25">
      <c r="G201" s="1840"/>
      <c r="H201" s="1840"/>
      <c r="I201" s="1840"/>
      <c r="M201" s="1836"/>
    </row>
    <row s="1851" customFormat="1" customHeight="1" ht="15">
      <c r="D202" s="2524"/>
      <c r="E202" s="2200"/>
      <c r="F202" s="2200"/>
      <c r="G202" s="2186"/>
      <c r="H202" s="1565"/>
      <c r="I202" s="2528">
        <v>1</v>
      </c>
      <c r="J202" s="2502"/>
      <c r="K202" s="1580"/>
      <c r="L202" s="2186" t="s">
        <v>63</v>
      </c>
      <c r="M202" s="2186" t="s">
        <v>63</v>
      </c>
      <c r="N202" s="1565"/>
      <c r="O202" s="2109" t="s">
        <v>112</v>
      </c>
      <c r="P202" s="2518"/>
      <c r="Q202" s="1581"/>
      <c r="R202" s="2186" t="s">
        <v>63</v>
      </c>
      <c r="S202" s="2186" t="s">
        <v>63</v>
      </c>
      <c r="T202" s="1856"/>
      <c r="U202" s="2109" t="s">
        <v>112</v>
      </c>
      <c r="V202" s="2525" t="str">
        <f>IF(AK202="","",INDEX(TERRITORY_MR_LIST,MATCH(AK202,TERRITORY_LIST_ID,0)))</f>
        <v/>
      </c>
      <c r="W202" s="1582"/>
      <c r="X202" s="2186" t="s">
        <v>63</v>
      </c>
      <c r="Y202" s="2186" t="s">
        <v>19</v>
      </c>
      <c r="Z202" s="1565"/>
      <c r="AA202" s="2109" t="s">
        <v>112</v>
      </c>
      <c r="AB202" s="2527"/>
      <c r="AC202" s="1583"/>
      <c r="AD202" s="2186" t="s">
        <v>63</v>
      </c>
      <c r="AE202" s="2186" t="s">
        <v>19</v>
      </c>
      <c r="AF202" s="1563"/>
      <c r="AG202" s="1812" t="s">
        <v>112</v>
      </c>
      <c r="AH202" s="1573"/>
      <c r="AI202" s="1802"/>
    </row>
    <row s="1851" customFormat="1" customHeight="1" ht="15">
      <c r="D203" s="2524"/>
      <c r="E203" s="2200"/>
      <c r="F203" s="2200"/>
      <c r="G203" s="2187"/>
      <c r="H203" s="1565"/>
      <c r="I203" s="2528"/>
      <c r="J203" s="2502"/>
      <c r="K203" s="1564"/>
      <c r="L203" s="2187"/>
      <c r="M203" s="2187"/>
      <c r="N203" s="1565"/>
      <c r="O203" s="2109"/>
      <c r="P203" s="2518"/>
      <c r="Q203" s="1561"/>
      <c r="R203" s="2187"/>
      <c r="S203" s="2187"/>
      <c r="T203" s="1856"/>
      <c r="U203" s="2109"/>
      <c r="V203" s="2526"/>
      <c r="W203" s="1562"/>
      <c r="X203" s="2187"/>
      <c r="Y203" s="2187"/>
      <c r="Z203" s="1565"/>
      <c r="AA203" s="2109"/>
      <c r="AB203" s="2496"/>
      <c r="AC203" s="1566"/>
      <c r="AD203" s="2113"/>
      <c r="AE203" s="2113"/>
      <c r="AF203" s="1567"/>
      <c r="AG203" s="1568"/>
      <c r="AH203" s="2519" t="s">
        <v>1957</v>
      </c>
      <c r="AI203" s="2520"/>
    </row>
    <row s="1851" customFormat="1" customHeight="1" ht="15">
      <c r="D204" s="2524"/>
      <c r="E204" s="2200"/>
      <c r="F204" s="2200"/>
      <c r="G204" s="2187"/>
      <c r="H204" s="1565"/>
      <c r="I204" s="2528"/>
      <c r="J204" s="2502"/>
      <c r="K204" s="1564"/>
      <c r="L204" s="2187"/>
      <c r="M204" s="2187"/>
      <c r="N204" s="1565"/>
      <c r="O204" s="2109"/>
      <c r="P204" s="2518"/>
      <c r="Q204" s="1561"/>
      <c r="R204" s="2187"/>
      <c r="S204" s="2187"/>
      <c r="T204" s="1856"/>
      <c r="U204" s="2109"/>
      <c r="V204" s="2526"/>
      <c r="W204" s="1562"/>
      <c r="X204" s="2187"/>
      <c r="Y204" s="2187"/>
      <c r="Z204" s="1604"/>
      <c r="AA204" s="1570"/>
      <c r="AB204" s="2521" t="s">
        <v>1958</v>
      </c>
      <c r="AC204" s="2521"/>
      <c r="AD204" s="2521"/>
      <c r="AE204" s="2521"/>
      <c r="AF204" s="2521"/>
      <c r="AG204" s="2521"/>
      <c r="AH204" s="2521"/>
      <c r="AI204" s="2522"/>
    </row>
    <row s="1851" customFormat="1" customHeight="1" ht="15">
      <c r="D205" s="2524"/>
      <c r="E205" s="2200"/>
      <c r="F205" s="2200"/>
      <c r="G205" s="2187"/>
      <c r="H205" s="1565"/>
      <c r="I205" s="2528"/>
      <c r="J205" s="2502"/>
      <c r="K205" s="1564"/>
      <c r="L205" s="2187"/>
      <c r="M205" s="2187"/>
      <c r="N205" s="1565"/>
      <c r="O205" s="2109"/>
      <c r="P205" s="2523"/>
      <c r="Q205" s="1561"/>
      <c r="R205" s="2187"/>
      <c r="S205" s="2187"/>
      <c r="T205" s="1857"/>
      <c r="U205" s="1605"/>
      <c r="V205" s="2519" t="s">
        <v>106</v>
      </c>
      <c r="W205" s="2519"/>
      <c r="X205" s="2519"/>
      <c r="Y205" s="2519"/>
      <c r="Z205" s="2519"/>
      <c r="AA205" s="2519"/>
      <c r="AB205" s="2519"/>
      <c r="AC205" s="2519"/>
      <c r="AD205" s="2519"/>
      <c r="AE205" s="2519"/>
      <c r="AF205" s="2519"/>
      <c r="AG205" s="2519"/>
      <c r="AH205" s="2519"/>
      <c r="AI205" s="2520"/>
    </row>
    <row s="1851" customFormat="1" customHeight="1" ht="11.25">
      <c r="D206" s="2524"/>
      <c r="E206" s="2200"/>
      <c r="F206" s="2200"/>
      <c r="G206" s="2187"/>
      <c r="H206" s="1569"/>
      <c r="I206" s="2528"/>
      <c r="J206" s="2529"/>
      <c r="K206" s="1564"/>
      <c r="L206" s="2187"/>
      <c r="M206" s="2187"/>
      <c r="N206" s="1569"/>
      <c r="O206" s="1570"/>
      <c r="P206" s="2519" t="s">
        <v>1959</v>
      </c>
      <c r="Q206" s="2519"/>
      <c r="R206" s="2519"/>
      <c r="S206" s="2519"/>
      <c r="T206" s="2519"/>
      <c r="U206" s="2519"/>
      <c r="V206" s="2519"/>
      <c r="W206" s="2519"/>
      <c r="X206" s="2519"/>
      <c r="Y206" s="2519"/>
      <c r="Z206" s="2519"/>
      <c r="AA206" s="2519"/>
      <c r="AB206" s="2519"/>
      <c r="AC206" s="2519"/>
      <c r="AD206" s="2519"/>
      <c r="AE206" s="2519"/>
      <c r="AF206" s="2519"/>
      <c r="AG206" s="2519"/>
      <c r="AH206" s="2519"/>
      <c r="AI206" s="2520"/>
    </row>
    <row s="1555" customFormat="1" customHeight="1" ht="11.25">
      <c r="D207" s="2524"/>
      <c r="E207" s="2200"/>
      <c r="F207" s="2200"/>
      <c r="G207" s="2113"/>
      <c r="H207" s="1571"/>
      <c r="I207" s="1572"/>
      <c r="J207" s="2519" t="s">
        <v>240</v>
      </c>
      <c r="K207" s="2519"/>
      <c r="L207" s="2519"/>
      <c r="M207" s="2519"/>
      <c r="N207" s="2519"/>
      <c r="O207" s="2519"/>
      <c r="P207" s="2519"/>
      <c r="Q207" s="2519"/>
      <c r="R207" s="2519"/>
      <c r="S207" s="2519"/>
      <c r="T207" s="2519"/>
      <c r="U207" s="2519"/>
      <c r="V207" s="2519"/>
      <c r="W207" s="2519"/>
      <c r="X207" s="2519"/>
      <c r="Y207" s="2519"/>
      <c r="Z207" s="2519"/>
      <c r="AA207" s="2519"/>
      <c r="AB207" s="2519"/>
      <c r="AC207" s="2519"/>
      <c r="AD207" s="2519"/>
      <c r="AE207" s="2519"/>
      <c r="AF207" s="2519"/>
      <c r="AG207" s="2519"/>
      <c r="AH207" s="2519"/>
      <c r="AI207" s="2520"/>
      <c r="BK207" s="1575"/>
    </row>
    <row customHeight="1" ht="17.25">
      <c r="G208" s="1840"/>
      <c r="I208" s="1840"/>
      <c r="J208" s="1840"/>
      <c r="N208" s="1836"/>
    </row>
    <row s="1851" customFormat="1" customHeight="1" ht="15">
      <c r="D209" s="2524"/>
      <c r="E209" s="2200"/>
      <c r="F209" s="2200"/>
      <c r="G209" s="2180"/>
      <c r="H209" s="1600"/>
      <c r="I209" s="2182"/>
      <c r="J209" s="2153"/>
      <c r="K209" s="1786"/>
      <c r="L209" s="2138"/>
      <c r="M209" s="2138"/>
      <c r="N209" s="1585"/>
      <c r="O209" s="2138"/>
      <c r="P209" s="2153"/>
      <c r="Q209" s="1790"/>
      <c r="R209" s="2138"/>
      <c r="S209" s="2138"/>
      <c r="T209" s="1858"/>
      <c r="U209" s="2138"/>
      <c r="V209" s="2153"/>
      <c r="W209" s="1588"/>
      <c r="X209" s="2138"/>
      <c r="Y209" s="2138"/>
      <c r="Z209" s="1585"/>
      <c r="AA209" s="2138"/>
      <c r="AB209" s="2153"/>
      <c r="AC209" s="1589"/>
      <c r="AD209" s="2138"/>
      <c r="AE209" s="2138"/>
      <c r="AF209" s="1784"/>
      <c r="AG209" s="1784"/>
      <c r="AH209" s="1590"/>
      <c r="AI209" s="1297"/>
    </row>
    <row s="1851" customFormat="1" customHeight="1" ht="15">
      <c r="D210" s="2524"/>
      <c r="E210" s="2200"/>
      <c r="F210" s="2200"/>
      <c r="G210" s="2180"/>
      <c r="H210" s="1601"/>
      <c r="I210" s="2183"/>
      <c r="J210" s="2154"/>
      <c r="K210" s="1611"/>
      <c r="L210" s="2139"/>
      <c r="M210" s="2139"/>
      <c r="N210" s="1591"/>
      <c r="O210" s="2139"/>
      <c r="P210" s="2154"/>
      <c r="Q210" s="1791"/>
      <c r="R210" s="2139"/>
      <c r="S210" s="2139"/>
      <c r="T210" s="1859"/>
      <c r="U210" s="2139"/>
      <c r="V210" s="2154"/>
      <c r="W210" s="1594"/>
      <c r="X210" s="2139"/>
      <c r="Y210" s="2139"/>
      <c r="Z210" s="1591"/>
      <c r="AA210" s="2139"/>
      <c r="AB210" s="2154"/>
      <c r="AC210" s="1595"/>
      <c r="AD210" s="2139"/>
      <c r="AE210" s="2139"/>
      <c r="AF210" s="1789"/>
      <c r="AG210" s="1789"/>
      <c r="AH210" s="2178"/>
      <c r="AI210" s="2179"/>
    </row>
    <row s="1851" customFormat="1" customHeight="1" ht="15">
      <c r="D211" s="2524"/>
      <c r="E211" s="2200"/>
      <c r="F211" s="2200"/>
      <c r="G211" s="2180"/>
      <c r="H211" s="1601"/>
      <c r="I211" s="2183"/>
      <c r="J211" s="2154"/>
      <c r="K211" s="1611"/>
      <c r="L211" s="2139"/>
      <c r="M211" s="2139"/>
      <c r="N211" s="1591"/>
      <c r="O211" s="2139"/>
      <c r="P211" s="2154"/>
      <c r="Q211" s="1791"/>
      <c r="R211" s="2139"/>
      <c r="S211" s="2139"/>
      <c r="T211" s="1859"/>
      <c r="U211" s="2139"/>
      <c r="V211" s="2154"/>
      <c r="W211" s="1594"/>
      <c r="X211" s="2139"/>
      <c r="Y211" s="2139"/>
      <c r="Z211" s="1787"/>
      <c r="AA211" s="1789"/>
      <c r="AB211" s="2178"/>
      <c r="AC211" s="2178"/>
      <c r="AD211" s="2178"/>
      <c r="AE211" s="2178"/>
      <c r="AF211" s="2178"/>
      <c r="AG211" s="2178"/>
      <c r="AH211" s="2178"/>
      <c r="AI211" s="2179"/>
    </row>
    <row s="1851" customFormat="1" customHeight="1" ht="15">
      <c r="D212" s="2524"/>
      <c r="E212" s="2200"/>
      <c r="F212" s="2200"/>
      <c r="G212" s="2180"/>
      <c r="H212" s="1601"/>
      <c r="I212" s="2183"/>
      <c r="J212" s="2154"/>
      <c r="K212" s="1611"/>
      <c r="L212" s="2139"/>
      <c r="M212" s="2139"/>
      <c r="N212" s="1591"/>
      <c r="O212" s="2139"/>
      <c r="P212" s="2154"/>
      <c r="Q212" s="1791"/>
      <c r="R212" s="2139"/>
      <c r="S212" s="2139"/>
      <c r="T212" s="1860"/>
      <c r="U212" s="1598"/>
      <c r="V212" s="2178"/>
      <c r="W212" s="2178"/>
      <c r="X212" s="2178"/>
      <c r="Y212" s="2178"/>
      <c r="Z212" s="2178"/>
      <c r="AA212" s="2178"/>
      <c r="AB212" s="2178"/>
      <c r="AC212" s="2178"/>
      <c r="AD212" s="2178"/>
      <c r="AE212" s="2178"/>
      <c r="AF212" s="2178"/>
      <c r="AG212" s="2178"/>
      <c r="AH212" s="2178"/>
      <c r="AI212" s="2179"/>
    </row>
    <row s="1851" customFormat="1" customHeight="1" ht="11.25">
      <c r="D213" s="2524"/>
      <c r="E213" s="2200"/>
      <c r="F213" s="2200"/>
      <c r="G213" s="2180"/>
      <c r="H213" s="1602"/>
      <c r="I213" s="2183"/>
      <c r="J213" s="2154"/>
      <c r="K213" s="1611"/>
      <c r="L213" s="2139"/>
      <c r="M213" s="2139"/>
      <c r="N213" s="1789"/>
      <c r="O213" s="1789"/>
      <c r="P213" s="2178"/>
      <c r="Q213" s="2178"/>
      <c r="R213" s="2178"/>
      <c r="S213" s="2178"/>
      <c r="T213" s="2178"/>
      <c r="U213" s="2178"/>
      <c r="V213" s="2178"/>
      <c r="W213" s="2178"/>
      <c r="X213" s="2178"/>
      <c r="Y213" s="2178"/>
      <c r="Z213" s="2178"/>
      <c r="AA213" s="2178"/>
      <c r="AB213" s="2178"/>
      <c r="AC213" s="2178"/>
      <c r="AD213" s="2178"/>
      <c r="AE213" s="2178"/>
      <c r="AF213" s="2178"/>
      <c r="AG213" s="2178"/>
      <c r="AH213" s="2178"/>
      <c r="AI213" s="2179"/>
    </row>
    <row s="1555" customFormat="1" customHeight="1" ht="11.25">
      <c r="D214" s="2524"/>
      <c r="E214" s="2200"/>
      <c r="F214" s="2200"/>
      <c r="G214" s="2185"/>
      <c r="H214" s="1599"/>
      <c r="I214" s="1603"/>
      <c r="J214" s="2188"/>
      <c r="K214" s="2188"/>
      <c r="L214" s="2188"/>
      <c r="M214" s="2188"/>
      <c r="N214" s="2188"/>
      <c r="O214" s="2188"/>
      <c r="P214" s="2188"/>
      <c r="Q214" s="2188"/>
      <c r="R214" s="2188"/>
      <c r="S214" s="2188"/>
      <c r="T214" s="2188"/>
      <c r="U214" s="2188"/>
      <c r="V214" s="2188"/>
      <c r="W214" s="2188"/>
      <c r="X214" s="2188"/>
      <c r="Y214" s="2188"/>
      <c r="Z214" s="2188"/>
      <c r="AA214" s="2188"/>
      <c r="AB214" s="2188"/>
      <c r="AC214" s="2188"/>
      <c r="AD214" s="2188"/>
      <c r="AE214" s="2188"/>
      <c r="AF214" s="2188"/>
      <c r="AG214" s="2188"/>
      <c r="AH214" s="2188"/>
      <c r="AI214" s="2189"/>
      <c r="BK214" s="1575"/>
    </row>
    <row customHeight="1" ht="17.25">
      <c r="A215" s="1851"/>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allowBlank="1" showInputMessage="1" showErrorMessage="1" promptTitle="Ввод" prompt="Для выбора ИП необходимо два раза нажать левую кнопку мыши!" sqref="G72 G77"/>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sqref="I34">
      <formula1>DESCRIPTION_TERRITORY</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8C669EA-7785-AEF7-1656-0.8549E963}"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1" width="43.140625"/>
    <col min="2" max="2" style="841" width="43.140625" hidden="1"/>
    <col min="3" max="3" style="841" width="43.140625"/>
    <col min="4" max="5" style="841" width="36.421875" customWidth="1"/>
    <col min="6" max="8" style="982" width="36.421875" customWidth="1"/>
  </cols>
  <sheetData>
    <row customHeight="1" ht="9">
      <c r="A1" s="847" t="s">
        <v>1960</v>
      </c>
      <c r="B1" s="847"/>
      <c r="C1" s="983" t="s">
        <v>1961</v>
      </c>
      <c r="D1" s="981" t="s">
        <v>818</v>
      </c>
      <c r="E1" s="981" t="s">
        <v>864</v>
      </c>
      <c r="F1" s="981" t="s">
        <v>917</v>
      </c>
      <c r="G1" s="981" t="s">
        <v>904</v>
      </c>
      <c r="H1" s="981" t="s">
        <v>1635</v>
      </c>
    </row>
    <row customHeight="1" ht="9">
      <c r="A2" s="984" t="s">
        <v>1962</v>
      </c>
      <c r="B2" s="984"/>
      <c r="C2" s="985" t="str">
        <f>INDEX(TEMPLATE_NUMBER_FORM_LIST,MATCH(TEMPLATE_SPHERE,TEMPLATE_SPHERE_LIST,0))</f>
        <v>10</v>
      </c>
      <c r="D2" s="984" t="s">
        <v>1486</v>
      </c>
      <c r="E2" s="984" t="s">
        <v>152</v>
      </c>
      <c r="F2" s="986" t="s">
        <v>152</v>
      </c>
      <c r="G2" s="984" t="s">
        <v>152</v>
      </c>
      <c r="H2" s="987"/>
    </row>
    <row customHeight="1" ht="63">
      <c r="A3" s="847"/>
      <c r="B3" s="847" t="s">
        <v>112</v>
      </c>
      <c r="C3" s="985"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985" t="s">
        <v>1963</v>
      </c>
      <c r="E3" s="985"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986"/>
      <c r="G3" s="987"/>
      <c r="H3" s="847"/>
    </row>
    <row customHeight="1" ht="243">
      <c r="A4" s="847" t="s">
        <v>1964</v>
      </c>
      <c r="B4" s="847" t="s">
        <v>113</v>
      </c>
      <c r="C4" s="985" t="str">
        <f>IF(TEMPLATE_SPHERE="HEAT",D4,IF(TEMPLATE_SPHERE="TKO",H4,E4))</f>
        <v>Форма 1. Информация об организации, осуществляющей холодное водоснабжение (общая информация)</v>
      </c>
      <c r="D4" s="984" t="s">
        <v>1965</v>
      </c>
      <c r="E4" s="985"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4" s="984"/>
      <c r="G4" s="984"/>
      <c r="H4" s="847" t="s">
        <v>1966</v>
      </c>
    </row>
    <row customHeight="1" ht="117">
      <c r="A5" s="847" t="s">
        <v>1967</v>
      </c>
      <c r="B5" s="847" t="s">
        <v>92</v>
      </c>
      <c r="C5" s="985"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847" t="s">
        <v>1968</v>
      </c>
      <c r="E5" s="850"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987"/>
      <c r="G5" s="987"/>
      <c r="H5" s="847" t="s">
        <v>1969</v>
      </c>
    </row>
    <row customHeight="1" ht="90">
      <c r="A6" s="847" t="s">
        <v>1970</v>
      </c>
      <c r="B6" s="847" t="s">
        <v>93</v>
      </c>
      <c r="C6" s="985" t="str">
        <f>IF(TEMPLATE_SPHERE="HEAT",D6,E6)</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D6" s="850"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850"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6" s="847"/>
      <c r="G6" s="847"/>
      <c r="H6" s="987"/>
    </row>
    <row customHeight="1" ht="45">
      <c r="A7" s="847" t="s">
        <v>1971</v>
      </c>
      <c r="B7" s="847" t="s">
        <v>114</v>
      </c>
      <c r="C7" s="985"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47" t="s">
        <v>1972</v>
      </c>
      <c r="E7" s="847" t="s">
        <v>1973</v>
      </c>
      <c r="F7" s="987"/>
      <c r="G7" s="987"/>
      <c r="H7" s="987"/>
    </row>
    <row customHeight="1" ht="108">
      <c r="A8" s="847" t="s">
        <v>1974</v>
      </c>
      <c r="B8" s="847" t="s">
        <v>94</v>
      </c>
      <c r="C8" s="985"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847" t="s">
        <v>1174</v>
      </c>
      <c r="E8" s="847" t="s">
        <v>1975</v>
      </c>
      <c r="F8" s="987"/>
      <c r="G8" s="987"/>
      <c r="H8" s="987"/>
    </row>
    <row customHeight="1" ht="99">
      <c r="A9" s="847" t="s">
        <v>1976</v>
      </c>
      <c r="B9" s="847"/>
      <c r="C9" s="847" t="s">
        <v>1977</v>
      </c>
      <c r="D9" s="847"/>
      <c r="E9" s="847"/>
      <c r="F9" s="987"/>
      <c r="G9" s="987"/>
      <c r="H9" s="987"/>
    </row>
    <row customHeight="1" ht="126">
      <c r="A10" s="847" t="s">
        <v>1978</v>
      </c>
      <c r="B10" s="847"/>
      <c r="C10" s="847" t="s">
        <v>1979</v>
      </c>
      <c r="D10" s="847"/>
      <c r="E10" s="847"/>
      <c r="F10" s="987"/>
      <c r="G10" s="987"/>
      <c r="H10" s="987"/>
    </row>
    <row customHeight="1" ht="108">
      <c r="A11" s="847" t="s">
        <v>1980</v>
      </c>
      <c r="B11" s="847"/>
      <c r="C11" s="847" t="s">
        <v>1981</v>
      </c>
      <c r="D11" s="847"/>
      <c r="E11" s="847"/>
      <c r="F11" s="987"/>
      <c r="G11" s="987"/>
      <c r="H11" s="987"/>
    </row>
    <row customHeight="1" ht="54">
      <c r="A12" s="847" t="s">
        <v>1982</v>
      </c>
      <c r="B12" s="847"/>
      <c r="C12" s="847" t="s">
        <v>1983</v>
      </c>
      <c r="D12" s="847"/>
      <c r="E12" s="847"/>
      <c r="F12" s="987"/>
      <c r="G12" s="987"/>
      <c r="H12" s="987"/>
    </row>
    <row customHeight="1" ht="45">
      <c r="A13" s="847" t="s">
        <v>1984</v>
      </c>
      <c r="B13" s="847"/>
      <c r="C13" s="847" t="s">
        <v>1985</v>
      </c>
      <c r="D13" s="847"/>
      <c r="E13" s="847"/>
      <c r="F13" s="987"/>
      <c r="G13" s="987"/>
      <c r="H13" s="987"/>
    </row>
    <row customHeight="1" ht="117">
      <c r="A14" s="847" t="s">
        <v>1986</v>
      </c>
      <c r="B14" s="847"/>
      <c r="C14" s="847" t="s">
        <v>1987</v>
      </c>
      <c r="D14" s="847"/>
      <c r="E14" s="847"/>
      <c r="F14" s="987"/>
      <c r="G14" s="987"/>
      <c r="H14" s="987"/>
    </row>
    <row customHeight="1" ht="117">
      <c r="A15" s="847" t="s">
        <v>1988</v>
      </c>
      <c r="B15" s="847"/>
      <c r="C15" s="847" t="s">
        <v>1989</v>
      </c>
      <c r="D15" s="847"/>
      <c r="E15" s="847"/>
      <c r="F15" s="987"/>
      <c r="G15" s="987"/>
      <c r="H15" s="987"/>
    </row>
    <row customHeight="1" ht="63">
      <c r="A16" s="847" t="s">
        <v>1990</v>
      </c>
      <c r="B16" s="847"/>
      <c r="C16" s="847" t="s">
        <v>1991</v>
      </c>
      <c r="D16" s="847"/>
      <c r="E16" s="847"/>
      <c r="F16" s="987"/>
      <c r="G16" s="987"/>
      <c r="H16" s="987"/>
    </row>
    <row customHeight="1" ht="54">
      <c r="A17" s="847" t="s">
        <v>1992</v>
      </c>
      <c r="B17" s="847"/>
      <c r="C17" s="985" t="s">
        <v>1993</v>
      </c>
      <c r="D17" s="847"/>
      <c r="E17" s="847"/>
      <c r="F17" s="987"/>
      <c r="G17" s="987"/>
      <c r="H17" s="987"/>
    </row>
    <row customHeight="1" ht="27">
      <c r="A18" s="847" t="s">
        <v>1994</v>
      </c>
      <c r="B18" s="847"/>
      <c r="C18" s="985" t="s">
        <v>1995</v>
      </c>
      <c r="D18" s="847"/>
      <c r="E18" s="847"/>
      <c r="F18" s="987"/>
      <c r="G18" s="987"/>
      <c r="H18" s="987"/>
    </row>
    <row customHeight="1" ht="54">
      <c r="A19" s="847" t="s">
        <v>1996</v>
      </c>
      <c r="B19" s="847"/>
      <c r="C19" s="985" t="s">
        <v>1997</v>
      </c>
      <c r="D19" s="847"/>
      <c r="E19" s="847"/>
      <c r="F19" s="987"/>
      <c r="G19" s="987"/>
      <c r="H19" s="987"/>
    </row>
    <row customHeight="1" ht="36">
      <c r="A20" s="847" t="s">
        <v>1998</v>
      </c>
      <c r="B20" s="847"/>
      <c r="C20" s="985" t="s">
        <v>1999</v>
      </c>
      <c r="D20" s="847"/>
      <c r="E20" s="847"/>
      <c r="F20" s="987"/>
      <c r="G20" s="987"/>
      <c r="H20" s="987"/>
    </row>
    <row customHeight="1" ht="36">
      <c r="A21" s="847" t="s">
        <v>2000</v>
      </c>
      <c r="B21" s="847"/>
      <c r="C21" s="985" t="s">
        <v>2001</v>
      </c>
      <c r="D21" s="847"/>
      <c r="E21" s="847"/>
      <c r="F21" s="987"/>
      <c r="G21" s="987"/>
      <c r="H21" s="987"/>
    </row>
    <row customHeight="1" ht="27">
      <c r="A22" s="847" t="s">
        <v>2002</v>
      </c>
      <c r="B22" s="847"/>
      <c r="C22" s="985" t="s">
        <v>2003</v>
      </c>
      <c r="D22" s="847"/>
      <c r="E22" s="847"/>
      <c r="F22" s="987"/>
      <c r="G22" s="987"/>
      <c r="H22" s="987"/>
    </row>
    <row customHeight="1" ht="36">
      <c r="A23" s="847" t="s">
        <v>2004</v>
      </c>
      <c r="B23" s="847"/>
      <c r="C23" s="985" t="s">
        <v>2005</v>
      </c>
      <c r="D23" s="847"/>
      <c r="E23" s="847"/>
      <c r="F23" s="987"/>
      <c r="G23" s="987"/>
      <c r="H23" s="987"/>
    </row>
    <row customHeight="1" ht="28.5">
      <c r="A24" s="847" t="s">
        <v>2006</v>
      </c>
      <c r="B24" s="847"/>
      <c r="C24" s="985" t="s">
        <v>2007</v>
      </c>
      <c r="D24" s="847"/>
      <c r="E24" s="847"/>
      <c r="F24" s="987"/>
      <c r="G24" s="987"/>
      <c r="H24" s="987"/>
    </row>
    <row customHeight="1" ht="36">
      <c r="A25" s="847" t="s">
        <v>2008</v>
      </c>
      <c r="B25" s="847"/>
      <c r="C25" s="985" t="s">
        <v>2009</v>
      </c>
      <c r="D25" s="847"/>
      <c r="E25" s="847"/>
      <c r="F25" s="987"/>
      <c r="G25" s="987"/>
      <c r="H25" s="987"/>
    </row>
    <row customHeight="1" ht="27">
      <c r="A26" s="847" t="s">
        <v>2010</v>
      </c>
      <c r="B26" s="847"/>
      <c r="C26" s="985" t="s">
        <v>2011</v>
      </c>
      <c r="D26" s="847"/>
      <c r="E26" s="847"/>
      <c r="F26" s="987"/>
      <c r="G26" s="987"/>
      <c r="H26" s="987"/>
    </row>
    <row customHeight="1" ht="36">
      <c r="A27" s="847" t="s">
        <v>2012</v>
      </c>
      <c r="B27" s="847"/>
      <c r="C27" s="985" t="s">
        <v>2013</v>
      </c>
      <c r="D27" s="847"/>
      <c r="E27" s="847"/>
      <c r="F27" s="987"/>
      <c r="G27" s="987"/>
      <c r="H27" s="987"/>
    </row>
    <row customHeight="1" ht="28.5">
      <c r="A28" s="847" t="s">
        <v>2014</v>
      </c>
      <c r="B28" s="847"/>
      <c r="C28" s="985" t="s">
        <v>2015</v>
      </c>
      <c r="D28" s="847"/>
      <c r="E28" s="847"/>
      <c r="F28" s="987"/>
      <c r="G28" s="987"/>
      <c r="H28" s="987"/>
    </row>
    <row customHeight="1" ht="126">
      <c r="A29" s="847" t="s">
        <v>2016</v>
      </c>
      <c r="B29" s="847" t="s">
        <v>1588</v>
      </c>
      <c r="C29" s="985" t="str">
        <f>IF(TEMPLATE_SPHERE="HEAT",D29,IF(TEMPLATE_SPHERE="TKO",H29,E29))</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D29" s="847" t="s">
        <v>2017</v>
      </c>
      <c r="E29" s="850"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F29" s="987"/>
      <c r="G29" s="987"/>
      <c r="H29" s="847" t="s">
        <v>2018</v>
      </c>
    </row>
    <row customHeight="1" ht="36">
      <c r="A30" s="847" t="s">
        <v>2019</v>
      </c>
      <c r="B30" s="847"/>
      <c r="C30" s="985"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D30" s="847" t="s">
        <v>2020</v>
      </c>
      <c r="E30" s="850"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F30" s="987"/>
      <c r="G30" s="987"/>
      <c r="H30" s="987"/>
    </row>
    <row customHeight="1" ht="54">
      <c r="A31" s="847" t="s">
        <v>2021</v>
      </c>
      <c r="B31" s="847"/>
      <c r="C31" s="985" t="str">
        <f>IF(TEMPLATE_SPHERE="HEAT",D31,IF(TEMPLATE_SPHERE="TKO",H31,E31))</f>
        <v>Форма 1. Информация об организации, осуществляющей холодное водоснабжение (общая информация)</v>
      </c>
      <c r="D31" s="847" t="s">
        <v>2022</v>
      </c>
      <c r="E31" s="850"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31" s="987"/>
      <c r="G31" s="987"/>
      <c r="H31" s="987"/>
    </row>
    <row customHeight="1" ht="198">
      <c r="A32" s="847" t="s">
        <v>2023</v>
      </c>
      <c r="B32" s="847"/>
      <c r="C32" s="985" t="str">
        <f>IF(TEMPLATE_SPHERE="HEAT",D32,IF(TEMPLATE_SPHERE="TKO",H32,E32))</f>
        <v>Форма 7. Информация об инвестиционных программах организации холодного водоснабжения и отчетах об их исполнении</v>
      </c>
      <c r="D32" s="847" t="s">
        <v>2024</v>
      </c>
      <c r="E32" s="850"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холодного водоснабжения и отчетах об их исполнении</v>
      </c>
      <c r="F32" s="987"/>
      <c r="G32" s="987"/>
      <c r="H32" s="847" t="s">
        <v>2025</v>
      </c>
    </row>
    <row customHeight="1" ht="9">
      <c r="A33" s="847"/>
      <c r="B33" s="847"/>
      <c r="C33" s="985"/>
      <c r="D33" s="847"/>
      <c r="E33" s="847"/>
      <c r="F33" s="987"/>
      <c r="G33" s="987"/>
      <c r="H33" s="987"/>
    </row>
    <row customHeight="1" ht="9">
      <c r="A34" s="847"/>
      <c r="B34" s="847" t="s">
        <v>1524</v>
      </c>
      <c r="C34" s="985">
        <f>INDEX(TEMPLATE_NAME_FORM_LIST,B34,MATCH(TEMPLATE_SPHERE,TEMPLATE_SPHERE_LIST,0))</f>
        <v>0</v>
      </c>
      <c r="D34" s="847"/>
      <c r="E34" s="847"/>
      <c r="F34" s="987"/>
      <c r="G34" s="987"/>
      <c r="H34" s="987"/>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8BEAE13F-83E2-DB85-6A6A-0.6333C398}"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1" width="9.140625"/>
    <col min="3" max="7" style="843" width="8.00390625" customWidth="1"/>
    <col min="8" max="12" style="843" width="8.57421875" customWidth="1"/>
    <col min="13" max="14" style="843" width="27.7109375" customWidth="1"/>
    <col min="15" max="19" style="843" width="5.140625" customWidth="1"/>
    <col min="20" max="24" style="843" width="27.7109375" customWidth="1"/>
    <col min="25" max="25" style="1002" width="1.8515625" customWidth="1"/>
    <col min="26" max="26" style="841" width="27.7109375" customWidth="1"/>
    <col min="27" max="27" style="852" width="27.7109375" customWidth="1"/>
    <col min="28" max="29" style="841" width="27.7109375" customWidth="1"/>
    <col min="30" max="30" style="841" width="3.8515625" customWidth="1"/>
    <col min="31" max="34" style="841" width="9.140625"/>
  </cols>
  <sheetData>
    <row s="840" customFormat="1" customHeight="1" ht="18">
      <c r="A1" s="899"/>
      <c r="B1" s="899"/>
      <c r="C1" s="899" t="s">
        <v>2026</v>
      </c>
      <c r="D1" s="899"/>
      <c r="E1" s="899"/>
      <c r="F1" s="899"/>
      <c r="G1" s="899"/>
      <c r="H1" s="899" t="s">
        <v>2027</v>
      </c>
      <c r="I1" s="899"/>
      <c r="J1" s="899"/>
      <c r="K1" s="899"/>
      <c r="L1" s="899"/>
      <c r="M1" s="899" t="s">
        <v>2028</v>
      </c>
      <c r="N1" s="899" t="s">
        <v>2029</v>
      </c>
      <c r="O1" s="2593" t="s">
        <v>2030</v>
      </c>
      <c r="P1" s="2593"/>
      <c r="Q1" s="2593"/>
      <c r="R1" s="2593"/>
      <c r="S1" s="2593"/>
      <c r="T1" s="2593" t="s">
        <v>2028</v>
      </c>
      <c r="U1" s="2593"/>
      <c r="V1" s="2593"/>
      <c r="W1" s="2593"/>
      <c r="X1" s="2593"/>
      <c r="Y1" s="1000"/>
      <c r="Z1" s="2593" t="s">
        <v>2031</v>
      </c>
      <c r="AA1" s="2593"/>
      <c r="AB1" s="2593"/>
      <c r="AC1" s="2593"/>
      <c r="AD1" s="2593"/>
    </row>
    <row customHeight="1" ht="18">
      <c r="A2" s="847"/>
      <c r="B2" s="847"/>
      <c r="C2" s="842" t="s">
        <v>818</v>
      </c>
      <c r="D2" s="842" t="s">
        <v>864</v>
      </c>
      <c r="E2" s="842" t="s">
        <v>917</v>
      </c>
      <c r="F2" s="842" t="s">
        <v>904</v>
      </c>
      <c r="G2" s="842" t="s">
        <v>1635</v>
      </c>
      <c r="H2" s="844"/>
      <c r="I2" s="844"/>
      <c r="J2" s="844"/>
      <c r="K2" s="844"/>
      <c r="L2" s="844"/>
      <c r="M2" s="844"/>
      <c r="N2" s="844"/>
      <c r="O2" s="842" t="s">
        <v>818</v>
      </c>
      <c r="P2" s="842" t="s">
        <v>864</v>
      </c>
      <c r="Q2" s="842" t="s">
        <v>904</v>
      </c>
      <c r="R2" s="842" t="s">
        <v>917</v>
      </c>
      <c r="S2" s="842" t="s">
        <v>1635</v>
      </c>
      <c r="T2" s="842" t="s">
        <v>818</v>
      </c>
      <c r="U2" s="842" t="s">
        <v>864</v>
      </c>
      <c r="V2" s="842" t="s">
        <v>904</v>
      </c>
      <c r="W2" s="842" t="s">
        <v>917</v>
      </c>
      <c r="X2" s="842" t="s">
        <v>1635</v>
      </c>
      <c r="Y2" s="842"/>
      <c r="Z2" s="842" t="s">
        <v>818</v>
      </c>
      <c r="AA2" s="851" t="s">
        <v>864</v>
      </c>
      <c r="AB2" s="842" t="s">
        <v>904</v>
      </c>
      <c r="AC2" s="842" t="s">
        <v>917</v>
      </c>
      <c r="AD2" s="842" t="s">
        <v>1635</v>
      </c>
    </row>
    <row customHeight="1" ht="162">
      <c r="A3" s="846" t="s">
        <v>26</v>
      </c>
      <c r="B3" s="846"/>
      <c r="C3" s="2597" t="s">
        <v>2032</v>
      </c>
      <c r="D3" s="2598"/>
      <c r="E3" s="2598"/>
      <c r="F3" s="2599"/>
      <c r="G3" s="844"/>
      <c r="H3" s="844"/>
      <c r="I3" s="844"/>
      <c r="J3" s="844"/>
      <c r="K3" s="844"/>
      <c r="L3" s="844"/>
      <c r="M3" s="844"/>
      <c r="N3" s="845"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844"/>
      <c r="P3" s="844"/>
      <c r="Q3" s="844"/>
      <c r="R3" s="844"/>
      <c r="S3" s="844"/>
      <c r="T3" s="844"/>
      <c r="U3" s="844"/>
      <c r="V3" s="844"/>
      <c r="W3" s="844"/>
      <c r="X3" s="844"/>
      <c r="Y3" s="1001"/>
      <c r="Z3" s="847" t="s">
        <v>2033</v>
      </c>
      <c r="AA3" s="844" t="s">
        <v>2034</v>
      </c>
      <c r="AB3" s="847" t="s">
        <v>2035</v>
      </c>
      <c r="AC3" s="847" t="s">
        <v>2036</v>
      </c>
      <c r="AD3" s="847"/>
      <c r="AG3" s="847"/>
      <c r="AH3" s="847"/>
    </row>
    <row customHeight="1" ht="9">
      <c r="A4" s="846"/>
      <c r="B4" s="846"/>
      <c r="C4" s="844"/>
      <c r="D4" s="844"/>
      <c r="E4" s="844"/>
      <c r="F4" s="844"/>
      <c r="G4" s="844"/>
      <c r="H4" s="844"/>
      <c r="I4" s="844"/>
      <c r="J4" s="844"/>
      <c r="K4" s="844"/>
      <c r="L4" s="844"/>
      <c r="M4" s="844"/>
      <c r="N4" s="844"/>
      <c r="O4" s="844"/>
      <c r="P4" s="844"/>
      <c r="Q4" s="844"/>
      <c r="R4" s="844"/>
      <c r="S4" s="844"/>
      <c r="T4" s="844"/>
      <c r="U4" s="844"/>
      <c r="V4" s="844"/>
      <c r="W4" s="844"/>
      <c r="X4" s="844"/>
      <c r="Y4" s="1001"/>
      <c r="Z4" s="847"/>
      <c r="AA4" s="850"/>
      <c r="AB4" s="847"/>
      <c r="AC4" s="847"/>
      <c r="AD4" s="847"/>
    </row>
    <row customHeight="1" ht="9">
      <c r="A5" s="846"/>
      <c r="B5" s="846"/>
      <c r="C5" s="844"/>
      <c r="D5" s="844"/>
      <c r="E5" s="844"/>
      <c r="F5" s="844"/>
      <c r="G5" s="844"/>
      <c r="H5" s="844"/>
      <c r="I5" s="844"/>
      <c r="J5" s="844"/>
      <c r="K5" s="844"/>
      <c r="L5" s="844"/>
      <c r="M5" s="844"/>
      <c r="N5" s="844"/>
      <c r="O5" s="844"/>
      <c r="P5" s="844"/>
      <c r="Q5" s="844"/>
      <c r="R5" s="844"/>
      <c r="S5" s="844"/>
      <c r="T5" s="844"/>
      <c r="U5" s="844"/>
      <c r="V5" s="844"/>
      <c r="W5" s="844"/>
      <c r="X5" s="844"/>
      <c r="Y5" s="1001"/>
      <c r="Z5" s="847"/>
      <c r="AA5" s="850"/>
      <c r="AB5" s="847"/>
      <c r="AC5" s="847"/>
      <c r="AD5" s="847"/>
    </row>
    <row customHeight="1" ht="9">
      <c r="A6" s="846"/>
      <c r="B6" s="846"/>
      <c r="C6" s="844"/>
      <c r="D6" s="844"/>
      <c r="E6" s="844"/>
      <c r="F6" s="844"/>
      <c r="G6" s="844"/>
      <c r="H6" s="844"/>
      <c r="I6" s="844"/>
      <c r="J6" s="844"/>
      <c r="K6" s="844"/>
      <c r="L6" s="844"/>
      <c r="M6" s="844"/>
      <c r="N6" s="844"/>
      <c r="O6" s="844"/>
      <c r="P6" s="844"/>
      <c r="Q6" s="844"/>
      <c r="R6" s="844"/>
      <c r="S6" s="844"/>
      <c r="T6" s="844"/>
      <c r="U6" s="844"/>
      <c r="V6" s="844"/>
      <c r="W6" s="844"/>
      <c r="X6" s="844"/>
      <c r="Y6" s="1001"/>
      <c r="Z6" s="847"/>
      <c r="AA6" s="850"/>
      <c r="AB6" s="847"/>
      <c r="AC6" s="847"/>
      <c r="AD6" s="847"/>
    </row>
    <row customHeight="1" ht="9">
      <c r="A7" s="846"/>
      <c r="B7" s="846"/>
      <c r="C7" s="844"/>
      <c r="D7" s="844"/>
      <c r="E7" s="844"/>
      <c r="F7" s="844"/>
      <c r="G7" s="844"/>
      <c r="H7" s="844"/>
      <c r="I7" s="844"/>
      <c r="J7" s="844"/>
      <c r="K7" s="844"/>
      <c r="L7" s="844"/>
      <c r="M7" s="844"/>
      <c r="N7" s="844"/>
      <c r="O7" s="844"/>
      <c r="P7" s="844"/>
      <c r="Q7" s="844"/>
      <c r="R7" s="844"/>
      <c r="S7" s="844"/>
      <c r="T7" s="844"/>
      <c r="U7" s="844"/>
      <c r="V7" s="844"/>
      <c r="W7" s="844"/>
      <c r="X7" s="844"/>
      <c r="Y7" s="1001"/>
      <c r="Z7" s="847"/>
      <c r="AA7" s="850"/>
      <c r="AB7" s="847"/>
      <c r="AC7" s="847"/>
      <c r="AD7" s="847"/>
    </row>
    <row customHeight="1" ht="9">
      <c r="A8" s="846"/>
      <c r="B8" s="846"/>
      <c r="C8" s="844"/>
      <c r="D8" s="844"/>
      <c r="E8" s="844"/>
      <c r="F8" s="844"/>
      <c r="G8" s="844"/>
      <c r="H8" s="844"/>
      <c r="I8" s="844"/>
      <c r="J8" s="844"/>
      <c r="K8" s="844"/>
      <c r="L8" s="844"/>
      <c r="M8" s="844"/>
      <c r="N8" s="844"/>
      <c r="O8" s="844"/>
      <c r="P8" s="844"/>
      <c r="Q8" s="844"/>
      <c r="R8" s="844"/>
      <c r="S8" s="844"/>
      <c r="T8" s="844"/>
      <c r="U8" s="844"/>
      <c r="V8" s="844"/>
      <c r="W8" s="844"/>
      <c r="X8" s="844"/>
      <c r="Y8" s="1001"/>
      <c r="Z8" s="847"/>
      <c r="AA8" s="850"/>
      <c r="AB8" s="847"/>
      <c r="AC8" s="847"/>
      <c r="AD8" s="847"/>
    </row>
    <row customHeight="1" ht="9">
      <c r="A9" s="846"/>
      <c r="B9" s="846"/>
      <c r="C9" s="844"/>
      <c r="D9" s="844"/>
      <c r="E9" s="844"/>
      <c r="F9" s="844"/>
      <c r="G9" s="844"/>
      <c r="H9" s="844"/>
      <c r="I9" s="844"/>
      <c r="J9" s="844"/>
      <c r="K9" s="844"/>
      <c r="L9" s="844"/>
      <c r="M9" s="844"/>
      <c r="N9" s="844"/>
      <c r="O9" s="844"/>
      <c r="P9" s="844"/>
      <c r="Q9" s="844"/>
      <c r="R9" s="844"/>
      <c r="S9" s="844"/>
      <c r="T9" s="844"/>
      <c r="U9" s="844"/>
      <c r="V9" s="844"/>
      <c r="W9" s="844"/>
      <c r="X9" s="844"/>
      <c r="Y9" s="1001"/>
      <c r="Z9" s="847"/>
      <c r="AA9" s="850"/>
      <c r="AB9" s="847"/>
      <c r="AC9" s="847"/>
      <c r="AD9" s="847"/>
    </row>
    <row customHeight="1" ht="9">
      <c r="A10" s="900"/>
      <c r="B10" s="900"/>
      <c r="C10" s="900"/>
      <c r="D10" s="900"/>
      <c r="E10" s="900"/>
      <c r="F10" s="900"/>
      <c r="G10" s="900"/>
      <c r="H10" s="900"/>
      <c r="I10" s="900"/>
      <c r="J10" s="900"/>
      <c r="K10" s="900"/>
      <c r="L10" s="900"/>
      <c r="M10" s="900"/>
      <c r="N10" s="900"/>
      <c r="O10" s="900"/>
      <c r="P10" s="900"/>
      <c r="Q10" s="900"/>
      <c r="R10" s="900"/>
      <c r="S10" s="900"/>
      <c r="T10" s="900"/>
      <c r="U10" s="900"/>
      <c r="V10" s="900"/>
      <c r="W10" s="900"/>
      <c r="X10" s="900"/>
      <c r="Y10" s="900"/>
      <c r="Z10" s="900"/>
      <c r="AA10" s="900"/>
      <c r="AB10" s="900"/>
      <c r="AC10" s="900"/>
      <c r="AD10" s="900"/>
    </row>
    <row customHeight="1" ht="45">
      <c r="A11" s="2594" t="s">
        <v>33</v>
      </c>
      <c r="B11" s="900">
        <v>1</v>
      </c>
      <c r="C11" s="2600" t="s">
        <v>1575</v>
      </c>
      <c r="D11" s="2600" t="s">
        <v>1571</v>
      </c>
      <c r="E11" s="2600" t="s">
        <v>1667</v>
      </c>
      <c r="F11" s="2600" t="s">
        <v>2037</v>
      </c>
      <c r="G11" s="2600"/>
      <c r="H11" s="899" t="s">
        <v>2038</v>
      </c>
      <c r="I11" s="899"/>
      <c r="J11" s="899"/>
      <c r="K11" s="899"/>
      <c r="L11" s="899"/>
      <c r="M11" s="845" t="str">
        <f>IF(TEMPLATE_SPHERE="HEAT",T11,U11)</f>
        <v>Количество поданных заявлений </v>
      </c>
      <c r="N11" s="845"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844"/>
      <c r="P11" s="844"/>
      <c r="Q11" s="844"/>
      <c r="R11" s="844"/>
      <c r="S11" s="844"/>
      <c r="T11" s="844" t="s">
        <v>2039</v>
      </c>
      <c r="U11" s="844" t="s">
        <v>2040</v>
      </c>
      <c r="V11" s="844"/>
      <c r="W11" s="844"/>
      <c r="X11" s="844"/>
      <c r="Y11" s="1001"/>
      <c r="Z11" s="847" t="s">
        <v>2041</v>
      </c>
      <c r="AA11" s="850"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847"/>
      <c r="AC11" s="847"/>
      <c r="AD11" s="847"/>
    </row>
    <row customHeight="1" ht="45">
      <c r="A12" s="2594"/>
      <c r="B12" s="900">
        <v>2</v>
      </c>
      <c r="C12" s="2601"/>
      <c r="D12" s="2601"/>
      <c r="E12" s="2601"/>
      <c r="F12" s="2601"/>
      <c r="G12" s="2601"/>
      <c r="H12" s="899" t="s">
        <v>2042</v>
      </c>
      <c r="I12" s="899"/>
      <c r="J12" s="899"/>
      <c r="K12" s="899"/>
      <c r="L12" s="899"/>
      <c r="M12" s="845" t="str">
        <f>IF(TEMPLATE_SPHERE="HEAT",T12,U12)</f>
        <v>Количество исполненных заявлений </v>
      </c>
      <c r="N12" s="845"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844"/>
      <c r="P12" s="844"/>
      <c r="Q12" s="844"/>
      <c r="R12" s="844"/>
      <c r="S12" s="844"/>
      <c r="T12" s="844" t="s">
        <v>2043</v>
      </c>
      <c r="U12" s="844" t="s">
        <v>2044</v>
      </c>
      <c r="V12" s="844"/>
      <c r="W12" s="844"/>
      <c r="X12" s="844"/>
      <c r="Y12" s="1001"/>
      <c r="Z12" s="847" t="s">
        <v>2045</v>
      </c>
      <c r="AA12" s="850"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847"/>
      <c r="AC12" s="847"/>
      <c r="AD12" s="847"/>
    </row>
    <row customHeight="1" ht="72">
      <c r="A13" s="2594"/>
      <c r="B13" s="900">
        <v>3</v>
      </c>
      <c r="C13" s="2601"/>
      <c r="D13" s="2601"/>
      <c r="E13" s="2601"/>
      <c r="F13" s="2601"/>
      <c r="G13" s="2601"/>
      <c r="H13" s="2593" t="s">
        <v>2046</v>
      </c>
      <c r="I13" s="899"/>
      <c r="J13" s="899"/>
      <c r="K13" s="899"/>
      <c r="L13" s="899"/>
      <c r="M13" s="845"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845" t="str">
        <f>IF(TEMPLATE_SPHERE="HEAT",Z13,AA13)</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844"/>
      <c r="P13" s="845"/>
      <c r="Q13" s="845"/>
      <c r="R13" s="845"/>
      <c r="S13" s="844"/>
      <c r="T13" s="844" t="s">
        <v>2047</v>
      </c>
      <c r="U13" s="845" t="s">
        <v>2048</v>
      </c>
      <c r="V13" s="845"/>
      <c r="W13" s="845"/>
      <c r="X13" s="844"/>
      <c r="Y13" s="1001"/>
      <c r="Z13" s="847" t="s">
        <v>2049</v>
      </c>
      <c r="AA13" s="850"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847"/>
      <c r="AC13" s="847"/>
      <c r="AD13" s="847"/>
    </row>
    <row customHeight="1" ht="45">
      <c r="A14" s="2594"/>
      <c r="B14" s="900">
        <v>4</v>
      </c>
      <c r="C14" s="2601"/>
      <c r="D14" s="2601"/>
      <c r="E14" s="2601"/>
      <c r="F14" s="2601"/>
      <c r="G14" s="2601"/>
      <c r="H14" s="2593"/>
      <c r="I14" s="902"/>
      <c r="J14" s="902"/>
      <c r="K14" s="902"/>
      <c r="L14" s="902"/>
      <c r="M14" s="848"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845"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4"/>
      <c r="P14" s="845"/>
      <c r="Q14" s="845"/>
      <c r="R14" s="845"/>
      <c r="S14" s="844"/>
      <c r="T14" s="844" t="s">
        <v>2050</v>
      </c>
      <c r="U14" s="845"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845"/>
      <c r="W14" s="845"/>
      <c r="X14" s="844"/>
      <c r="Y14" s="1001"/>
      <c r="Z14" s="847" t="s">
        <v>2051</v>
      </c>
      <c r="AA14" s="850" t="s">
        <v>2051</v>
      </c>
      <c r="AB14" s="847"/>
      <c r="AC14" s="847"/>
      <c r="AD14" s="847"/>
    </row>
    <row customHeight="1" ht="108">
      <c r="A15" s="2594"/>
      <c r="B15" s="900">
        <v>5</v>
      </c>
      <c r="C15" s="2601"/>
      <c r="D15" s="2601"/>
      <c r="E15" s="2601"/>
      <c r="F15" s="2601"/>
      <c r="G15" s="2601"/>
      <c r="H15" s="2595" t="s">
        <v>2052</v>
      </c>
      <c r="I15" s="901"/>
      <c r="J15" s="901"/>
      <c r="K15" s="901"/>
      <c r="L15" s="901"/>
      <c r="M15" s="850"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849" t="str">
        <f>IF(TEMPLATE_SPHERE="HEAT",Z15,AA15)</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844"/>
      <c r="P15" s="845"/>
      <c r="Q15" s="845"/>
      <c r="R15" s="845"/>
      <c r="S15" s="844"/>
      <c r="T15" s="844" t="s">
        <v>2053</v>
      </c>
      <c r="U15" s="845"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845"/>
      <c r="W15" s="845"/>
      <c r="X15" s="844"/>
      <c r="Y15" s="1001"/>
      <c r="Z15" s="847" t="s">
        <v>2054</v>
      </c>
      <c r="AA15" s="850"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847"/>
      <c r="AC15" s="847"/>
      <c r="AD15" s="847"/>
    </row>
    <row customHeight="1" ht="108">
      <c r="A16" s="900"/>
      <c r="B16" s="900">
        <v>6</v>
      </c>
      <c r="C16" s="2602"/>
      <c r="D16" s="2602"/>
      <c r="E16" s="2602"/>
      <c r="F16" s="2602"/>
      <c r="G16" s="2602"/>
      <c r="H16" s="2596"/>
      <c r="I16" s="963"/>
      <c r="J16" s="963"/>
      <c r="K16" s="963"/>
      <c r="L16" s="963"/>
      <c r="M16" s="893"/>
      <c r="N16" s="849" t="str">
        <f>IF(TEMPLATE_SPHERE="HEAT",Z16,AA16)</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844"/>
      <c r="P16" s="845"/>
      <c r="Q16" s="845"/>
      <c r="R16" s="845"/>
      <c r="S16" s="844"/>
      <c r="T16" s="844"/>
      <c r="U16" s="845"/>
      <c r="V16" s="845"/>
      <c r="W16" s="845"/>
      <c r="X16" s="844"/>
      <c r="Y16" s="1001"/>
      <c r="Z16" s="847" t="s">
        <v>2054</v>
      </c>
      <c r="AA16" s="850"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847"/>
      <c r="AC16" s="847"/>
      <c r="AD16" s="847"/>
    </row>
    <row customHeight="1" ht="9">
      <c r="A17" s="900"/>
      <c r="B17" s="900"/>
      <c r="C17" s="900">
        <v>22</v>
      </c>
      <c r="D17" s="900">
        <v>21</v>
      </c>
      <c r="E17" s="900">
        <v>42</v>
      </c>
      <c r="F17" s="900">
        <v>63</v>
      </c>
      <c r="G17" s="900"/>
      <c r="H17" s="900"/>
      <c r="I17" s="900"/>
      <c r="J17" s="900"/>
      <c r="K17" s="900"/>
      <c r="L17" s="900"/>
      <c r="M17" s="900"/>
      <c r="N17" s="900"/>
      <c r="O17" s="900"/>
      <c r="P17" s="900"/>
      <c r="Q17" s="900"/>
      <c r="R17" s="900"/>
      <c r="S17" s="900"/>
      <c r="T17" s="900"/>
      <c r="U17" s="900"/>
      <c r="V17" s="900"/>
      <c r="W17" s="900"/>
      <c r="X17" s="900"/>
      <c r="Y17" s="900"/>
      <c r="Z17" s="900"/>
      <c r="AA17" s="900"/>
      <c r="AB17" s="900"/>
      <c r="AC17" s="900"/>
      <c r="AD17" s="900"/>
    </row>
    <row customHeight="1" ht="27">
      <c r="A18" s="846" t="s">
        <v>1670</v>
      </c>
      <c r="B18" s="900">
        <v>1</v>
      </c>
      <c r="C18" s="844" t="s">
        <v>2038</v>
      </c>
      <c r="D18" s="968" t="s">
        <v>2038</v>
      </c>
      <c r="E18" s="844" t="s">
        <v>2038</v>
      </c>
      <c r="F18" s="844" t="s">
        <v>2038</v>
      </c>
      <c r="G18" s="844"/>
      <c r="H18" s="1003"/>
      <c r="I18" s="1006">
        <f>INDEX(TEMPLATE_NUMBER_POINT_FHD,B18,MATCH(TEMPLATE_SPHERE,TEMPLATE_SPHERE_LIST_FOR_NOTE,0))</f>
        <v>1</v>
      </c>
      <c r="J18" s="1006" t="str">
        <f>INDEX(TEMPLATE_DATA_POINT_FHD,B18,MATCH(TEMPLATE_SPHERE,TEMPLATE_SPHERE_LIST_FOR_NOTE,0))</f>
        <v>Выручка от регулируемых видов деятельности в сфере холодного водоснабжения</v>
      </c>
      <c r="K18" s="1006" t="str">
        <f>INDEX(TEMPLATE_NOTE_POINT_FHD,B18,MATCH(TEMPLATE_SPHERE,TEMPLATE_SPHERE_LIST_FOR_NOTE,0))</f>
        <v>Указывается выручка с распределением по видам деятельности.</v>
      </c>
      <c r="L18" s="845">
        <f>IF(I18=0,"",I18)</f>
        <v>1</v>
      </c>
      <c r="M18" s="845" t="str">
        <f>IF(J18=0,"",J18)</f>
        <v>Выручка от регулируемых видов деятельности в сфере холодного водоснабжения</v>
      </c>
      <c r="N18" s="845" t="str">
        <f>IF(K18=0,"",K18)</f>
        <v>Указывается выручка с распределением по видам деятельности.</v>
      </c>
      <c r="O18" s="958">
        <v>1</v>
      </c>
      <c r="P18" s="958">
        <v>1</v>
      </c>
      <c r="Q18" s="958">
        <v>1</v>
      </c>
      <c r="R18" s="958">
        <v>1</v>
      </c>
      <c r="S18" s="958"/>
      <c r="T18" s="965" t="s">
        <v>2055</v>
      </c>
      <c r="U18" s="847" t="s">
        <v>2056</v>
      </c>
      <c r="V18" s="847" t="s">
        <v>2057</v>
      </c>
      <c r="W18" s="847" t="s">
        <v>2058</v>
      </c>
      <c r="X18" s="844"/>
      <c r="Y18" s="1001"/>
      <c r="Z18" s="847" t="s">
        <v>2059</v>
      </c>
      <c r="AA18" s="850" t="s">
        <v>2060</v>
      </c>
      <c r="AB18" s="850" t="s">
        <v>2060</v>
      </c>
      <c r="AC18" s="850" t="s">
        <v>2060</v>
      </c>
      <c r="AD18" s="847"/>
    </row>
    <row customHeight="1" ht="36">
      <c r="A19" s="846"/>
      <c r="B19" s="900">
        <v>2</v>
      </c>
      <c r="C19" s="844" t="s">
        <v>2042</v>
      </c>
      <c r="D19" s="968" t="s">
        <v>2042</v>
      </c>
      <c r="E19" s="844" t="s">
        <v>2042</v>
      </c>
      <c r="F19" s="844" t="s">
        <v>2042</v>
      </c>
      <c r="G19" s="844"/>
      <c r="H19" s="1003"/>
      <c r="I19" s="1006">
        <f>INDEX(TEMPLATE_NUMBER_POINT_FHD,B19,MATCH(TEMPLATE_SPHERE,TEMPLATE_SPHERE_LIST_FOR_NOTE,0))</f>
        <v>2</v>
      </c>
      <c r="J19" s="1006" t="str">
        <f>INDEX(TEMPLATE_DATA_POINT_FHD,B19,MATCH(TEMPLATE_SPHERE,TEMPLATE_SPHERE_LIST_FOR_NOTE,0))</f>
        <v>Себестоимость производимых товаров (оказываемых услуг) по регулируемым видам деятельности в сфере холодного водоснабжения, включая:</v>
      </c>
      <c r="K19" s="1006" t="str">
        <f>INDEX(TEMPLATE_NOTE_POINT_FHD,B19,MATCH(TEMPLATE_SPHERE,TEMPLATE_SPHERE_LIST_FOR_NOTE,0))</f>
        <v>Указывается суммарная себестоимость производимых товаров.</v>
      </c>
      <c r="L19" s="845">
        <f>IF(I19=0,"",I19)</f>
        <v>2</v>
      </c>
      <c r="M19" s="845" t="str">
        <f>IF(J19=0,"",J19)</f>
        <v>Себестоимость производимых товаров (оказываемых услуг) по регулируемым видам деятельности в сфере холодного водоснабжения, включая:</v>
      </c>
      <c r="N19" s="845" t="str">
        <f>IF(K19=0,"",K19)</f>
        <v>Указывается суммарная себестоимость производимых товаров.</v>
      </c>
      <c r="O19" s="958">
        <v>2</v>
      </c>
      <c r="P19" s="958">
        <v>2</v>
      </c>
      <c r="Q19" s="958">
        <v>2</v>
      </c>
      <c r="R19" s="958">
        <v>2</v>
      </c>
      <c r="S19" s="958"/>
      <c r="T19" s="965" t="s">
        <v>2061</v>
      </c>
      <c r="U19" s="847" t="s">
        <v>2062</v>
      </c>
      <c r="V19" s="847" t="s">
        <v>2063</v>
      </c>
      <c r="W19" s="847" t="s">
        <v>2064</v>
      </c>
      <c r="X19" s="844"/>
      <c r="Y19" s="1001"/>
      <c r="Z19" s="847" t="s">
        <v>2065</v>
      </c>
      <c r="AA19" s="850" t="s">
        <v>2065</v>
      </c>
      <c r="AB19" s="850" t="s">
        <v>2065</v>
      </c>
      <c r="AC19" s="850" t="s">
        <v>2065</v>
      </c>
      <c r="AD19" s="847"/>
    </row>
    <row customHeight="1" ht="27">
      <c r="A20" s="846"/>
      <c r="B20" s="900">
        <v>3</v>
      </c>
      <c r="C20" s="844">
        <v>1</v>
      </c>
      <c r="D20" s="968"/>
      <c r="E20" s="844"/>
      <c r="F20" s="844"/>
      <c r="G20" s="844"/>
      <c r="H20" s="1003"/>
      <c r="I20" s="1006" t="str">
        <f>INDEX(TEMPLATE_NUMBER_POINT_FHD,B20,MATCH(TEMPLATE_SPHERE,TEMPLATE_SPHERE_LIST_FOR_NOTE,0))</f>
        <v>2.1</v>
      </c>
      <c r="J20" s="1006" t="str">
        <f>INDEX(TEMPLATE_DATA_POINT_FHD,B20,MATCH(TEMPLATE_SPHERE,TEMPLATE_SPHERE_LIST_FOR_NOTE,0))</f>
        <v>Расходы на оплату холодной воды, приобретаемой у других организаций для последующей подачи потребителям</v>
      </c>
      <c r="K20" s="1006">
        <f>INDEX(TEMPLATE_NOTE_POINT_FHD,B20,MATCH(TEMPLATE_SPHERE,TEMPLATE_SPHERE_LIST_FOR_NOTE,0))</f>
        <v>0</v>
      </c>
      <c r="L20" s="845" t="str">
        <f>IF(I20=0,"",I20)</f>
        <v>2.1</v>
      </c>
      <c r="M20" s="845" t="str">
        <f>IF(J20=0,"",J20)</f>
        <v>Расходы на оплату холодной воды, приобретаемой у других организаций для последующей подачи потребителям</v>
      </c>
      <c r="N20" s="845" t="str">
        <f>IF(K20=0,"",K20)</f>
        <v/>
      </c>
      <c r="O20" s="958" t="s">
        <v>719</v>
      </c>
      <c r="P20" s="958" t="s">
        <v>719</v>
      </c>
      <c r="Q20" s="958" t="s">
        <v>719</v>
      </c>
      <c r="R20" s="958" t="s">
        <v>719</v>
      </c>
      <c r="S20" s="958"/>
      <c r="T20" s="965" t="s">
        <v>2066</v>
      </c>
      <c r="U20" s="847" t="s">
        <v>2067</v>
      </c>
      <c r="V20" s="847" t="s">
        <v>2068</v>
      </c>
      <c r="W20" s="847" t="s">
        <v>2069</v>
      </c>
      <c r="X20" s="844"/>
      <c r="Y20" s="1001"/>
      <c r="Z20" s="847"/>
      <c r="AA20" s="850"/>
      <c r="AB20" s="847"/>
      <c r="AC20" s="847"/>
      <c r="AD20" s="847"/>
    </row>
    <row customHeight="1" ht="36">
      <c r="A21" s="846"/>
      <c r="B21" s="900">
        <v>4</v>
      </c>
      <c r="C21" s="844">
        <v>2</v>
      </c>
      <c r="D21" s="968"/>
      <c r="E21" s="844"/>
      <c r="F21" s="844"/>
      <c r="G21" s="844"/>
      <c r="H21" s="1003"/>
      <c r="I21" s="1006">
        <f>INDEX(TEMPLATE_NUMBER_POINT_FHD,B21,MATCH(TEMPLATE_SPHERE,TEMPLATE_SPHERE_LIST_FOR_NOTE,0))</f>
        <v>0</v>
      </c>
      <c r="J21" s="1006">
        <f>INDEX(TEMPLATE_DATA_POINT_FHD,B21,MATCH(TEMPLATE_SPHERE,TEMPLATE_SPHERE_LIST_FOR_NOTE,0))</f>
        <v>0</v>
      </c>
      <c r="K21" s="1006">
        <f>INDEX(TEMPLATE_NOTE_POINT_FHD,B21,MATCH(TEMPLATE_SPHERE,TEMPLATE_SPHERE_LIST_FOR_NOTE,0))</f>
        <v>0</v>
      </c>
      <c r="L21" s="845" t="str">
        <f>IF(I21=0,"",I21)</f>
        <v/>
      </c>
      <c r="M21" s="845" t="str">
        <f>IF(J21=0,"",J21)</f>
        <v/>
      </c>
      <c r="N21" s="845" t="str">
        <f>IF(K21=0,"",K21)</f>
        <v/>
      </c>
      <c r="O21" s="958" t="s">
        <v>319</v>
      </c>
      <c r="P21" s="958"/>
      <c r="Q21" s="958"/>
      <c r="R21" s="958"/>
      <c r="S21" s="958"/>
      <c r="T21" s="965" t="s">
        <v>2070</v>
      </c>
      <c r="U21" s="847"/>
      <c r="V21" s="847"/>
      <c r="W21" s="847"/>
      <c r="X21" s="844"/>
      <c r="Y21" s="1001"/>
      <c r="Z21" s="847" t="s">
        <v>2071</v>
      </c>
      <c r="AA21" s="850"/>
      <c r="AB21" s="847"/>
      <c r="AC21" s="847"/>
      <c r="AD21" s="847"/>
    </row>
    <row customHeight="1" ht="36">
      <c r="A22" s="846"/>
      <c r="B22" s="900">
        <v>5</v>
      </c>
      <c r="C22" s="844">
        <v>3</v>
      </c>
      <c r="D22" s="968"/>
      <c r="E22" s="844"/>
      <c r="F22" s="844"/>
      <c r="G22" s="892"/>
      <c r="H22" s="959"/>
      <c r="I22" s="1006">
        <f>INDEX(TEMPLATE_NUMBER_POINT_FHD,B22,MATCH(TEMPLATE_SPHERE,TEMPLATE_SPHERE_LIST_FOR_NOTE,0))</f>
        <v>0</v>
      </c>
      <c r="J22" s="1006">
        <f>INDEX(TEMPLATE_DATA_POINT_FHD,B22,MATCH(TEMPLATE_SPHERE,TEMPLATE_SPHERE_LIST_FOR_NOTE,0))</f>
        <v>0</v>
      </c>
      <c r="K22" s="1006">
        <f>INDEX(TEMPLATE_NOTE_POINT_FHD,B22,MATCH(TEMPLATE_SPHERE,TEMPLATE_SPHERE_LIST_FOR_NOTE,0))</f>
        <v>0</v>
      </c>
      <c r="L22" s="845" t="str">
        <f>IF(I22=0,"",I22)</f>
        <v/>
      </c>
      <c r="M22" s="845" t="str">
        <f>IF(J22=0,"",J22)</f>
        <v/>
      </c>
      <c r="N22" s="845" t="str">
        <f>IF(K22=0,"",K22)</f>
        <v/>
      </c>
      <c r="O22" s="958"/>
      <c r="P22" s="958"/>
      <c r="Q22" s="958" t="s">
        <v>319</v>
      </c>
      <c r="R22" s="958"/>
      <c r="S22" s="958"/>
      <c r="T22" s="965"/>
      <c r="U22" s="847"/>
      <c r="V22" s="847" t="s">
        <v>2072</v>
      </c>
      <c r="W22" s="847"/>
      <c r="X22" s="844"/>
      <c r="Y22" s="1001"/>
      <c r="Z22" s="847"/>
      <c r="AA22" s="850"/>
      <c r="AB22" s="847"/>
      <c r="AC22" s="847"/>
      <c r="AD22" s="847"/>
    </row>
    <row customHeight="1" ht="27">
      <c r="A23" s="846"/>
      <c r="B23" s="900">
        <v>6</v>
      </c>
      <c r="C23" s="844">
        <v>4</v>
      </c>
      <c r="D23" s="968"/>
      <c r="E23" s="844"/>
      <c r="F23" s="844"/>
      <c r="G23" s="892"/>
      <c r="H23" s="959"/>
      <c r="I23" s="1006">
        <f>INDEX(TEMPLATE_NUMBER_POINT_FHD,B23,MATCH(TEMPLATE_SPHERE,TEMPLATE_SPHERE_LIST_FOR_NOTE,0))</f>
        <v>0</v>
      </c>
      <c r="J23" s="1006">
        <f>INDEX(TEMPLATE_DATA_POINT_FHD,B23,MATCH(TEMPLATE_SPHERE,TEMPLATE_SPHERE_LIST_FOR_NOTE,0))</f>
        <v>0</v>
      </c>
      <c r="K23" s="1006">
        <f>INDEX(TEMPLATE_NOTE_POINT_FHD,B23,MATCH(TEMPLATE_SPHERE,TEMPLATE_SPHERE_LIST_FOR_NOTE,0))</f>
        <v>0</v>
      </c>
      <c r="L23" s="845" t="str">
        <f>IF(I23=0,"",I23)</f>
        <v/>
      </c>
      <c r="M23" s="845" t="str">
        <f>IF(J23=0,"",J23)</f>
        <v/>
      </c>
      <c r="N23" s="845" t="str">
        <f>IF(K23=0,"",K23)</f>
        <v/>
      </c>
      <c r="O23" s="958"/>
      <c r="P23" s="958"/>
      <c r="Q23" s="958" t="s">
        <v>322</v>
      </c>
      <c r="R23" s="958"/>
      <c r="S23" s="958"/>
      <c r="T23" s="965"/>
      <c r="U23" s="847"/>
      <c r="V23" s="847" t="s">
        <v>2073</v>
      </c>
      <c r="W23" s="847"/>
      <c r="X23" s="844"/>
      <c r="Y23" s="1001"/>
      <c r="Z23" s="847"/>
      <c r="AA23" s="850"/>
      <c r="AB23" s="847"/>
      <c r="AC23" s="847"/>
      <c r="AD23" s="847"/>
    </row>
    <row customHeight="1" ht="36">
      <c r="A24" s="846"/>
      <c r="B24" s="900">
        <v>7</v>
      </c>
      <c r="C24" s="844">
        <v>5</v>
      </c>
      <c r="D24" s="968"/>
      <c r="E24" s="844"/>
      <c r="F24" s="844"/>
      <c r="G24" s="892"/>
      <c r="H24" s="959"/>
      <c r="I24" s="1006">
        <f>INDEX(TEMPLATE_NUMBER_POINT_FHD,B24,MATCH(TEMPLATE_SPHERE,TEMPLATE_SPHERE_LIST_FOR_NOTE,0))</f>
        <v>0</v>
      </c>
      <c r="J24" s="1006">
        <f>INDEX(TEMPLATE_DATA_POINT_FHD,B24,MATCH(TEMPLATE_SPHERE,TEMPLATE_SPHERE_LIST_FOR_NOTE,0))</f>
        <v>0</v>
      </c>
      <c r="K24" s="1006">
        <f>INDEX(TEMPLATE_NOTE_POINT_FHD,B24,MATCH(TEMPLATE_SPHERE,TEMPLATE_SPHERE_LIST_FOR_NOTE,0))</f>
        <v>0</v>
      </c>
      <c r="L24" s="845" t="str">
        <f>IF(I24=0,"",I24)</f>
        <v/>
      </c>
      <c r="M24" s="845" t="str">
        <f>IF(J24=0,"",J24)</f>
        <v/>
      </c>
      <c r="N24" s="845" t="str">
        <f>IF(K24=0,"",K24)</f>
        <v/>
      </c>
      <c r="O24" s="958"/>
      <c r="P24" s="958"/>
      <c r="Q24" s="958" t="s">
        <v>739</v>
      </c>
      <c r="R24" s="958"/>
      <c r="S24" s="958"/>
      <c r="T24" s="965"/>
      <c r="U24" s="847"/>
      <c r="V24" s="847" t="s">
        <v>2074</v>
      </c>
      <c r="W24" s="847"/>
      <c r="X24" s="844"/>
      <c r="Y24" s="1001"/>
      <c r="Z24" s="847"/>
      <c r="AA24" s="850"/>
      <c r="AB24" s="847"/>
      <c r="AC24" s="847"/>
      <c r="AD24" s="847"/>
    </row>
    <row customHeight="1" ht="36">
      <c r="A25" s="846"/>
      <c r="B25" s="900">
        <v>8</v>
      </c>
      <c r="C25" s="844">
        <v>6</v>
      </c>
      <c r="D25" s="968"/>
      <c r="E25" s="844"/>
      <c r="F25" s="844"/>
      <c r="G25" s="892"/>
      <c r="H25" s="959"/>
      <c r="I25" s="1006" t="str">
        <f>INDEX(TEMPLATE_NUMBER_POINT_FHD,B25,MATCH(TEMPLATE_SPHERE,TEMPLATE_SPHERE_LIST_FOR_NOTE,0))</f>
        <v>2.2</v>
      </c>
      <c r="J25" s="1006"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6">
        <f>INDEX(TEMPLATE_NOTE_POINT_FHD,B25,MATCH(TEMPLATE_SPHERE,TEMPLATE_SPHERE_LIST_FOR_NOTE,0))</f>
        <v>0</v>
      </c>
      <c r="L25" s="845" t="str">
        <f>IF(I25=0,"",I25)</f>
        <v>2.2</v>
      </c>
      <c r="M25" s="845" t="str">
        <f>IF(J25=0,"",J25)</f>
        <v>Расходы на приобретаемую электрическую энергию (мощность), используемую в технологическом процессе</v>
      </c>
      <c r="N25" s="845" t="str">
        <f>IF(K25=0,"",K25)</f>
        <v/>
      </c>
      <c r="O25" s="958" t="s">
        <v>322</v>
      </c>
      <c r="P25" s="958" t="s">
        <v>319</v>
      </c>
      <c r="Q25" s="958" t="s">
        <v>746</v>
      </c>
      <c r="R25" s="958" t="s">
        <v>319</v>
      </c>
      <c r="S25" s="958"/>
      <c r="T25" s="965" t="s">
        <v>2075</v>
      </c>
      <c r="U25" s="847" t="s">
        <v>2075</v>
      </c>
      <c r="V25" s="847" t="s">
        <v>2075</v>
      </c>
      <c r="W25" s="847" t="s">
        <v>2075</v>
      </c>
      <c r="X25" s="844"/>
      <c r="Y25" s="1001"/>
      <c r="Z25" s="847"/>
      <c r="AA25" s="850"/>
      <c r="AB25" s="847"/>
      <c r="AC25" s="847"/>
      <c r="AD25" s="847"/>
    </row>
    <row customHeight="1" ht="18">
      <c r="A26" s="846"/>
      <c r="B26" s="900">
        <v>9</v>
      </c>
      <c r="C26" s="844" t="s">
        <v>663</v>
      </c>
      <c r="D26" s="968"/>
      <c r="E26" s="844"/>
      <c r="F26" s="844"/>
      <c r="G26" s="892"/>
      <c r="H26" s="959"/>
      <c r="I26" s="1006" t="str">
        <f>INDEX(TEMPLATE_NUMBER_POINT_FHD,B26,MATCH(TEMPLATE_SPHERE,TEMPLATE_SPHERE_LIST_FOR_NOTE,0))</f>
        <v>2.2.1</v>
      </c>
      <c r="J26" s="1006" t="str">
        <f>INDEX(TEMPLATE_DATA_POINT_FHD,B26,MATCH(TEMPLATE_SPHERE,TEMPLATE_SPHERE_LIST_FOR_NOTE,0))</f>
        <v>Средневзвешенная стоимость 1 кВт.ч (с учетом мощности)</v>
      </c>
      <c r="K26" s="1006">
        <f>INDEX(TEMPLATE_NOTE_POINT_FHD,B26,MATCH(TEMPLATE_SPHERE,TEMPLATE_SPHERE_LIST_FOR_NOTE,0))</f>
        <v>0</v>
      </c>
      <c r="L26" s="845" t="str">
        <f>IF(I26=0,"",I26)</f>
        <v>2.2.1</v>
      </c>
      <c r="M26" s="845" t="str">
        <f>IF(J26=0,"",J26)</f>
        <v>Средневзвешенная стоимость 1 кВт.ч (с учетом мощности)</v>
      </c>
      <c r="N26" s="845" t="str">
        <f>IF(K26=0,"",K26)</f>
        <v/>
      </c>
      <c r="O26" s="958" t="s">
        <v>735</v>
      </c>
      <c r="P26" s="958" t="s">
        <v>729</v>
      </c>
      <c r="Q26" s="958" t="s">
        <v>2076</v>
      </c>
      <c r="R26" s="958" t="s">
        <v>729</v>
      </c>
      <c r="S26" s="958"/>
      <c r="T26" s="965" t="str">
        <f>"Средневзвешенная стоимость 1 кВт.ч"&amp;IF(TITLE_TYPE_ORG="Регулируемая организация"," (с учетом мощности)","")</f>
        <v>Средневзвешенная стоимость 1 кВт.ч</v>
      </c>
      <c r="U26" s="965" t="s">
        <v>2077</v>
      </c>
      <c r="V26" s="965" t="s">
        <v>2077</v>
      </c>
      <c r="W26" s="965" t="s">
        <v>2077</v>
      </c>
      <c r="X26" s="844"/>
      <c r="Y26" s="1001"/>
      <c r="Z26" s="847"/>
      <c r="AA26" s="850"/>
      <c r="AB26" s="847"/>
      <c r="AC26" s="847"/>
      <c r="AD26" s="847"/>
    </row>
    <row customHeight="1" ht="18">
      <c r="A27" s="846"/>
      <c r="B27" s="900">
        <v>10</v>
      </c>
      <c r="C27" s="844" t="s">
        <v>667</v>
      </c>
      <c r="D27" s="968"/>
      <c r="E27" s="844"/>
      <c r="F27" s="844"/>
      <c r="G27" s="892"/>
      <c r="H27" s="959"/>
      <c r="I27" s="1006" t="str">
        <f>INDEX(TEMPLATE_NUMBER_POINT_FHD,B27,MATCH(TEMPLATE_SPHERE,TEMPLATE_SPHERE_LIST_FOR_NOTE,0))</f>
        <v>2.2.2</v>
      </c>
      <c r="J27" s="1006" t="str">
        <f>INDEX(TEMPLATE_DATA_POINT_FHD,B27,MATCH(TEMPLATE_SPHERE,TEMPLATE_SPHERE_LIST_FOR_NOTE,0))</f>
        <v>Объём приобретения электрической энергии</v>
      </c>
      <c r="K27" s="1006">
        <f>INDEX(TEMPLATE_NOTE_POINT_FHD,B27,MATCH(TEMPLATE_SPHERE,TEMPLATE_SPHERE_LIST_FOR_NOTE,0))</f>
        <v>0</v>
      </c>
      <c r="L27" s="845" t="str">
        <f>IF(I27=0,"",I27)</f>
        <v>2.2.2</v>
      </c>
      <c r="M27" s="845" t="str">
        <f>IF(J27=0,"",J27)</f>
        <v>Объём приобретения электрической энергии</v>
      </c>
      <c r="N27" s="845" t="str">
        <f>IF(K27=0,"",K27)</f>
        <v/>
      </c>
      <c r="O27" s="958" t="s">
        <v>737</v>
      </c>
      <c r="P27" s="958" t="s">
        <v>731</v>
      </c>
      <c r="Q27" s="958" t="s">
        <v>2078</v>
      </c>
      <c r="R27" s="958" t="s">
        <v>731</v>
      </c>
      <c r="S27" s="958"/>
      <c r="T27" s="965" t="s">
        <v>2079</v>
      </c>
      <c r="U27" s="965" t="s">
        <v>2079</v>
      </c>
      <c r="V27" s="965" t="s">
        <v>2079</v>
      </c>
      <c r="W27" s="965" t="s">
        <v>2079</v>
      </c>
      <c r="X27" s="844"/>
      <c r="Y27" s="1001"/>
      <c r="Z27" s="847"/>
      <c r="AA27" s="850"/>
      <c r="AB27" s="847"/>
      <c r="AC27" s="847"/>
      <c r="AD27" s="847"/>
    </row>
    <row customHeight="1" ht="27">
      <c r="A28" s="846"/>
      <c r="B28" s="900">
        <v>11</v>
      </c>
      <c r="C28" s="844">
        <v>7</v>
      </c>
      <c r="D28" s="968"/>
      <c r="E28" s="844"/>
      <c r="F28" s="844"/>
      <c r="G28" s="892"/>
      <c r="H28" s="959"/>
      <c r="I28" s="1006">
        <f>INDEX(TEMPLATE_NUMBER_POINT_FHD,B28,MATCH(TEMPLATE_SPHERE,TEMPLATE_SPHERE_LIST_FOR_NOTE,0))</f>
        <v>0</v>
      </c>
      <c r="J28" s="1006">
        <f>INDEX(TEMPLATE_DATA_POINT_FHD,B28,MATCH(TEMPLATE_SPHERE,TEMPLATE_SPHERE_LIST_FOR_NOTE,0))</f>
        <v>0</v>
      </c>
      <c r="K28" s="1006">
        <f>INDEX(TEMPLATE_NOTE_POINT_FHD,B28,MATCH(TEMPLATE_SPHERE,TEMPLATE_SPHERE_LIST_FOR_NOTE,0))</f>
        <v>0</v>
      </c>
      <c r="L28" s="845" t="str">
        <f>IF(I28=0,"",I28)</f>
        <v/>
      </c>
      <c r="M28" s="845" t="str">
        <f>IF(J28=0,"",J28)</f>
        <v/>
      </c>
      <c r="N28" s="845" t="str">
        <f>IF(K28=0,"",K28)</f>
        <v/>
      </c>
      <c r="O28" s="958" t="s">
        <v>739</v>
      </c>
      <c r="P28" s="958"/>
      <c r="Q28" s="958"/>
      <c r="R28" s="958"/>
      <c r="S28" s="958"/>
      <c r="T28" s="965" t="s">
        <v>2080</v>
      </c>
      <c r="U28" s="847"/>
      <c r="V28" s="847"/>
      <c r="W28" s="847"/>
      <c r="X28" s="844"/>
      <c r="Y28" s="1001"/>
      <c r="Z28" s="847"/>
      <c r="AA28" s="850"/>
      <c r="AB28" s="847"/>
      <c r="AC28" s="847"/>
      <c r="AD28" s="847"/>
    </row>
    <row customHeight="1" ht="27">
      <c r="A29" s="846"/>
      <c r="B29" s="900">
        <v>12</v>
      </c>
      <c r="C29" s="844">
        <v>8</v>
      </c>
      <c r="D29" s="968"/>
      <c r="E29" s="844"/>
      <c r="F29" s="844"/>
      <c r="G29" s="892"/>
      <c r="H29" s="959"/>
      <c r="I29" s="1006" t="str">
        <f>INDEX(TEMPLATE_NUMBER_POINT_FHD,B29,MATCH(TEMPLATE_SPHERE,TEMPLATE_SPHERE_LIST_FOR_NOTE,0))</f>
        <v>2.3</v>
      </c>
      <c r="J29" s="1006" t="str">
        <f>INDEX(TEMPLATE_DATA_POINT_FHD,B29,MATCH(TEMPLATE_SPHERE,TEMPLATE_SPHERE_LIST_FOR_NOTE,0))</f>
        <v>Расходы на химические реагенты, используемые в технологическом процессе</v>
      </c>
      <c r="K29" s="1006">
        <f>INDEX(TEMPLATE_NOTE_POINT_FHD,B29,MATCH(TEMPLATE_SPHERE,TEMPLATE_SPHERE_LIST_FOR_NOTE,0))</f>
        <v>0</v>
      </c>
      <c r="L29" s="845" t="str">
        <f>IF(I29=0,"",I29)</f>
        <v>2.3</v>
      </c>
      <c r="M29" s="845" t="str">
        <f>IF(J29=0,"",J29)</f>
        <v>Расходы на химические реагенты, используемые в технологическом процессе</v>
      </c>
      <c r="N29" s="845" t="str">
        <f>IF(K29=0,"",K29)</f>
        <v/>
      </c>
      <c r="O29" s="958" t="s">
        <v>746</v>
      </c>
      <c r="P29" s="958" t="s">
        <v>322</v>
      </c>
      <c r="Q29" s="958"/>
      <c r="R29" s="958" t="s">
        <v>322</v>
      </c>
      <c r="S29" s="958"/>
      <c r="T29" s="965"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847" t="s">
        <v>2081</v>
      </c>
      <c r="V29" s="847"/>
      <c r="W29" s="847" t="s">
        <v>2081</v>
      </c>
      <c r="X29" s="844"/>
      <c r="Y29" s="1001"/>
      <c r="Z29" s="847"/>
      <c r="AA29" s="850"/>
      <c r="AB29" s="847"/>
      <c r="AC29" s="847"/>
      <c r="AD29" s="847"/>
    </row>
    <row customHeight="1" ht="54">
      <c r="A30" s="846"/>
      <c r="B30" s="900">
        <v>13</v>
      </c>
      <c r="C30" s="844">
        <v>9</v>
      </c>
      <c r="D30" s="968"/>
      <c r="E30" s="844"/>
      <c r="F30" s="844"/>
      <c r="G30" s="892"/>
      <c r="H30" s="959"/>
      <c r="I30" s="1006" t="str">
        <f>INDEX(TEMPLATE_NUMBER_POINT_FHD,B30,MATCH(TEMPLATE_SPHERE,TEMPLATE_SPHERE_LIST_FOR_NOTE,0))</f>
        <v>2.4</v>
      </c>
      <c r="J30" s="1006"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6"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45" t="str">
        <f>IF(I30=0,"",I30)</f>
        <v>2.4</v>
      </c>
      <c r="M30" s="845"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5" t="str">
        <f>IF(K30=0,"",K30)</f>
        <v>Указывается общая сумма расходов на оплату труда и отчислений на социальные нужды основного производственного персонала.</v>
      </c>
      <c r="O30" s="958" t="s">
        <v>748</v>
      </c>
      <c r="P30" s="958" t="s">
        <v>739</v>
      </c>
      <c r="Q30" s="958" t="s">
        <v>748</v>
      </c>
      <c r="R30" s="958" t="s">
        <v>739</v>
      </c>
      <c r="S30" s="958"/>
      <c r="T30" s="965" t="s">
        <v>2082</v>
      </c>
      <c r="U30" s="847" t="s">
        <v>2082</v>
      </c>
      <c r="V30" s="847" t="s">
        <v>2082</v>
      </c>
      <c r="W30" s="847" t="s">
        <v>2082</v>
      </c>
      <c r="X30" s="844"/>
      <c r="Y30" s="1001"/>
      <c r="Z30" s="847"/>
      <c r="AA30" s="850" t="s">
        <v>2083</v>
      </c>
      <c r="AB30" s="850" t="s">
        <v>2083</v>
      </c>
      <c r="AC30" s="850" t="s">
        <v>2083</v>
      </c>
      <c r="AD30" s="847"/>
    </row>
    <row customHeight="1" ht="18">
      <c r="A31" s="846"/>
      <c r="B31" s="900">
        <v>14</v>
      </c>
      <c r="C31" s="844" t="s">
        <v>2084</v>
      </c>
      <c r="D31" s="968"/>
      <c r="E31" s="844"/>
      <c r="F31" s="844"/>
      <c r="G31" s="892"/>
      <c r="H31" s="959"/>
      <c r="I31" s="1006" t="str">
        <f>INDEX(TEMPLATE_NUMBER_POINT_FHD,B31,MATCH(TEMPLATE_SPHERE,TEMPLATE_SPHERE_LIST_FOR_NOTE,0))</f>
        <v>2.4.1</v>
      </c>
      <c r="J31" s="1006" t="str">
        <f>INDEX(TEMPLATE_DATA_POINT_FHD,B31,MATCH(TEMPLATE_SPHERE,TEMPLATE_SPHERE_LIST_FOR_NOTE,0))</f>
        <v>Расходы на оплату труда основного производственного персонала</v>
      </c>
      <c r="K31" s="1006">
        <f>INDEX(TEMPLATE_NOTE_POINT_FHD,B31,MATCH(TEMPLATE_SPHERE,TEMPLATE_SPHERE_LIST_FOR_NOTE,0))</f>
        <v>0</v>
      </c>
      <c r="L31" s="845" t="str">
        <f>IF(I31=0,"",I31)</f>
        <v>2.4.1</v>
      </c>
      <c r="M31" s="845" t="str">
        <f>IF(J31=0,"",J31)</f>
        <v>Расходы на оплату труда основного производственного персонала</v>
      </c>
      <c r="N31" s="845" t="str">
        <f>IF(K31=0,"",K31)</f>
        <v/>
      </c>
      <c r="O31" s="958" t="s">
        <v>2085</v>
      </c>
      <c r="P31" s="958" t="s">
        <v>742</v>
      </c>
      <c r="Q31" s="958" t="s">
        <v>2085</v>
      </c>
      <c r="R31" s="958" t="s">
        <v>742</v>
      </c>
      <c r="S31" s="958"/>
      <c r="T31" s="966" t="s">
        <v>2086</v>
      </c>
      <c r="U31" s="847" t="s">
        <v>2086</v>
      </c>
      <c r="V31" s="847" t="s">
        <v>2086</v>
      </c>
      <c r="W31" s="847" t="s">
        <v>2086</v>
      </c>
      <c r="X31" s="844"/>
      <c r="Y31" s="1001"/>
      <c r="Z31" s="847"/>
      <c r="AA31" s="850"/>
      <c r="AB31" s="850"/>
      <c r="AC31" s="850"/>
      <c r="AD31" s="847"/>
    </row>
    <row customHeight="1" ht="36">
      <c r="A32" s="846"/>
      <c r="B32" s="900">
        <v>15</v>
      </c>
      <c r="C32" s="844" t="s">
        <v>2087</v>
      </c>
      <c r="D32" s="968"/>
      <c r="E32" s="844"/>
      <c r="F32" s="844"/>
      <c r="G32" s="892"/>
      <c r="H32" s="959"/>
      <c r="I32" s="1006" t="str">
        <f>INDEX(TEMPLATE_NUMBER_POINT_FHD,B32,MATCH(TEMPLATE_SPHERE,TEMPLATE_SPHERE_LIST_FOR_NOTE,0))</f>
        <v>2.4.2</v>
      </c>
      <c r="J32" s="1006"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6">
        <f>INDEX(TEMPLATE_NOTE_POINT_FHD,B32,MATCH(TEMPLATE_SPHERE,TEMPLATE_SPHERE_LIST_FOR_NOTE,0))</f>
        <v>0</v>
      </c>
      <c r="L32" s="845" t="str">
        <f>IF(I32=0,"",I32)</f>
        <v>2.4.2</v>
      </c>
      <c r="M32" s="845" t="str">
        <f>IF(J32=0,"",J32)</f>
        <v>Страховые взносы на обязательное социальное страхование, выплачиваемые из фонда оплаты труда основного производственного персонала</v>
      </c>
      <c r="N32" s="845" t="str">
        <f>IF(K32=0,"",K32)</f>
        <v/>
      </c>
      <c r="O32" s="958" t="s">
        <v>2088</v>
      </c>
      <c r="P32" s="958" t="s">
        <v>744</v>
      </c>
      <c r="Q32" s="958" t="s">
        <v>2088</v>
      </c>
      <c r="R32" s="958" t="s">
        <v>744</v>
      </c>
      <c r="S32" s="958"/>
      <c r="T32" s="967"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847" t="s">
        <v>2089</v>
      </c>
      <c r="V32" s="847" t="s">
        <v>2089</v>
      </c>
      <c r="W32" s="847" t="s">
        <v>2089</v>
      </c>
      <c r="X32" s="844"/>
      <c r="Y32" s="1001"/>
      <c r="Z32" s="847"/>
      <c r="AA32" s="850"/>
      <c r="AB32" s="850"/>
      <c r="AC32" s="850"/>
      <c r="AD32" s="847"/>
    </row>
    <row customHeight="1" ht="45">
      <c r="A33" s="846"/>
      <c r="B33" s="900">
        <v>16</v>
      </c>
      <c r="C33" s="844">
        <v>10</v>
      </c>
      <c r="D33" s="968"/>
      <c r="E33" s="844"/>
      <c r="F33" s="844"/>
      <c r="G33" s="892"/>
      <c r="H33" s="959"/>
      <c r="I33" s="1006" t="str">
        <f>INDEX(TEMPLATE_NUMBER_POINT_FHD,B33,MATCH(TEMPLATE_SPHERE,TEMPLATE_SPHERE_LIST_FOR_NOTE,0))</f>
        <v>2.5</v>
      </c>
      <c r="J33" s="1006"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06"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45" t="str">
        <f>IF(I33=0,"",I33)</f>
        <v>2.5</v>
      </c>
      <c r="M33" s="845"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45" t="str">
        <f>IF(K33=0,"",K33)</f>
        <v>Указывается общая сумма расходов на оплату труда и отчислений на социальные нужды административно-управленческого персонала.</v>
      </c>
      <c r="O33" s="958" t="s">
        <v>750</v>
      </c>
      <c r="P33" s="958" t="s">
        <v>746</v>
      </c>
      <c r="Q33" s="958" t="s">
        <v>750</v>
      </c>
      <c r="R33" s="958" t="s">
        <v>746</v>
      </c>
      <c r="S33" s="958"/>
      <c r="T33" s="966"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847" t="s">
        <v>2090</v>
      </c>
      <c r="V33" s="847" t="s">
        <v>2090</v>
      </c>
      <c r="W33" s="847" t="s">
        <v>2091</v>
      </c>
      <c r="X33" s="844"/>
      <c r="Y33" s="1001"/>
      <c r="Z33" s="847"/>
      <c r="AA33" s="850" t="s">
        <v>2092</v>
      </c>
      <c r="AB33" s="850" t="s">
        <v>2092</v>
      </c>
      <c r="AC33" s="850" t="s">
        <v>2092</v>
      </c>
      <c r="AD33" s="847"/>
    </row>
    <row customHeight="1" ht="27">
      <c r="A34" s="846"/>
      <c r="B34" s="900">
        <v>17</v>
      </c>
      <c r="C34" s="844" t="s">
        <v>2093</v>
      </c>
      <c r="D34" s="968"/>
      <c r="E34" s="844"/>
      <c r="F34" s="844"/>
      <c r="G34" s="892"/>
      <c r="H34" s="959"/>
      <c r="I34" s="1006" t="str">
        <f>INDEX(TEMPLATE_NUMBER_POINT_FHD,B34,MATCH(TEMPLATE_SPHERE,TEMPLATE_SPHERE_LIST_FOR_NOTE,0))</f>
        <v>2.5.1</v>
      </c>
      <c r="J34" s="1006" t="str">
        <f>INDEX(TEMPLATE_DATA_POINT_FHD,B34,MATCH(TEMPLATE_SPHERE,TEMPLATE_SPHERE_LIST_FOR_NOTE,0))</f>
        <v>Расходы на оплату труда административно-управленческого персонала</v>
      </c>
      <c r="K34" s="1006">
        <f>INDEX(TEMPLATE_NOTE_POINT_FHD,B34,MATCH(TEMPLATE_SPHERE,TEMPLATE_SPHERE_LIST_FOR_NOTE,0))</f>
        <v>0</v>
      </c>
      <c r="L34" s="845" t="str">
        <f>IF(I34=0,"",I34)</f>
        <v>2.5.1</v>
      </c>
      <c r="M34" s="845" t="str">
        <f>IF(J34=0,"",J34)</f>
        <v>Расходы на оплату труда административно-управленческого персонала</v>
      </c>
      <c r="N34" s="845" t="str">
        <f>IF(K34=0,"",K34)</f>
        <v/>
      </c>
      <c r="O34" s="958" t="s">
        <v>2094</v>
      </c>
      <c r="P34" s="958" t="s">
        <v>2076</v>
      </c>
      <c r="Q34" s="958" t="s">
        <v>2094</v>
      </c>
      <c r="R34" s="958" t="s">
        <v>2076</v>
      </c>
      <c r="S34" s="958"/>
      <c r="T34" s="967" t="s">
        <v>2095</v>
      </c>
      <c r="U34" s="847" t="s">
        <v>2095</v>
      </c>
      <c r="V34" s="847" t="s">
        <v>2095</v>
      </c>
      <c r="W34" s="847" t="s">
        <v>2096</v>
      </c>
      <c r="X34" s="844"/>
      <c r="Y34" s="1001"/>
      <c r="Z34" s="847"/>
      <c r="AA34" s="850"/>
      <c r="AB34" s="847"/>
      <c r="AC34" s="847"/>
      <c r="AD34" s="847"/>
    </row>
    <row customHeight="1" ht="45">
      <c r="A35" s="846"/>
      <c r="B35" s="900">
        <v>18</v>
      </c>
      <c r="C35" s="844" t="s">
        <v>2097</v>
      </c>
      <c r="D35" s="968"/>
      <c r="E35" s="844"/>
      <c r="F35" s="844"/>
      <c r="G35" s="892"/>
      <c r="H35" s="959"/>
      <c r="I35" s="1006" t="str">
        <f>INDEX(TEMPLATE_NUMBER_POINT_FHD,B35,MATCH(TEMPLATE_SPHERE,TEMPLATE_SPHERE_LIST_FOR_NOTE,0))</f>
        <v>2.5.2</v>
      </c>
      <c r="J35" s="1006"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6">
        <f>INDEX(TEMPLATE_NOTE_POINT_FHD,B35,MATCH(TEMPLATE_SPHERE,TEMPLATE_SPHERE_LIST_FOR_NOTE,0))</f>
        <v>0</v>
      </c>
      <c r="L35" s="845" t="str">
        <f>IF(I35=0,"",I35)</f>
        <v>2.5.2</v>
      </c>
      <c r="M35" s="845"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5" t="str">
        <f>IF(K35=0,"",K35)</f>
        <v/>
      </c>
      <c r="O35" s="958" t="s">
        <v>2098</v>
      </c>
      <c r="P35" s="958" t="s">
        <v>2078</v>
      </c>
      <c r="Q35" s="958" t="s">
        <v>2098</v>
      </c>
      <c r="R35" s="958" t="s">
        <v>2078</v>
      </c>
      <c r="S35" s="958"/>
      <c r="T35" s="965"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847" t="s">
        <v>2099</v>
      </c>
      <c r="V35" s="847" t="s">
        <v>2099</v>
      </c>
      <c r="W35" s="847" t="s">
        <v>2099</v>
      </c>
      <c r="X35" s="844"/>
      <c r="Y35" s="1001"/>
      <c r="Z35" s="847"/>
      <c r="AA35" s="850"/>
      <c r="AB35" s="847"/>
      <c r="AC35" s="847"/>
      <c r="AD35" s="847"/>
    </row>
    <row customHeight="1" ht="18">
      <c r="A36" s="846"/>
      <c r="B36" s="900">
        <v>19</v>
      </c>
      <c r="C36" s="844">
        <v>11</v>
      </c>
      <c r="D36" s="968"/>
      <c r="E36" s="844"/>
      <c r="F36" s="844"/>
      <c r="G36" s="892"/>
      <c r="H36" s="959"/>
      <c r="I36" s="1006" t="str">
        <f>INDEX(TEMPLATE_NUMBER_POINT_FHD,B36,MATCH(TEMPLATE_SPHERE,TEMPLATE_SPHERE_LIST_FOR_NOTE,0))</f>
        <v>2.6</v>
      </c>
      <c r="J36" s="1006" t="str">
        <f>INDEX(TEMPLATE_DATA_POINT_FHD,B36,MATCH(TEMPLATE_SPHERE,TEMPLATE_SPHERE_LIST_FOR_NOTE,0))</f>
        <v>Расходы на амортизацию основных средств и нематериальных активов</v>
      </c>
      <c r="K36" s="1006">
        <f>INDEX(TEMPLATE_NOTE_POINT_FHD,B36,MATCH(TEMPLATE_SPHERE,TEMPLATE_SPHERE_LIST_FOR_NOTE,0))</f>
        <v>0</v>
      </c>
      <c r="L36" s="845" t="str">
        <f>IF(I36=0,"",I36)</f>
        <v>2.6</v>
      </c>
      <c r="M36" s="845" t="str">
        <f>IF(J36=0,"",J36)</f>
        <v>Расходы на амортизацию основных средств и нематериальных активов</v>
      </c>
      <c r="N36" s="845" t="str">
        <f>IF(K36=0,"",K36)</f>
        <v/>
      </c>
      <c r="O36" s="958" t="s">
        <v>752</v>
      </c>
      <c r="P36" s="958" t="s">
        <v>748</v>
      </c>
      <c r="Q36" s="958" t="s">
        <v>752</v>
      </c>
      <c r="R36" s="958" t="s">
        <v>748</v>
      </c>
      <c r="S36" s="958"/>
      <c r="T36" s="965" t="s">
        <v>2100</v>
      </c>
      <c r="U36" s="847" t="s">
        <v>2100</v>
      </c>
      <c r="V36" s="847" t="s">
        <v>2100</v>
      </c>
      <c r="W36" s="847" t="s">
        <v>2100</v>
      </c>
      <c r="X36" s="844"/>
      <c r="Y36" s="1001"/>
      <c r="Z36" s="847"/>
      <c r="AA36" s="850"/>
      <c r="AB36" s="847"/>
      <c r="AC36" s="847"/>
      <c r="AD36" s="847"/>
    </row>
    <row customHeight="1" ht="18">
      <c r="A37" s="846"/>
      <c r="B37" s="900">
        <v>20</v>
      </c>
      <c r="C37" s="844" t="s">
        <v>2101</v>
      </c>
      <c r="D37" s="968"/>
      <c r="E37" s="844"/>
      <c r="F37" s="844"/>
      <c r="G37" s="892"/>
      <c r="H37" s="959"/>
      <c r="I37" s="1006" t="str">
        <f>INDEX(TEMPLATE_NUMBER_POINT_FHD,B37,MATCH(TEMPLATE_SPHERE,TEMPLATE_SPHERE_LIST_FOR_NOTE,0))</f>
        <v>2.6.1</v>
      </c>
      <c r="J37" s="1006" t="str">
        <f>INDEX(TEMPLATE_DATA_POINT_FHD,B37,MATCH(TEMPLATE_SPHERE,TEMPLATE_SPHERE_LIST_FOR_NOTE,0))</f>
        <v>Расходы на амортизацию основных средств</v>
      </c>
      <c r="K37" s="1006">
        <f>INDEX(TEMPLATE_NOTE_POINT_FHD,B37,MATCH(TEMPLATE_SPHERE,TEMPLATE_SPHERE_LIST_FOR_NOTE,0))</f>
        <v>0</v>
      </c>
      <c r="L37" s="845" t="str">
        <f>IF(I37=0,"",I37)</f>
        <v>2.6.1</v>
      </c>
      <c r="M37" s="845" t="str">
        <f>IF(J37=0,"",J37)</f>
        <v>Расходы на амортизацию основных средств</v>
      </c>
      <c r="N37" s="845" t="str">
        <f>IF(K37=0,"",K37)</f>
        <v/>
      </c>
      <c r="O37" s="958" t="s">
        <v>2102</v>
      </c>
      <c r="P37" s="958" t="s">
        <v>2085</v>
      </c>
      <c r="Q37" s="958" t="s">
        <v>2102</v>
      </c>
      <c r="R37" s="958" t="s">
        <v>2085</v>
      </c>
      <c r="S37" s="958"/>
      <c r="T37" s="965" t="s">
        <v>2103</v>
      </c>
      <c r="U37" s="847" t="s">
        <v>2103</v>
      </c>
      <c r="V37" s="847" t="s">
        <v>2103</v>
      </c>
      <c r="W37" s="847" t="s">
        <v>2103</v>
      </c>
      <c r="X37" s="844"/>
      <c r="Y37" s="1001"/>
      <c r="Z37" s="847"/>
      <c r="AA37" s="850"/>
      <c r="AB37" s="847"/>
      <c r="AC37" s="847"/>
      <c r="AD37" s="847"/>
    </row>
    <row customHeight="1" ht="18">
      <c r="A38" s="846"/>
      <c r="B38" s="900">
        <v>21</v>
      </c>
      <c r="C38" s="844" t="s">
        <v>2104</v>
      </c>
      <c r="D38" s="968"/>
      <c r="E38" s="844"/>
      <c r="F38" s="844"/>
      <c r="G38" s="892"/>
      <c r="H38" s="959"/>
      <c r="I38" s="1006" t="str">
        <f>INDEX(TEMPLATE_NUMBER_POINT_FHD,B38,MATCH(TEMPLATE_SPHERE,TEMPLATE_SPHERE_LIST_FOR_NOTE,0))</f>
        <v>2.6.2</v>
      </c>
      <c r="J38" s="1006" t="str">
        <f>INDEX(TEMPLATE_DATA_POINT_FHD,B38,MATCH(TEMPLATE_SPHERE,TEMPLATE_SPHERE_LIST_FOR_NOTE,0))</f>
        <v>Расходы на амортизацию нематериальных активов</v>
      </c>
      <c r="K38" s="1006">
        <f>INDEX(TEMPLATE_NOTE_POINT_FHD,B38,MATCH(TEMPLATE_SPHERE,TEMPLATE_SPHERE_LIST_FOR_NOTE,0))</f>
        <v>0</v>
      </c>
      <c r="L38" s="845" t="str">
        <f>IF(I38=0,"",I38)</f>
        <v>2.6.2</v>
      </c>
      <c r="M38" s="845" t="str">
        <f>IF(J38=0,"",J38)</f>
        <v>Расходы на амортизацию нематериальных активов</v>
      </c>
      <c r="N38" s="845" t="str">
        <f>IF(K38=0,"",K38)</f>
        <v/>
      </c>
      <c r="O38" s="958" t="s">
        <v>2105</v>
      </c>
      <c r="P38" s="958" t="s">
        <v>2088</v>
      </c>
      <c r="Q38" s="958" t="s">
        <v>2105</v>
      </c>
      <c r="R38" s="958" t="s">
        <v>2088</v>
      </c>
      <c r="S38" s="958"/>
      <c r="T38" s="965" t="s">
        <v>2106</v>
      </c>
      <c r="U38" s="847" t="s">
        <v>2106</v>
      </c>
      <c r="V38" s="847" t="s">
        <v>2106</v>
      </c>
      <c r="W38" s="847" t="s">
        <v>2106</v>
      </c>
      <c r="X38" s="844"/>
      <c r="Y38" s="1001"/>
      <c r="Z38" s="847"/>
      <c r="AA38" s="850"/>
      <c r="AB38" s="847"/>
      <c r="AC38" s="847"/>
      <c r="AD38" s="847"/>
    </row>
    <row customHeight="1" ht="36">
      <c r="A39" s="846"/>
      <c r="B39" s="900">
        <v>22</v>
      </c>
      <c r="C39" s="844">
        <v>12</v>
      </c>
      <c r="D39" s="968"/>
      <c r="E39" s="844"/>
      <c r="F39" s="844"/>
      <c r="G39" s="892"/>
      <c r="H39" s="959"/>
      <c r="I39" s="1006" t="str">
        <f>INDEX(TEMPLATE_NUMBER_POINT_FHD,B39,MATCH(TEMPLATE_SPHERE,TEMPLATE_SPHERE_LIST_FOR_NOTE,0))</f>
        <v>2.7</v>
      </c>
      <c r="J39" s="1006" t="str">
        <f>INDEX(TEMPLATE_DATA_POINT_FHD,B39,MATCH(TEMPLATE_SPHERE,TEMPLATE_SPHERE_LIST_FOR_NOTE,0))</f>
        <v>Расходы на аренду имущества, используемого для осуществления регулируемых видов деятельности в сфере холодного водоснабжения</v>
      </c>
      <c r="K39" s="1006">
        <f>INDEX(TEMPLATE_NOTE_POINT_FHD,B39,MATCH(TEMPLATE_SPHERE,TEMPLATE_SPHERE_LIST_FOR_NOTE,0))</f>
        <v>0</v>
      </c>
      <c r="L39" s="845" t="str">
        <f>IF(I39=0,"",I39)</f>
        <v>2.7</v>
      </c>
      <c r="M39" s="845" t="str">
        <f>IF(J39=0,"",J39)</f>
        <v>Расходы на аренду имущества, используемого для осуществления регулируемых видов деятельности в сфере холодного водоснабжения</v>
      </c>
      <c r="N39" s="845" t="str">
        <f>IF(K39=0,"",K39)</f>
        <v/>
      </c>
      <c r="O39" s="958" t="s">
        <v>756</v>
      </c>
      <c r="P39" s="958" t="s">
        <v>750</v>
      </c>
      <c r="Q39" s="958" t="s">
        <v>756</v>
      </c>
      <c r="R39" s="958" t="s">
        <v>750</v>
      </c>
      <c r="S39" s="958"/>
      <c r="T39" s="965" t="s">
        <v>2107</v>
      </c>
      <c r="U39" s="847" t="s">
        <v>2108</v>
      </c>
      <c r="V39" s="847" t="s">
        <v>2109</v>
      </c>
      <c r="W39" s="847" t="s">
        <v>2110</v>
      </c>
      <c r="X39" s="844"/>
      <c r="Y39" s="1001"/>
      <c r="Z39" s="847"/>
      <c r="AA39" s="850"/>
      <c r="AB39" s="847"/>
      <c r="AC39" s="847"/>
      <c r="AD39" s="847"/>
    </row>
    <row customHeight="1" ht="18">
      <c r="A40" s="846"/>
      <c r="B40" s="900">
        <v>23</v>
      </c>
      <c r="C40" s="844">
        <v>13</v>
      </c>
      <c r="D40" s="968"/>
      <c r="E40" s="844"/>
      <c r="F40" s="844"/>
      <c r="G40" s="844"/>
      <c r="H40" s="895"/>
      <c r="I40" s="1006" t="str">
        <f>INDEX(TEMPLATE_NUMBER_POINT_FHD,B40,MATCH(TEMPLATE_SPHERE,TEMPLATE_SPHERE_LIST_FOR_NOTE,0))</f>
        <v>2.8</v>
      </c>
      <c r="J40" s="1006" t="str">
        <f>INDEX(TEMPLATE_DATA_POINT_FHD,B40,MATCH(TEMPLATE_SPHERE,TEMPLATE_SPHERE_LIST_FOR_NOTE,0))</f>
        <v>Общепроизводственные расходы, в том числе:</v>
      </c>
      <c r="K40" s="1006" t="str">
        <f>INDEX(TEMPLATE_NOTE_POINT_FHD,B40,MATCH(TEMPLATE_SPHERE,TEMPLATE_SPHERE_LIST_FOR_NOTE,0))</f>
        <v>Указывается общая сумма общепроизводственных расходов.</v>
      </c>
      <c r="L40" s="845" t="str">
        <f>IF(I40=0,"",I40)</f>
        <v>2.8</v>
      </c>
      <c r="M40" s="845" t="str">
        <f>IF(J40=0,"",J40)</f>
        <v>Общепроизводственные расходы, в том числе:</v>
      </c>
      <c r="N40" s="845" t="str">
        <f>IF(K40=0,"",K40)</f>
        <v>Указывается общая сумма общепроизводственных расходов.</v>
      </c>
      <c r="O40" s="958" t="s">
        <v>2111</v>
      </c>
      <c r="P40" s="958" t="s">
        <v>752</v>
      </c>
      <c r="Q40" s="958" t="s">
        <v>2111</v>
      </c>
      <c r="R40" s="958" t="s">
        <v>752</v>
      </c>
      <c r="S40" s="958"/>
      <c r="T40" s="844" t="s">
        <v>2112</v>
      </c>
      <c r="U40" s="844" t="s">
        <v>2112</v>
      </c>
      <c r="V40" s="844" t="s">
        <v>2112</v>
      </c>
      <c r="W40" s="844" t="s">
        <v>2112</v>
      </c>
      <c r="X40" s="844"/>
      <c r="Y40" s="1001"/>
      <c r="Z40" s="847" t="s">
        <v>2113</v>
      </c>
      <c r="AA40" s="850" t="s">
        <v>2113</v>
      </c>
      <c r="AB40" s="850" t="s">
        <v>2113</v>
      </c>
      <c r="AC40" s="850" t="s">
        <v>2113</v>
      </c>
      <c r="AD40" s="847"/>
    </row>
    <row customHeight="1" ht="27">
      <c r="A41" s="846"/>
      <c r="B41" s="900">
        <v>24</v>
      </c>
      <c r="C41" s="844" t="s">
        <v>2114</v>
      </c>
      <c r="D41" s="968"/>
      <c r="E41" s="844"/>
      <c r="F41" s="844"/>
      <c r="G41" s="844"/>
      <c r="H41" s="892"/>
      <c r="I41" s="1006" t="str">
        <f>INDEX(TEMPLATE_NUMBER_POINT_FHD,B41,MATCH(TEMPLATE_SPHERE,TEMPLATE_SPHERE_LIST_FOR_NOTE,0))</f>
        <v>2.8.1</v>
      </c>
      <c r="J41" s="1006" t="str">
        <f>INDEX(TEMPLATE_DATA_POINT_FHD,B41,MATCH(TEMPLATE_SPHERE,TEMPLATE_SPHERE_LIST_FOR_NOTE,0))</f>
        <v>Расходы на текущий ремонт</v>
      </c>
      <c r="K41" s="1006" t="str">
        <f>INDEX(TEMPLATE_NOTE_POINT_FHD,B41,MATCH(TEMPLATE_SPHERE,TEMPLATE_SPHERE_LIST_FOR_NOTE,0))</f>
        <v>Указываются расходы на текущий ремонт, отнесенные к общепроизводственным расходам.</v>
      </c>
      <c r="L41" s="845" t="str">
        <f>IF(I41=0,"",I41)</f>
        <v>2.8.1</v>
      </c>
      <c r="M41" s="845" t="str">
        <f>IF(J41=0,"",J41)</f>
        <v>Расходы на текущий ремонт</v>
      </c>
      <c r="N41" s="845" t="str">
        <f>IF(K41=0,"",K41)</f>
        <v>Указываются расходы на текущий ремонт, отнесенные к общепроизводственным расходам.</v>
      </c>
      <c r="O41" s="958" t="s">
        <v>2115</v>
      </c>
      <c r="P41" s="958" t="s">
        <v>2102</v>
      </c>
      <c r="Q41" s="958" t="s">
        <v>2115</v>
      </c>
      <c r="R41" s="958" t="s">
        <v>2102</v>
      </c>
      <c r="S41" s="958"/>
      <c r="T41" s="844" t="s">
        <v>2116</v>
      </c>
      <c r="U41" s="844" t="s">
        <v>2116</v>
      </c>
      <c r="V41" s="844" t="s">
        <v>2116</v>
      </c>
      <c r="W41" s="844" t="s">
        <v>2116</v>
      </c>
      <c r="X41" s="844"/>
      <c r="Y41" s="1001"/>
      <c r="Z41" s="847" t="s">
        <v>2117</v>
      </c>
      <c r="AA41" s="847" t="s">
        <v>2117</v>
      </c>
      <c r="AB41" s="847" t="s">
        <v>2117</v>
      </c>
      <c r="AC41" s="847" t="s">
        <v>2117</v>
      </c>
      <c r="AD41" s="847"/>
    </row>
    <row customHeight="1" ht="27">
      <c r="A42" s="846"/>
      <c r="B42" s="900">
        <v>25</v>
      </c>
      <c r="C42" s="844" t="s">
        <v>2118</v>
      </c>
      <c r="D42" s="968"/>
      <c r="E42" s="844"/>
      <c r="F42" s="844"/>
      <c r="G42" s="844"/>
      <c r="H42" s="892"/>
      <c r="I42" s="1006" t="str">
        <f>INDEX(TEMPLATE_NUMBER_POINT_FHD,B42,MATCH(TEMPLATE_SPHERE,TEMPLATE_SPHERE_LIST_FOR_NOTE,0))</f>
        <v>2.8.2</v>
      </c>
      <c r="J42" s="1006" t="str">
        <f>INDEX(TEMPLATE_DATA_POINT_FHD,B42,MATCH(TEMPLATE_SPHERE,TEMPLATE_SPHERE_LIST_FOR_NOTE,0))</f>
        <v>Расходы на капитальный ремонт</v>
      </c>
      <c r="K42" s="1006" t="str">
        <f>INDEX(TEMPLATE_NOTE_POINT_FHD,B42,MATCH(TEMPLATE_SPHERE,TEMPLATE_SPHERE_LIST_FOR_NOTE,0))</f>
        <v>Указываются расходы на капитальный ремонт, отнесенные к общепроизводственным расходам.</v>
      </c>
      <c r="L42" s="845" t="str">
        <f>IF(I42=0,"",I42)</f>
        <v>2.8.2</v>
      </c>
      <c r="M42" s="845" t="str">
        <f>IF(J42=0,"",J42)</f>
        <v>Расходы на капитальный ремонт</v>
      </c>
      <c r="N42" s="845" t="str">
        <f>IF(K42=0,"",K42)</f>
        <v>Указываются расходы на капитальный ремонт, отнесенные к общепроизводственным расходам.</v>
      </c>
      <c r="O42" s="958" t="s">
        <v>2119</v>
      </c>
      <c r="P42" s="958" t="s">
        <v>2105</v>
      </c>
      <c r="Q42" s="958" t="s">
        <v>2119</v>
      </c>
      <c r="R42" s="958" t="s">
        <v>2105</v>
      </c>
      <c r="S42" s="958"/>
      <c r="T42" s="844" t="s">
        <v>2120</v>
      </c>
      <c r="U42" s="844" t="s">
        <v>2120</v>
      </c>
      <c r="V42" s="844" t="s">
        <v>2120</v>
      </c>
      <c r="W42" s="844" t="s">
        <v>2120</v>
      </c>
      <c r="X42" s="844"/>
      <c r="Y42" s="1001"/>
      <c r="Z42" s="847" t="s">
        <v>2121</v>
      </c>
      <c r="AA42" s="847" t="s">
        <v>2121</v>
      </c>
      <c r="AB42" s="847" t="s">
        <v>2121</v>
      </c>
      <c r="AC42" s="847" t="s">
        <v>2121</v>
      </c>
      <c r="AD42" s="847"/>
    </row>
    <row customHeight="1" ht="18">
      <c r="A43" s="846"/>
      <c r="B43" s="900">
        <v>26</v>
      </c>
      <c r="C43" s="844">
        <v>14</v>
      </c>
      <c r="D43" s="968"/>
      <c r="E43" s="844"/>
      <c r="F43" s="844"/>
      <c r="G43" s="844"/>
      <c r="H43" s="892"/>
      <c r="I43" s="1006" t="str">
        <f>INDEX(TEMPLATE_NUMBER_POINT_FHD,B43,MATCH(TEMPLATE_SPHERE,TEMPLATE_SPHERE_LIST_FOR_NOTE,0))</f>
        <v>2.9</v>
      </c>
      <c r="J43" s="1006" t="str">
        <f>INDEX(TEMPLATE_DATA_POINT_FHD,B43,MATCH(TEMPLATE_SPHERE,TEMPLATE_SPHERE_LIST_FOR_NOTE,0))</f>
        <v>Общехозяйственные расходы, в том числе:</v>
      </c>
      <c r="K43" s="1006" t="str">
        <f>INDEX(TEMPLATE_NOTE_POINT_FHD,B43,MATCH(TEMPLATE_SPHERE,TEMPLATE_SPHERE_LIST_FOR_NOTE,0))</f>
        <v>Указывается общая сумма общехозяйственных расходов.</v>
      </c>
      <c r="L43" s="845" t="str">
        <f>IF(I43=0,"",I43)</f>
        <v>2.9</v>
      </c>
      <c r="M43" s="845" t="str">
        <f>IF(J43=0,"",J43)</f>
        <v>Общехозяйственные расходы, в том числе:</v>
      </c>
      <c r="N43" s="845" t="str">
        <f>IF(K43=0,"",K43)</f>
        <v>Указывается общая сумма общехозяйственных расходов.</v>
      </c>
      <c r="O43" s="958" t="s">
        <v>2122</v>
      </c>
      <c r="P43" s="958" t="s">
        <v>756</v>
      </c>
      <c r="Q43" s="958" t="s">
        <v>2122</v>
      </c>
      <c r="R43" s="958" t="s">
        <v>756</v>
      </c>
      <c r="S43" s="958"/>
      <c r="T43" s="844" t="s">
        <v>2123</v>
      </c>
      <c r="U43" s="844" t="s">
        <v>2123</v>
      </c>
      <c r="V43" s="844" t="s">
        <v>2123</v>
      </c>
      <c r="W43" s="844" t="s">
        <v>2123</v>
      </c>
      <c r="X43" s="844"/>
      <c r="Y43" s="1001"/>
      <c r="Z43" s="847" t="s">
        <v>2124</v>
      </c>
      <c r="AA43" s="847" t="s">
        <v>2124</v>
      </c>
      <c r="AB43" s="847" t="s">
        <v>2124</v>
      </c>
      <c r="AC43" s="847" t="s">
        <v>2124</v>
      </c>
      <c r="AD43" s="847"/>
    </row>
    <row customHeight="1" ht="27">
      <c r="A44" s="846"/>
      <c r="B44" s="900">
        <v>27</v>
      </c>
      <c r="C44" s="844" t="s">
        <v>2125</v>
      </c>
      <c r="D44" s="968"/>
      <c r="E44" s="844"/>
      <c r="F44" s="844"/>
      <c r="G44" s="844"/>
      <c r="H44" s="892"/>
      <c r="I44" s="1006" t="str">
        <f>INDEX(TEMPLATE_NUMBER_POINT_FHD,B44,MATCH(TEMPLATE_SPHERE,TEMPLATE_SPHERE_LIST_FOR_NOTE,0))</f>
        <v>2.9.1</v>
      </c>
      <c r="J44" s="1006" t="str">
        <f>INDEX(TEMPLATE_DATA_POINT_FHD,B44,MATCH(TEMPLATE_SPHERE,TEMPLATE_SPHERE_LIST_FOR_NOTE,0))</f>
        <v>Расходы на текущий ремонт</v>
      </c>
      <c r="K44" s="1006" t="str">
        <f>INDEX(TEMPLATE_NOTE_POINT_FHD,B44,MATCH(TEMPLATE_SPHERE,TEMPLATE_SPHERE_LIST_FOR_NOTE,0))</f>
        <v>Указываются расходы на текущий ремонт, отнесенные к общехозяйственным расходам.</v>
      </c>
      <c r="L44" s="845" t="str">
        <f>IF(I44=0,"",I44)</f>
        <v>2.9.1</v>
      </c>
      <c r="M44" s="845" t="str">
        <f>IF(J44=0,"",J44)</f>
        <v>Расходы на текущий ремонт</v>
      </c>
      <c r="N44" s="845" t="str">
        <f>IF(K44=0,"",K44)</f>
        <v>Указываются расходы на текущий ремонт, отнесенные к общехозяйственным расходам.</v>
      </c>
      <c r="O44" s="958" t="s">
        <v>2126</v>
      </c>
      <c r="P44" s="958" t="s">
        <v>2127</v>
      </c>
      <c r="Q44" s="958" t="s">
        <v>2126</v>
      </c>
      <c r="R44" s="958" t="s">
        <v>2127</v>
      </c>
      <c r="S44" s="958"/>
      <c r="T44" s="844" t="s">
        <v>2116</v>
      </c>
      <c r="U44" s="844" t="s">
        <v>2116</v>
      </c>
      <c r="V44" s="844" t="s">
        <v>2116</v>
      </c>
      <c r="W44" s="844" t="s">
        <v>2116</v>
      </c>
      <c r="X44" s="844"/>
      <c r="Y44" s="1001"/>
      <c r="Z44" s="847" t="s">
        <v>2128</v>
      </c>
      <c r="AA44" s="847" t="s">
        <v>2128</v>
      </c>
      <c r="AB44" s="847" t="s">
        <v>2128</v>
      </c>
      <c r="AC44" s="847" t="s">
        <v>2128</v>
      </c>
      <c r="AD44" s="847"/>
    </row>
    <row customHeight="1" ht="27">
      <c r="A45" s="846"/>
      <c r="B45" s="900">
        <v>28</v>
      </c>
      <c r="C45" s="844" t="s">
        <v>2129</v>
      </c>
      <c r="D45" s="968"/>
      <c r="E45" s="844"/>
      <c r="F45" s="844"/>
      <c r="G45" s="844"/>
      <c r="H45" s="892"/>
      <c r="I45" s="1006" t="str">
        <f>INDEX(TEMPLATE_NUMBER_POINT_FHD,B45,MATCH(TEMPLATE_SPHERE,TEMPLATE_SPHERE_LIST_FOR_NOTE,0))</f>
        <v>2.9.2</v>
      </c>
      <c r="J45" s="1006" t="str">
        <f>INDEX(TEMPLATE_DATA_POINT_FHD,B45,MATCH(TEMPLATE_SPHERE,TEMPLATE_SPHERE_LIST_FOR_NOTE,0))</f>
        <v>Расходы на капитальный ремонт</v>
      </c>
      <c r="K45" s="1006" t="str">
        <f>INDEX(TEMPLATE_NOTE_POINT_FHD,B45,MATCH(TEMPLATE_SPHERE,TEMPLATE_SPHERE_LIST_FOR_NOTE,0))</f>
        <v>Указываются расходы на капитальный ремонт, отнесенные к общехозяйственным расходам.</v>
      </c>
      <c r="L45" s="845" t="str">
        <f>IF(I45=0,"",I45)</f>
        <v>2.9.2</v>
      </c>
      <c r="M45" s="845" t="str">
        <f>IF(J45=0,"",J45)</f>
        <v>Расходы на капитальный ремонт</v>
      </c>
      <c r="N45" s="845" t="str">
        <f>IF(K45=0,"",K45)</f>
        <v>Указываются расходы на капитальный ремонт, отнесенные к общехозяйственным расходам.</v>
      </c>
      <c r="O45" s="958" t="s">
        <v>2130</v>
      </c>
      <c r="P45" s="958" t="s">
        <v>2131</v>
      </c>
      <c r="Q45" s="958" t="s">
        <v>2130</v>
      </c>
      <c r="R45" s="958" t="s">
        <v>2131</v>
      </c>
      <c r="S45" s="958"/>
      <c r="T45" s="844" t="s">
        <v>2120</v>
      </c>
      <c r="U45" s="844" t="s">
        <v>2120</v>
      </c>
      <c r="V45" s="844" t="s">
        <v>2120</v>
      </c>
      <c r="W45" s="844" t="s">
        <v>2120</v>
      </c>
      <c r="X45" s="844"/>
      <c r="Y45" s="1001"/>
      <c r="Z45" s="847" t="s">
        <v>2132</v>
      </c>
      <c r="AA45" s="847" t="s">
        <v>2132</v>
      </c>
      <c r="AB45" s="847" t="s">
        <v>2132</v>
      </c>
      <c r="AC45" s="847" t="s">
        <v>2132</v>
      </c>
      <c r="AD45" s="847"/>
    </row>
    <row customHeight="1" ht="54">
      <c r="A46" s="846"/>
      <c r="B46" s="900">
        <v>29</v>
      </c>
      <c r="C46" s="844">
        <v>15</v>
      </c>
      <c r="D46" s="968"/>
      <c r="E46" s="844"/>
      <c r="F46" s="844"/>
      <c r="G46" s="844"/>
      <c r="H46" s="892"/>
      <c r="I46" s="1006" t="str">
        <f>INDEX(TEMPLATE_NUMBER_POINT_FHD,B46,MATCH(TEMPLATE_SPHERE,TEMPLATE_SPHERE_LIST_FOR_NOTE,0))</f>
        <v>2.10</v>
      </c>
      <c r="J46" s="1006" t="str">
        <f>INDEX(TEMPLATE_DATA_POINT_FHD,B46,MATCH(TEMPLATE_SPHERE,TEMPLATE_SPHERE_LIST_FOR_NOTE,0))</f>
        <v>Расходы на капитальный и текущий ремонт основных средств</v>
      </c>
      <c r="K46" s="1006"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5" t="str">
        <f>IF(I46=0,"",I46)</f>
        <v>2.10</v>
      </c>
      <c r="M46" s="845" t="str">
        <f>IF(J46=0,"",J46)</f>
        <v>Расходы на капитальный и текущий ремонт основных средств</v>
      </c>
      <c r="N46" s="845"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8" t="s">
        <v>2133</v>
      </c>
      <c r="P46" s="958" t="s">
        <v>2111</v>
      </c>
      <c r="Q46" s="958" t="s">
        <v>2133</v>
      </c>
      <c r="R46" s="958" t="s">
        <v>2111</v>
      </c>
      <c r="S46" s="958"/>
      <c r="T46" s="845"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844" t="s">
        <v>2134</v>
      </c>
      <c r="V46" s="844" t="s">
        <v>2134</v>
      </c>
      <c r="W46" s="844" t="s">
        <v>2134</v>
      </c>
      <c r="X46" s="844"/>
      <c r="Y46" s="1001"/>
      <c r="Z46" s="847" t="s">
        <v>2135</v>
      </c>
      <c r="AA46" s="847" t="s">
        <v>2136</v>
      </c>
      <c r="AB46" s="847" t="s">
        <v>2136</v>
      </c>
      <c r="AC46" s="847" t="s">
        <v>2136</v>
      </c>
      <c r="AD46" s="847"/>
    </row>
    <row customHeight="1" ht="54">
      <c r="A47" s="846"/>
      <c r="B47" s="900">
        <v>30</v>
      </c>
      <c r="C47" s="844" t="s">
        <v>2137</v>
      </c>
      <c r="D47" s="968"/>
      <c r="E47" s="844"/>
      <c r="F47" s="844"/>
      <c r="G47" s="844"/>
      <c r="H47" s="892"/>
      <c r="I47" s="1006" t="str">
        <f>INDEX(TEMPLATE_NUMBER_POINT_FHD,B47,MATCH(TEMPLATE_SPHERE,TEMPLATE_SPHERE_LIST_FOR_NOTE,0))</f>
        <v>2.10.1</v>
      </c>
      <c r="J47" s="1006"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6">
        <f>INDEX(TEMPLATE_NOTE_POINT_FHD,B47,MATCH(TEMPLATE_SPHERE,TEMPLATE_SPHERE_LIST_FOR_NOTE,0))</f>
        <v>0</v>
      </c>
      <c r="L47" s="845" t="str">
        <f>IF(I47=0,"",I47)</f>
        <v>2.10.1</v>
      </c>
      <c r="M47" s="845"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5" t="str">
        <f>IF(K47=0,"",K47)</f>
        <v/>
      </c>
      <c r="O47" s="958" t="s">
        <v>2138</v>
      </c>
      <c r="P47" s="958" t="s">
        <v>2115</v>
      </c>
      <c r="Q47" s="958" t="s">
        <v>2138</v>
      </c>
      <c r="R47" s="958" t="s">
        <v>2115</v>
      </c>
      <c r="S47" s="958"/>
      <c r="T47" s="844" t="s">
        <v>2139</v>
      </c>
      <c r="U47" s="844" t="s">
        <v>2139</v>
      </c>
      <c r="V47" s="844" t="s">
        <v>2139</v>
      </c>
      <c r="W47" s="844" t="s">
        <v>2139</v>
      </c>
      <c r="X47" s="844"/>
      <c r="Y47" s="1001"/>
      <c r="Z47" s="847"/>
      <c r="AA47" s="850"/>
      <c r="AB47" s="850"/>
      <c r="AC47" s="850"/>
      <c r="AD47" s="847"/>
    </row>
    <row customHeight="1" ht="54">
      <c r="A48" s="846"/>
      <c r="B48" s="900">
        <v>31</v>
      </c>
      <c r="C48" s="844">
        <v>16</v>
      </c>
      <c r="D48" s="968"/>
      <c r="E48" s="844"/>
      <c r="F48" s="844"/>
      <c r="G48" s="844"/>
      <c r="H48" s="892"/>
      <c r="I48" s="1006" t="str">
        <f>INDEX(TEMPLATE_NUMBER_POINT_FHD,B48,MATCH(TEMPLATE_SPHERE,TEMPLATE_SPHERE_LIST_FOR_NOTE,0))</f>
        <v>2.11</v>
      </c>
      <c r="J48" s="1006"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1006"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45" t="str">
        <f>IF(I48=0,"",I48)</f>
        <v>2.11</v>
      </c>
      <c r="M48" s="845"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845"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58"/>
      <c r="P48" s="958" t="s">
        <v>2122</v>
      </c>
      <c r="Q48" s="958" t="s">
        <v>2140</v>
      </c>
      <c r="R48" s="958" t="s">
        <v>2122</v>
      </c>
      <c r="S48" s="958"/>
      <c r="T48" s="844"/>
      <c r="U48" s="844" t="s">
        <v>2141</v>
      </c>
      <c r="V48" s="844" t="s">
        <v>2142</v>
      </c>
      <c r="W48" s="844" t="s">
        <v>2142</v>
      </c>
      <c r="X48" s="844"/>
      <c r="Y48" s="1001"/>
      <c r="Z48" s="847"/>
      <c r="AA48" s="850" t="s">
        <v>2136</v>
      </c>
      <c r="AB48" s="850" t="s">
        <v>2136</v>
      </c>
      <c r="AC48" s="850" t="s">
        <v>2136</v>
      </c>
      <c r="AD48" s="847"/>
    </row>
    <row customHeight="1" ht="54">
      <c r="A49" s="846"/>
      <c r="B49" s="900">
        <v>32</v>
      </c>
      <c r="C49" s="844" t="s">
        <v>2143</v>
      </c>
      <c r="D49" s="968"/>
      <c r="E49" s="844"/>
      <c r="F49" s="844"/>
      <c r="G49" s="844"/>
      <c r="H49" s="892"/>
      <c r="I49" s="1006" t="str">
        <f>INDEX(TEMPLATE_NUMBER_POINT_FHD,B49,MATCH(TEMPLATE_SPHERE,TEMPLATE_SPHERE_LIST_FOR_NOTE,0))</f>
        <v>2.11.1</v>
      </c>
      <c r="J49" s="1006"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06">
        <f>INDEX(TEMPLATE_NOTE_POINT_FHD,B49,MATCH(TEMPLATE_SPHERE,TEMPLATE_SPHERE_LIST_FOR_NOTE,0))</f>
        <v>0</v>
      </c>
      <c r="L49" s="845" t="str">
        <f>IF(I49=0,"",I49)</f>
        <v>2.11.1</v>
      </c>
      <c r="M49" s="845"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45" t="str">
        <f>IF(K49=0,"",K49)</f>
        <v/>
      </c>
      <c r="O49" s="958"/>
      <c r="P49" s="958" t="s">
        <v>2126</v>
      </c>
      <c r="Q49" s="958" t="s">
        <v>2144</v>
      </c>
      <c r="R49" s="958" t="s">
        <v>2126</v>
      </c>
      <c r="S49" s="958"/>
      <c r="T49" s="844"/>
      <c r="U49" s="844" t="s">
        <v>2139</v>
      </c>
      <c r="V49" s="844" t="s">
        <v>2139</v>
      </c>
      <c r="W49" s="844" t="s">
        <v>2139</v>
      </c>
      <c r="X49" s="844"/>
      <c r="Y49" s="1001"/>
      <c r="Z49" s="847"/>
      <c r="AA49" s="850"/>
      <c r="AB49" s="850"/>
      <c r="AC49" s="850"/>
      <c r="AD49" s="847"/>
    </row>
    <row customHeight="1" ht="126">
      <c r="A50" s="846"/>
      <c r="B50" s="900">
        <v>33</v>
      </c>
      <c r="C50" s="844">
        <v>17</v>
      </c>
      <c r="D50" s="968"/>
      <c r="E50" s="844"/>
      <c r="F50" s="844"/>
      <c r="G50" s="844"/>
      <c r="H50" s="892"/>
      <c r="I50" s="1006" t="str">
        <f>INDEX(TEMPLATE_NUMBER_POINT_FHD,B50,MATCH(TEMPLATE_SPHERE,TEMPLATE_SPHERE_LIST_FOR_NOTE,0))</f>
        <v>2.12</v>
      </c>
      <c r="J50" s="1006" t="str">
        <f>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1006"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45" t="str">
        <f>IF(I50=0,"",I50)</f>
        <v>2.12</v>
      </c>
      <c r="M50" s="845" t="str">
        <f>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845"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58" t="s">
        <v>2140</v>
      </c>
      <c r="P50" s="958" t="s">
        <v>2133</v>
      </c>
      <c r="Q50" s="958" t="s">
        <v>2145</v>
      </c>
      <c r="R50" s="958" t="s">
        <v>2133</v>
      </c>
      <c r="S50" s="958"/>
      <c r="T50" s="844" t="s">
        <v>2146</v>
      </c>
      <c r="U50" s="844" t="s">
        <v>2147</v>
      </c>
      <c r="V50" s="844" t="s">
        <v>2148</v>
      </c>
      <c r="W50" s="844" t="s">
        <v>2149</v>
      </c>
      <c r="X50" s="844"/>
      <c r="Y50" s="1001"/>
      <c r="Z50" s="847" t="s">
        <v>2150</v>
      </c>
      <c r="AA50" s="850" t="s">
        <v>2151</v>
      </c>
      <c r="AB50" s="850" t="s">
        <v>2151</v>
      </c>
      <c r="AC50" s="850" t="s">
        <v>2151</v>
      </c>
      <c r="AD50" s="847"/>
    </row>
    <row customHeight="1" ht="27">
      <c r="A51" s="846"/>
      <c r="B51" s="900">
        <v>34</v>
      </c>
      <c r="C51" s="844" t="s">
        <v>2152</v>
      </c>
      <c r="D51" s="968"/>
      <c r="E51" s="844"/>
      <c r="F51" s="844"/>
      <c r="G51" s="844"/>
      <c r="H51" s="892"/>
      <c r="I51" s="1006">
        <f>INDEX(TEMPLATE_NUMBER_POINT_FHD,B51,MATCH(TEMPLATE_SPHERE,TEMPLATE_SPHERE_LIST_FOR_NOTE,0))</f>
        <v>0</v>
      </c>
      <c r="J51" s="1006">
        <f>INDEX(TEMPLATE_DATA_POINT_FHD,B51,MATCH(TEMPLATE_SPHERE,TEMPLATE_SPHERE_LIST_FOR_NOTE,0))</f>
        <v>0</v>
      </c>
      <c r="K51" s="1006">
        <f>INDEX(TEMPLATE_NOTE_POINT_FHD,B51,MATCH(TEMPLATE_SPHERE,TEMPLATE_SPHERE_LIST_FOR_NOTE,0))</f>
        <v>0</v>
      </c>
      <c r="L51" s="845" t="str">
        <f>IF(I51=0,"",I51)</f>
        <v/>
      </c>
      <c r="M51" s="845" t="str">
        <f>IF(J51=0,"",J51)</f>
        <v/>
      </c>
      <c r="N51" s="845" t="str">
        <f>IF(K51=0,"",K51)</f>
        <v/>
      </c>
      <c r="O51" s="958" t="s">
        <v>92</v>
      </c>
      <c r="P51" s="958"/>
      <c r="Q51" s="958"/>
      <c r="R51" s="958"/>
      <c r="S51" s="958"/>
      <c r="T51" s="844" t="s">
        <v>2153</v>
      </c>
      <c r="U51" s="844"/>
      <c r="V51" s="844"/>
      <c r="W51" s="844"/>
      <c r="X51" s="844"/>
      <c r="Y51" s="1001"/>
      <c r="Z51" s="847"/>
      <c r="AA51" s="850"/>
      <c r="AB51" s="850"/>
      <c r="AC51" s="850"/>
      <c r="AD51" s="847"/>
    </row>
    <row customHeight="1" ht="36">
      <c r="A52" s="846"/>
      <c r="B52" s="900">
        <v>35</v>
      </c>
      <c r="C52" s="844" t="s">
        <v>2046</v>
      </c>
      <c r="D52" s="968" t="s">
        <v>2046</v>
      </c>
      <c r="E52" s="844" t="s">
        <v>2046</v>
      </c>
      <c r="F52" s="844" t="s">
        <v>2046</v>
      </c>
      <c r="G52" s="844"/>
      <c r="H52" s="892"/>
      <c r="I52" s="1006" t="str">
        <f>INDEX(TEMPLATE_NUMBER_POINT_FHD,B52,MATCH(TEMPLATE_SPHERE,TEMPLATE_SPHERE_LIST_FOR_NOTE,0))</f>
        <v>3</v>
      </c>
      <c r="J52" s="1006" t="str">
        <f>INDEX(TEMPLATE_DATA_POINT_FHD,B52,MATCH(TEMPLATE_SPHERE,TEMPLATE_SPHERE_LIST_FOR_NOTE,0))</f>
        <v>Чистая прибыль, полученная от регулируемого вида деятельности в сфере холодного водоснабжения, в том числе:</v>
      </c>
      <c r="K52" s="1006" t="str">
        <f>INDEX(TEMPLATE_NOTE_POINT_FHD,B52,MATCH(TEMPLATE_SPHERE,TEMPLATE_SPHERE_LIST_FOR_NOTE,0))</f>
        <v>Указывается общая сумма чистой прибыли, полученной от регулируемого вида деятельности.</v>
      </c>
      <c r="L52" s="845" t="str">
        <f>IF(I52=0,"",I52)</f>
        <v>3</v>
      </c>
      <c r="M52" s="845" t="str">
        <f>IF(J52=0,"",J52)</f>
        <v>Чистая прибыль, полученная от регулируемого вида деятельности в сфере холодного водоснабжения, в том числе:</v>
      </c>
      <c r="N52" s="845" t="str">
        <f>IF(K52=0,"",K52)</f>
        <v>Указывается общая сумма чистой прибыли, полученной от регулируемого вида деятельности.</v>
      </c>
      <c r="O52" s="958" t="s">
        <v>93</v>
      </c>
      <c r="P52" s="958" t="s">
        <v>92</v>
      </c>
      <c r="Q52" s="958" t="s">
        <v>92</v>
      </c>
      <c r="R52" s="958" t="s">
        <v>92</v>
      </c>
      <c r="S52" s="958"/>
      <c r="T52" s="844" t="s">
        <v>2154</v>
      </c>
      <c r="U52" s="844" t="s">
        <v>2155</v>
      </c>
      <c r="V52" s="844" t="s">
        <v>2156</v>
      </c>
      <c r="W52" s="844" t="s">
        <v>2157</v>
      </c>
      <c r="X52" s="844"/>
      <c r="Y52" s="1001"/>
      <c r="Z52" s="847" t="s">
        <v>760</v>
      </c>
      <c r="AA52" s="850" t="s">
        <v>760</v>
      </c>
      <c r="AB52" s="850" t="s">
        <v>760</v>
      </c>
      <c r="AC52" s="850" t="s">
        <v>760</v>
      </c>
      <c r="AD52" s="847"/>
    </row>
    <row customHeight="1" ht="36">
      <c r="A53" s="846"/>
      <c r="B53" s="900">
        <v>36</v>
      </c>
      <c r="C53" s="844">
        <v>1</v>
      </c>
      <c r="D53" s="968"/>
      <c r="E53" s="844"/>
      <c r="F53" s="844"/>
      <c r="G53" s="844"/>
      <c r="H53" s="892"/>
      <c r="I53" s="1006" t="str">
        <f>INDEX(TEMPLATE_NUMBER_POINT_FHD,B53,MATCH(TEMPLATE_SPHERE,TEMPLATE_SPHERE_LIST_FOR_NOTE,0))</f>
        <v>3.1</v>
      </c>
      <c r="J53" s="1006"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6">
        <f>INDEX(TEMPLATE_NOTE_POINT_FHD,B53,MATCH(TEMPLATE_SPHERE,TEMPLATE_SPHERE_LIST_FOR_NOTE,0))</f>
        <v>0</v>
      </c>
      <c r="L53" s="845" t="str">
        <f>IF(I53=0,"",I53)</f>
        <v>3.1</v>
      </c>
      <c r="M53" s="845"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5" t="str">
        <f>IF(K53=0,"",K53)</f>
        <v/>
      </c>
      <c r="O53" s="958" t="s">
        <v>764</v>
      </c>
      <c r="P53" s="958" t="s">
        <v>336</v>
      </c>
      <c r="Q53" s="958" t="s">
        <v>336</v>
      </c>
      <c r="R53" s="958" t="s">
        <v>336</v>
      </c>
      <c r="S53" s="958"/>
      <c r="T53" s="844" t="s">
        <v>2158</v>
      </c>
      <c r="U53" s="844" t="s">
        <v>2158</v>
      </c>
      <c r="V53" s="844" t="s">
        <v>2158</v>
      </c>
      <c r="W53" s="844" t="s">
        <v>2158</v>
      </c>
      <c r="X53" s="844"/>
      <c r="Y53" s="1001"/>
      <c r="Z53" s="847"/>
      <c r="AA53" s="850"/>
      <c r="AB53" s="847"/>
      <c r="AC53" s="847"/>
      <c r="AD53" s="847"/>
    </row>
    <row customHeight="1" ht="18">
      <c r="A54" s="846"/>
      <c r="B54" s="900">
        <v>37</v>
      </c>
      <c r="C54" s="844" t="s">
        <v>2052</v>
      </c>
      <c r="D54" s="968" t="s">
        <v>2052</v>
      </c>
      <c r="E54" s="844" t="s">
        <v>2052</v>
      </c>
      <c r="F54" s="844" t="s">
        <v>2052</v>
      </c>
      <c r="G54" s="844"/>
      <c r="H54" s="892"/>
      <c r="I54" s="1006" t="str">
        <f>INDEX(TEMPLATE_NUMBER_POINT_FHD,B54,MATCH(TEMPLATE_SPHERE,TEMPLATE_SPHERE_LIST_FOR_NOTE,0))</f>
        <v>4</v>
      </c>
      <c r="J54" s="1006" t="str">
        <f>INDEX(TEMPLATE_DATA_POINT_FHD,B54,MATCH(TEMPLATE_SPHERE,TEMPLATE_SPHERE_LIST_FOR_NOTE,0))</f>
        <v>Изменение стоимости основных фондов, в том числе:</v>
      </c>
      <c r="K54" s="1006" t="str">
        <f>INDEX(TEMPLATE_NOTE_POINT_FHD,B54,MATCH(TEMPLATE_SPHERE,TEMPLATE_SPHERE_LIST_FOR_NOTE,0))</f>
        <v>Указывается общее изменение стоимости основных фондов.</v>
      </c>
      <c r="L54" s="845" t="str">
        <f>IF(I54=0,"",I54)</f>
        <v>4</v>
      </c>
      <c r="M54" s="845" t="str">
        <f>IF(J54=0,"",J54)</f>
        <v>Изменение стоимости основных фондов, в том числе:</v>
      </c>
      <c r="N54" s="845" t="str">
        <f>IF(K54=0,"",K54)</f>
        <v>Указывается общее изменение стоимости основных фондов.</v>
      </c>
      <c r="O54" s="958" t="s">
        <v>114</v>
      </c>
      <c r="P54" s="958" t="s">
        <v>93</v>
      </c>
      <c r="Q54" s="958" t="s">
        <v>93</v>
      </c>
      <c r="R54" s="958" t="s">
        <v>93</v>
      </c>
      <c r="S54" s="958"/>
      <c r="T54" s="844" t="s">
        <v>762</v>
      </c>
      <c r="U54" s="844" t="s">
        <v>762</v>
      </c>
      <c r="V54" s="844" t="s">
        <v>762</v>
      </c>
      <c r="W54" s="844" t="s">
        <v>762</v>
      </c>
      <c r="X54" s="844"/>
      <c r="Y54" s="1001"/>
      <c r="Z54" s="847" t="s">
        <v>763</v>
      </c>
      <c r="AA54" s="847" t="s">
        <v>763</v>
      </c>
      <c r="AB54" s="847" t="s">
        <v>763</v>
      </c>
      <c r="AC54" s="847" t="s">
        <v>763</v>
      </c>
      <c r="AD54" s="847"/>
    </row>
    <row customHeight="1" ht="36">
      <c r="A55" s="846"/>
      <c r="B55" s="900">
        <v>38</v>
      </c>
      <c r="C55" s="844">
        <v>1</v>
      </c>
      <c r="D55" s="968"/>
      <c r="E55" s="844"/>
      <c r="F55" s="844"/>
      <c r="G55" s="844"/>
      <c r="H55" s="892"/>
      <c r="I55" s="1006" t="str">
        <f>INDEX(TEMPLATE_NUMBER_POINT_FHD,B55,MATCH(TEMPLATE_SPHERE,TEMPLATE_SPHERE_LIST_FOR_NOTE,0))</f>
        <v>4.1</v>
      </c>
      <c r="J55" s="1006" t="str">
        <f>INDEX(TEMPLATE_DATA_POINT_FHD,B55,MATCH(TEMPLATE_SPHERE,TEMPLATE_SPHERE_LIST_FOR_NOTE,0))</f>
        <v>Изменение стоимости основных фондов за счет их ввода в эксплуатацию (вывода из эксплуатации)</v>
      </c>
      <c r="K55" s="1006"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5" t="str">
        <f>IF(I55=0,"",I55)</f>
        <v>4.1</v>
      </c>
      <c r="M55" s="845" t="str">
        <f>IF(J55=0,"",J55)</f>
        <v>Изменение стоимости основных фондов за счет их ввода в эксплуатацию (вывода из эксплуатации)</v>
      </c>
      <c r="N55" s="845" t="str">
        <f>IF(K55=0,"",K55)</f>
        <v>Указываются общее изменение стоимости основных фондов за счет их ввода в эксплуатацию и вывода из эксплуатации.</v>
      </c>
      <c r="O55" s="958" t="s">
        <v>325</v>
      </c>
      <c r="P55" s="958" t="s">
        <v>764</v>
      </c>
      <c r="Q55" s="958" t="s">
        <v>764</v>
      </c>
      <c r="R55" s="958" t="s">
        <v>764</v>
      </c>
      <c r="S55" s="958"/>
      <c r="T55" s="845"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844" t="s">
        <v>2159</v>
      </c>
      <c r="V55" s="844" t="s">
        <v>2159</v>
      </c>
      <c r="W55" s="844" t="s">
        <v>2159</v>
      </c>
      <c r="X55" s="844"/>
      <c r="Y55" s="1001"/>
      <c r="Z55" s="847" t="s">
        <v>2160</v>
      </c>
      <c r="AA55" s="847" t="s">
        <v>2160</v>
      </c>
      <c r="AB55" s="847" t="s">
        <v>2160</v>
      </c>
      <c r="AC55" s="847" t="s">
        <v>2160</v>
      </c>
      <c r="AD55" s="847"/>
    </row>
    <row customHeight="1" ht="27">
      <c r="A56" s="846"/>
      <c r="B56" s="900">
        <v>39</v>
      </c>
      <c r="C56" s="844" t="s">
        <v>1032</v>
      </c>
      <c r="D56" s="968"/>
      <c r="E56" s="844"/>
      <c r="F56" s="844"/>
      <c r="G56" s="844"/>
      <c r="H56" s="892"/>
      <c r="I56" s="1006" t="str">
        <f>INDEX(TEMPLATE_NUMBER_POINT_FHD,B56,MATCH(TEMPLATE_SPHERE,TEMPLATE_SPHERE_LIST_FOR_NOTE,0))</f>
        <v>4.1.1</v>
      </c>
      <c r="J56" s="1006" t="str">
        <f>INDEX(TEMPLATE_DATA_POINT_FHD,B56,MATCH(TEMPLATE_SPHERE,TEMPLATE_SPHERE_LIST_FOR_NOTE,0))</f>
        <v>Изменение стоимости основных фондов за счет их ввода в эксплуатацию</v>
      </c>
      <c r="K56" s="1006" t="str">
        <f>INDEX(TEMPLATE_NOTE_POINT_FHD,B56,MATCH(TEMPLATE_SPHERE,TEMPLATE_SPHERE_LIST_FOR_NOTE,0))</f>
        <v>Указываются изменение стоимости основных фондов за счет их ввода в эксплуатацию.</v>
      </c>
      <c r="L56" s="845" t="str">
        <f>IF(I56=0,"",I56)</f>
        <v>4.1.1</v>
      </c>
      <c r="M56" s="845" t="str">
        <f>IF(J56=0,"",J56)</f>
        <v>Изменение стоимости основных фондов за счет их ввода в эксплуатацию</v>
      </c>
      <c r="N56" s="845" t="str">
        <f>IF(K56=0,"",K56)</f>
        <v>Указываются изменение стоимости основных фондов за счет их ввода в эксплуатацию.</v>
      </c>
      <c r="O56" s="958" t="s">
        <v>1155</v>
      </c>
      <c r="P56" s="958" t="s">
        <v>767</v>
      </c>
      <c r="Q56" s="958" t="s">
        <v>767</v>
      </c>
      <c r="R56" s="958" t="s">
        <v>767</v>
      </c>
      <c r="S56" s="958"/>
      <c r="T56" s="845"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844" t="s">
        <v>2161</v>
      </c>
      <c r="V56" s="844" t="s">
        <v>2161</v>
      </c>
      <c r="W56" s="844" t="s">
        <v>2161</v>
      </c>
      <c r="X56" s="844"/>
      <c r="Y56" s="1001"/>
      <c r="Z56" s="847" t="s">
        <v>769</v>
      </c>
      <c r="AA56" s="847" t="s">
        <v>769</v>
      </c>
      <c r="AB56" s="847" t="s">
        <v>769</v>
      </c>
      <c r="AC56" s="847" t="s">
        <v>769</v>
      </c>
      <c r="AD56" s="847"/>
    </row>
    <row customHeight="1" ht="27">
      <c r="A57" s="846"/>
      <c r="B57" s="900">
        <v>40</v>
      </c>
      <c r="C57" s="844" t="s">
        <v>1034</v>
      </c>
      <c r="D57" s="968"/>
      <c r="E57" s="844"/>
      <c r="F57" s="844"/>
      <c r="G57" s="844"/>
      <c r="H57" s="892"/>
      <c r="I57" s="1006" t="str">
        <f>INDEX(TEMPLATE_NUMBER_POINT_FHD,B57,MATCH(TEMPLATE_SPHERE,TEMPLATE_SPHERE_LIST_FOR_NOTE,0))</f>
        <v>4.1.2</v>
      </c>
      <c r="J57" s="1006" t="str">
        <f>INDEX(TEMPLATE_DATA_POINT_FHD,B57,MATCH(TEMPLATE_SPHERE,TEMPLATE_SPHERE_LIST_FOR_NOTE,0))</f>
        <v>Изменение стоимости основных фондов за счет их вывода в эксплуатацию</v>
      </c>
      <c r="K57" s="1006" t="str">
        <f>INDEX(TEMPLATE_NOTE_POINT_FHD,B57,MATCH(TEMPLATE_SPHERE,TEMPLATE_SPHERE_LIST_FOR_NOTE,0))</f>
        <v>Указываются изменение стоимости основных фондов за счет их вывода из эксплуатации.</v>
      </c>
      <c r="L57" s="845" t="str">
        <f>IF(I57=0,"",I57)</f>
        <v>4.1.2</v>
      </c>
      <c r="M57" s="845" t="str">
        <f>IF(J57=0,"",J57)</f>
        <v>Изменение стоимости основных фондов за счет их вывода в эксплуатацию</v>
      </c>
      <c r="N57" s="845" t="str">
        <f>IF(K57=0,"",K57)</f>
        <v>Указываются изменение стоимости основных фондов за счет их вывода из эксплуатации.</v>
      </c>
      <c r="O57" s="958" t="s">
        <v>2162</v>
      </c>
      <c r="P57" s="958" t="s">
        <v>770</v>
      </c>
      <c r="Q57" s="958" t="s">
        <v>770</v>
      </c>
      <c r="R57" s="958" t="s">
        <v>770</v>
      </c>
      <c r="S57" s="958"/>
      <c r="T57" s="845"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844" t="s">
        <v>2163</v>
      </c>
      <c r="V57" s="844" t="s">
        <v>2163</v>
      </c>
      <c r="W57" s="844" t="s">
        <v>2163</v>
      </c>
      <c r="X57" s="844"/>
      <c r="Y57" s="1001"/>
      <c r="Z57" s="847" t="s">
        <v>772</v>
      </c>
      <c r="AA57" s="847" t="s">
        <v>772</v>
      </c>
      <c r="AB57" s="847" t="s">
        <v>772</v>
      </c>
      <c r="AC57" s="847" t="s">
        <v>772</v>
      </c>
      <c r="AD57" s="847"/>
    </row>
    <row customHeight="1" ht="18">
      <c r="A58" s="846"/>
      <c r="B58" s="900">
        <v>41</v>
      </c>
      <c r="C58" s="844">
        <v>2</v>
      </c>
      <c r="D58" s="968"/>
      <c r="E58" s="844"/>
      <c r="F58" s="844"/>
      <c r="G58" s="844"/>
      <c r="H58" s="892"/>
      <c r="I58" s="1006" t="str">
        <f>INDEX(TEMPLATE_NUMBER_POINT_FHD,B58,MATCH(TEMPLATE_SPHERE,TEMPLATE_SPHERE_LIST_FOR_NOTE,0))</f>
        <v>4.2</v>
      </c>
      <c r="J58" s="1006" t="str">
        <f>INDEX(TEMPLATE_DATA_POINT_FHD,B58,MATCH(TEMPLATE_SPHERE,TEMPLATE_SPHERE_LIST_FOR_NOTE,0))</f>
        <v>Изменение стоимости основных фондов за счет их переоценки</v>
      </c>
      <c r="K58" s="1006">
        <f>INDEX(TEMPLATE_NOTE_POINT_FHD,B58,MATCH(TEMPLATE_SPHERE,TEMPLATE_SPHERE_LIST_FOR_NOTE,0))</f>
        <v>0</v>
      </c>
      <c r="L58" s="845" t="str">
        <f>IF(I58=0,"",I58)</f>
        <v>4.2</v>
      </c>
      <c r="M58" s="845" t="str">
        <f>IF(J58=0,"",J58)</f>
        <v>Изменение стоимости основных фондов за счет их переоценки</v>
      </c>
      <c r="N58" s="845" t="str">
        <f>IF(K58=0,"",K58)</f>
        <v/>
      </c>
      <c r="O58" s="958" t="s">
        <v>892</v>
      </c>
      <c r="P58" s="958" t="s">
        <v>806</v>
      </c>
      <c r="Q58" s="958" t="s">
        <v>806</v>
      </c>
      <c r="R58" s="958" t="s">
        <v>806</v>
      </c>
      <c r="S58" s="958"/>
      <c r="T58" s="845" t="str">
        <f>IF(TITLE_TYPE_ORG="Регулируемая организация","Изменение стоимости основных фондов за счет их переоценки","за счет их переоценки")</f>
        <v>за счет их переоценки</v>
      </c>
      <c r="U58" s="844" t="s">
        <v>2164</v>
      </c>
      <c r="V58" s="844" t="s">
        <v>2164</v>
      </c>
      <c r="W58" s="844" t="s">
        <v>2164</v>
      </c>
      <c r="X58" s="844"/>
      <c r="Y58" s="1001"/>
      <c r="Z58" s="847"/>
      <c r="AA58" s="850"/>
      <c r="AB58" s="847"/>
      <c r="AC58" s="847"/>
      <c r="AD58" s="847"/>
    </row>
    <row customHeight="1" ht="36">
      <c r="A59" s="846"/>
      <c r="B59" s="900">
        <v>42</v>
      </c>
      <c r="C59" s="844">
        <v>3</v>
      </c>
      <c r="D59" s="968" t="s">
        <v>2152</v>
      </c>
      <c r="E59" s="844" t="s">
        <v>2152</v>
      </c>
      <c r="F59" s="844" t="s">
        <v>2152</v>
      </c>
      <c r="G59" s="844"/>
      <c r="H59" s="892"/>
      <c r="I59" s="1006" t="str">
        <f>INDEX(TEMPLATE_NUMBER_POINT_FHD,B59,MATCH(TEMPLATE_SPHERE,TEMPLATE_SPHERE_LIST_FOR_NOTE,0))</f>
        <v>5</v>
      </c>
      <c r="J59" s="1006" t="str">
        <f>INDEX(TEMPLATE_DATA_POINT_FHD,B59,MATCH(TEMPLATE_SPHERE,TEMPLATE_SPHERE_LIST_FOR_NOTE,0))</f>
        <v>Валовая прибыль (убытки) от продажи товаров и услуг по регулируемым видам деятельности в сфере холодного водоснабжения</v>
      </c>
      <c r="K59" s="1006">
        <f>INDEX(TEMPLATE_NOTE_POINT_FHD,B59,MATCH(TEMPLATE_SPHERE,TEMPLATE_SPHERE_LIST_FOR_NOTE,0))</f>
        <v>0</v>
      </c>
      <c r="L59" s="845" t="str">
        <f>IF(I59=0,"",I59)</f>
        <v>5</v>
      </c>
      <c r="M59" s="845" t="str">
        <f>IF(J59=0,"",J59)</f>
        <v>Валовая прибыль (убытки) от продажи товаров и услуг по регулируемым видам деятельности в сфере холодного водоснабжения</v>
      </c>
      <c r="N59" s="845" t="str">
        <f>IF(K59=0,"",K59)</f>
        <v/>
      </c>
      <c r="O59" s="958"/>
      <c r="P59" s="958" t="s">
        <v>114</v>
      </c>
      <c r="Q59" s="958" t="s">
        <v>114</v>
      </c>
      <c r="R59" s="958" t="s">
        <v>114</v>
      </c>
      <c r="S59" s="958"/>
      <c r="T59" s="844"/>
      <c r="U59" s="844" t="s">
        <v>2165</v>
      </c>
      <c r="V59" s="844" t="s">
        <v>2166</v>
      </c>
      <c r="W59" s="844" t="s">
        <v>2167</v>
      </c>
      <c r="X59" s="844"/>
      <c r="Y59" s="1001"/>
      <c r="Z59" s="847"/>
      <c r="AA59" s="850"/>
      <c r="AB59" s="847"/>
      <c r="AC59" s="847"/>
      <c r="AD59" s="847"/>
    </row>
    <row customHeight="1" ht="81">
      <c r="A60" s="846"/>
      <c r="B60" s="900">
        <v>43</v>
      </c>
      <c r="C60" s="844" t="s">
        <v>2168</v>
      </c>
      <c r="D60" s="968" t="s">
        <v>2168</v>
      </c>
      <c r="E60" s="844" t="s">
        <v>2168</v>
      </c>
      <c r="F60" s="844" t="s">
        <v>2168</v>
      </c>
      <c r="G60" s="844"/>
      <c r="H60" s="892"/>
      <c r="I60" s="1006" t="str">
        <f>INDEX(TEMPLATE_NUMBER_POINT_FHD,B60,MATCH(TEMPLATE_SPHERE,TEMPLATE_SPHERE_LIST_FOR_NOTE,0))</f>
        <v>6</v>
      </c>
      <c r="J60" s="1006"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6"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845" t="str">
        <f>IF(I60=0,"",I60)</f>
        <v>6</v>
      </c>
      <c r="M60" s="845" t="str">
        <f>IF(J60=0,"",J60)</f>
        <v>Годовая бухгалтерская (финансовая) отчетность, включая бухгалтерский баланс и приложения к нему</v>
      </c>
      <c r="N60" s="845"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958" t="s">
        <v>94</v>
      </c>
      <c r="P60" s="958" t="s">
        <v>94</v>
      </c>
      <c r="Q60" s="958" t="s">
        <v>94</v>
      </c>
      <c r="R60" s="958" t="s">
        <v>94</v>
      </c>
      <c r="S60" s="958"/>
      <c r="T60" s="844" t="s">
        <v>640</v>
      </c>
      <c r="U60" s="844" t="s">
        <v>640</v>
      </c>
      <c r="V60" s="844" t="s">
        <v>640</v>
      </c>
      <c r="W60" s="844" t="s">
        <v>640</v>
      </c>
      <c r="X60" s="844"/>
      <c r="Y60" s="1001"/>
      <c r="Z60" s="847" t="s">
        <v>2169</v>
      </c>
      <c r="AA60" s="850" t="s">
        <v>2170</v>
      </c>
      <c r="AB60" s="847" t="s">
        <v>2171</v>
      </c>
      <c r="AC60" s="847" t="s">
        <v>2170</v>
      </c>
      <c r="AD60" s="847"/>
    </row>
    <row customHeight="1" ht="9">
      <c r="A61" s="846"/>
      <c r="B61" s="900">
        <v>44</v>
      </c>
      <c r="C61" s="844"/>
      <c r="D61" s="968" t="s">
        <v>2172</v>
      </c>
      <c r="E61" s="844"/>
      <c r="F61" s="844"/>
      <c r="G61" s="844"/>
      <c r="H61" s="892"/>
      <c r="I61" s="1006" t="str">
        <f>INDEX(TEMPLATE_NUMBER_POINT_FHD,B61,MATCH(TEMPLATE_SPHERE,TEMPLATE_SPHERE_LIST_FOR_NOTE,0))</f>
        <v>7</v>
      </c>
      <c r="J61" s="1006" t="str">
        <f>INDEX(TEMPLATE_DATA_POINT_FHD,B61,MATCH(TEMPLATE_SPHERE,TEMPLATE_SPHERE_LIST_FOR_NOTE,0))</f>
        <v>Объём поднятой воды</v>
      </c>
      <c r="K61" s="1006">
        <f>INDEX(TEMPLATE_NOTE_POINT_FHD,B61,MATCH(TEMPLATE_SPHERE,TEMPLATE_SPHERE_LIST_FOR_NOTE,0))</f>
        <v>0</v>
      </c>
      <c r="L61" s="845" t="str">
        <f>IF(I61=0,"",I61)</f>
        <v>7</v>
      </c>
      <c r="M61" s="845" t="str">
        <f>IF(J61=0,"",J61)</f>
        <v>Объём поднятой воды</v>
      </c>
      <c r="N61" s="845" t="str">
        <f>IF(K61=0,"",K61)</f>
        <v/>
      </c>
      <c r="O61" s="958"/>
      <c r="P61" s="958" t="s">
        <v>95</v>
      </c>
      <c r="Q61" s="958"/>
      <c r="R61" s="958"/>
      <c r="S61" s="958"/>
      <c r="T61" s="844"/>
      <c r="U61" s="844" t="s">
        <v>2173</v>
      </c>
      <c r="V61" s="844"/>
      <c r="W61" s="844"/>
      <c r="X61" s="844"/>
      <c r="Y61" s="1001"/>
      <c r="Z61" s="847"/>
      <c r="AA61" s="850"/>
      <c r="AB61" s="847"/>
      <c r="AC61" s="847"/>
      <c r="AD61" s="847"/>
    </row>
    <row customHeight="1" ht="9">
      <c r="A62" s="846"/>
      <c r="B62" s="900">
        <v>45</v>
      </c>
      <c r="C62" s="844"/>
      <c r="D62" s="968" t="s">
        <v>2174</v>
      </c>
      <c r="E62" s="844"/>
      <c r="F62" s="844"/>
      <c r="G62" s="844"/>
      <c r="H62" s="892"/>
      <c r="I62" s="1006" t="str">
        <f>INDEX(TEMPLATE_NUMBER_POINT_FHD,B62,MATCH(TEMPLATE_SPHERE,TEMPLATE_SPHERE_LIST_FOR_NOTE,0))</f>
        <v>8</v>
      </c>
      <c r="J62" s="1006" t="str">
        <f>INDEX(TEMPLATE_DATA_POINT_FHD,B62,MATCH(TEMPLATE_SPHERE,TEMPLATE_SPHERE_LIST_FOR_NOTE,0))</f>
        <v>Объём покупной воды</v>
      </c>
      <c r="K62" s="1006">
        <f>INDEX(TEMPLATE_NOTE_POINT_FHD,B62,MATCH(TEMPLATE_SPHERE,TEMPLATE_SPHERE_LIST_FOR_NOTE,0))</f>
        <v>0</v>
      </c>
      <c r="L62" s="845" t="str">
        <f>IF(I62=0,"",I62)</f>
        <v>8</v>
      </c>
      <c r="M62" s="845" t="str">
        <f>IF(J62=0,"",J62)</f>
        <v>Объём покупной воды</v>
      </c>
      <c r="N62" s="845" t="str">
        <f>IF(K62=0,"",K62)</f>
        <v/>
      </c>
      <c r="O62" s="958"/>
      <c r="P62" s="958" t="s">
        <v>115</v>
      </c>
      <c r="Q62" s="958"/>
      <c r="R62" s="958"/>
      <c r="S62" s="958"/>
      <c r="T62" s="844"/>
      <c r="U62" s="844" t="s">
        <v>2175</v>
      </c>
      <c r="V62" s="844"/>
      <c r="W62" s="844"/>
      <c r="X62" s="844"/>
      <c r="Y62" s="1001"/>
      <c r="Z62" s="847"/>
      <c r="AA62" s="850"/>
      <c r="AB62" s="847"/>
      <c r="AC62" s="847"/>
      <c r="AD62" s="847"/>
    </row>
    <row customHeight="1" ht="18">
      <c r="A63" s="846"/>
      <c r="B63" s="900">
        <v>46</v>
      </c>
      <c r="C63" s="844"/>
      <c r="D63" s="968" t="s">
        <v>2176</v>
      </c>
      <c r="E63" s="844"/>
      <c r="F63" s="844"/>
      <c r="G63" s="844"/>
      <c r="H63" s="892"/>
      <c r="I63" s="1006" t="str">
        <f>INDEX(TEMPLATE_NUMBER_POINT_FHD,B63,MATCH(TEMPLATE_SPHERE,TEMPLATE_SPHERE_LIST_FOR_NOTE,0))</f>
        <v>9</v>
      </c>
      <c r="J63" s="1006" t="str">
        <f>INDEX(TEMPLATE_DATA_POINT_FHD,B63,MATCH(TEMPLATE_SPHERE,TEMPLATE_SPHERE_LIST_FOR_NOTE,0))</f>
        <v>Объём воды, пропущенной через очистные сооружения</v>
      </c>
      <c r="K63" s="1006">
        <f>INDEX(TEMPLATE_NOTE_POINT_FHD,B63,MATCH(TEMPLATE_SPHERE,TEMPLATE_SPHERE_LIST_FOR_NOTE,0))</f>
        <v>0</v>
      </c>
      <c r="L63" s="845" t="str">
        <f>IF(I63=0,"",I63)</f>
        <v>9</v>
      </c>
      <c r="M63" s="845" t="str">
        <f>IF(J63=0,"",J63)</f>
        <v>Объём воды, пропущенной через очистные сооружения</v>
      </c>
      <c r="N63" s="845" t="str">
        <f>IF(K63=0,"",K63)</f>
        <v/>
      </c>
      <c r="O63" s="958"/>
      <c r="P63" s="958" t="s">
        <v>151</v>
      </c>
      <c r="Q63" s="958"/>
      <c r="R63" s="958"/>
      <c r="S63" s="958"/>
      <c r="T63" s="844"/>
      <c r="U63" s="844" t="s">
        <v>2177</v>
      </c>
      <c r="V63" s="844"/>
      <c r="W63" s="844"/>
      <c r="X63" s="844"/>
      <c r="Y63" s="1001"/>
      <c r="Z63" s="847"/>
      <c r="AA63" s="850"/>
      <c r="AB63" s="847"/>
      <c r="AC63" s="847"/>
      <c r="AD63" s="847"/>
    </row>
    <row customHeight="1" ht="18">
      <c r="A64" s="846"/>
      <c r="B64" s="900">
        <v>47</v>
      </c>
      <c r="C64" s="844"/>
      <c r="D64" s="968" t="s">
        <v>2178</v>
      </c>
      <c r="E64" s="844"/>
      <c r="F64" s="844"/>
      <c r="G64" s="844"/>
      <c r="H64" s="892"/>
      <c r="I64" s="1006" t="str">
        <f>INDEX(TEMPLATE_NUMBER_POINT_FHD,B64,MATCH(TEMPLATE_SPHERE,TEMPLATE_SPHERE_LIST_FOR_NOTE,0))</f>
        <v>10</v>
      </c>
      <c r="J64" s="1006" t="str">
        <f>INDEX(TEMPLATE_DATA_POINT_FHD,B64,MATCH(TEMPLATE_SPHERE,TEMPLATE_SPHERE_LIST_FOR_NOTE,0))</f>
        <v>Объём отпущенной потребителям воды, в том числе:</v>
      </c>
      <c r="K64" s="1006" t="str">
        <f>INDEX(TEMPLATE_NOTE_POINT_FHD,B64,MATCH(TEMPLATE_SPHERE,TEMPLATE_SPHERE_LIST_FOR_NOTE,0))</f>
        <v>Указывается общий объем отпущенной потребителям воды.</v>
      </c>
      <c r="L64" s="845" t="str">
        <f>IF(I64=0,"",I64)</f>
        <v>10</v>
      </c>
      <c r="M64" s="845" t="str">
        <f>IF(J64=0,"",J64)</f>
        <v>Объём отпущенной потребителям воды, в том числе:</v>
      </c>
      <c r="N64" s="845" t="str">
        <f>IF(K64=0,"",K64)</f>
        <v>Указывается общий объем отпущенной потребителям воды.</v>
      </c>
      <c r="O64" s="958"/>
      <c r="P64" s="958" t="s">
        <v>152</v>
      </c>
      <c r="Q64" s="958"/>
      <c r="R64" s="958"/>
      <c r="S64" s="958"/>
      <c r="T64" s="844"/>
      <c r="U64" s="844" t="s">
        <v>2179</v>
      </c>
      <c r="V64" s="844"/>
      <c r="W64" s="844"/>
      <c r="X64" s="844"/>
      <c r="Y64" s="1001"/>
      <c r="Z64" s="847"/>
      <c r="AA64" s="850" t="s">
        <v>2180</v>
      </c>
      <c r="AB64" s="847"/>
      <c r="AC64" s="847"/>
      <c r="AD64" s="847"/>
    </row>
    <row customHeight="1" ht="18">
      <c r="A65" s="846"/>
      <c r="B65" s="900">
        <v>48</v>
      </c>
      <c r="C65" s="844"/>
      <c r="D65" s="968"/>
      <c r="E65" s="844"/>
      <c r="F65" s="844"/>
      <c r="G65" s="844"/>
      <c r="H65" s="892"/>
      <c r="I65" s="1006" t="str">
        <f>INDEX(TEMPLATE_NUMBER_POINT_FHD,B65,MATCH(TEMPLATE_SPHERE,TEMPLATE_SPHERE_LIST_FOR_NOTE,0))</f>
        <v>10.1</v>
      </c>
      <c r="J65" s="1006" t="str">
        <f>INDEX(TEMPLATE_DATA_POINT_FHD,B65,MATCH(TEMPLATE_SPHERE,TEMPLATE_SPHERE_LIST_FOR_NOTE,0))</f>
        <v>Объём отпущенной потребителям воды, определенный по приборам учета</v>
      </c>
      <c r="K65" s="1006">
        <f>INDEX(TEMPLATE_NOTE_POINT_FHD,B65,MATCH(TEMPLATE_SPHERE,TEMPLATE_SPHERE_LIST_FOR_NOTE,0))</f>
        <v>0</v>
      </c>
      <c r="L65" s="845" t="str">
        <f>IF(I65=0,"",I65)</f>
        <v>10.1</v>
      </c>
      <c r="M65" s="845" t="str">
        <f>IF(J65=0,"",J65)</f>
        <v>Объём отпущенной потребителям воды, определенный по приборам учета</v>
      </c>
      <c r="N65" s="845" t="str">
        <f>IF(K65=0,"",K65)</f>
        <v/>
      </c>
      <c r="O65" s="958"/>
      <c r="P65" s="958" t="s">
        <v>2093</v>
      </c>
      <c r="Q65" s="958"/>
      <c r="R65" s="958"/>
      <c r="S65" s="958"/>
      <c r="T65" s="844"/>
      <c r="U65" s="844" t="s">
        <v>2181</v>
      </c>
      <c r="V65" s="844"/>
      <c r="W65" s="844"/>
      <c r="X65" s="844"/>
      <c r="Y65" s="1001"/>
      <c r="Z65" s="847"/>
      <c r="AA65" s="850"/>
      <c r="AB65" s="847"/>
      <c r="AC65" s="847"/>
      <c r="AD65" s="847"/>
    </row>
    <row customHeight="1" ht="18">
      <c r="A66" s="846"/>
      <c r="B66" s="900">
        <v>49</v>
      </c>
      <c r="C66" s="844"/>
      <c r="D66" s="968"/>
      <c r="E66" s="844"/>
      <c r="F66" s="844"/>
      <c r="G66" s="844"/>
      <c r="H66" s="892"/>
      <c r="I66" s="1006" t="str">
        <f>INDEX(TEMPLATE_NUMBER_POINT_FHD,B66,MATCH(TEMPLATE_SPHERE,TEMPLATE_SPHERE_LIST_FOR_NOTE,0))</f>
        <v>10.2</v>
      </c>
      <c r="J66" s="1006" t="str">
        <f>INDEX(TEMPLATE_DATA_POINT_FHD,B66,MATCH(TEMPLATE_SPHERE,TEMPLATE_SPHERE_LIST_FOR_NOTE,0))</f>
        <v>Объём отпущенной потребителям воды, определенный расчетным способом</v>
      </c>
      <c r="K66" s="1006">
        <f>INDEX(TEMPLATE_NOTE_POINT_FHD,B66,MATCH(TEMPLATE_SPHERE,TEMPLATE_SPHERE_LIST_FOR_NOTE,0))</f>
        <v>0</v>
      </c>
      <c r="L66" s="845" t="str">
        <f>IF(I66=0,"",I66)</f>
        <v>10.2</v>
      </c>
      <c r="M66" s="845" t="str">
        <f>IF(J66=0,"",J66)</f>
        <v>Объём отпущенной потребителям воды, определенный расчетным способом</v>
      </c>
      <c r="N66" s="845" t="str">
        <f>IF(K66=0,"",K66)</f>
        <v/>
      </c>
      <c r="O66" s="958"/>
      <c r="P66" s="958" t="s">
        <v>2097</v>
      </c>
      <c r="Q66" s="958"/>
      <c r="R66" s="958"/>
      <c r="S66" s="958"/>
      <c r="T66" s="844"/>
      <c r="U66" s="844" t="s">
        <v>2182</v>
      </c>
      <c r="V66" s="844"/>
      <c r="W66" s="844"/>
      <c r="X66" s="844"/>
      <c r="Y66" s="1001"/>
      <c r="Z66" s="847"/>
      <c r="AA66" s="850"/>
      <c r="AB66" s="847"/>
      <c r="AC66" s="847"/>
      <c r="AD66" s="847"/>
    </row>
    <row customHeight="1" ht="27">
      <c r="A67" s="846"/>
      <c r="B67" s="900">
        <v>50</v>
      </c>
      <c r="C67" s="844"/>
      <c r="D67" s="968"/>
      <c r="E67" s="844"/>
      <c r="F67" s="844"/>
      <c r="G67" s="844"/>
      <c r="H67" s="892"/>
      <c r="I67" s="1006" t="str">
        <f>INDEX(TEMPLATE_NUMBER_POINT_FHD,B67,MATCH(TEMPLATE_SPHERE,TEMPLATE_SPHERE_LIST_FOR_NOTE,0))</f>
        <v>10.2.1</v>
      </c>
      <c r="J67" s="1006" t="str">
        <f>INDEX(TEMPLATE_DATA_POINT_FHD,B67,MATCH(TEMPLATE_SPHERE,TEMPLATE_SPHERE_LIST_FOR_NOTE,0))</f>
        <v>Объём отпущенной потребителям воды, определенный по нормативам потребления коммунальных услуг</v>
      </c>
      <c r="K67" s="1006">
        <f>INDEX(TEMPLATE_NOTE_POINT_FHD,B67,MATCH(TEMPLATE_SPHERE,TEMPLATE_SPHERE_LIST_FOR_NOTE,0))</f>
        <v>0</v>
      </c>
      <c r="L67" s="845" t="str">
        <f>IF(I67=0,"",I67)</f>
        <v>10.2.1</v>
      </c>
      <c r="M67" s="845" t="str">
        <f>IF(J67=0,"",J67)</f>
        <v>Объём отпущенной потребителям воды, определенный по нормативам потребления коммунальных услуг</v>
      </c>
      <c r="N67" s="845" t="str">
        <f>IF(K67=0,"",K67)</f>
        <v/>
      </c>
      <c r="O67" s="958"/>
      <c r="P67" s="958" t="s">
        <v>2183</v>
      </c>
      <c r="Q67" s="958"/>
      <c r="R67" s="958"/>
      <c r="S67" s="958"/>
      <c r="T67" s="844"/>
      <c r="U67" s="844" t="s">
        <v>2184</v>
      </c>
      <c r="V67" s="844"/>
      <c r="W67" s="844"/>
      <c r="X67" s="844"/>
      <c r="Y67" s="1001"/>
      <c r="Z67" s="847"/>
      <c r="AA67" s="850"/>
      <c r="AB67" s="847"/>
      <c r="AC67" s="847"/>
      <c r="AD67" s="847"/>
    </row>
    <row customHeight="1" ht="27">
      <c r="A68" s="846"/>
      <c r="B68" s="900">
        <v>51</v>
      </c>
      <c r="C68" s="844"/>
      <c r="D68" s="968"/>
      <c r="E68" s="844"/>
      <c r="F68" s="844"/>
      <c r="G68" s="844"/>
      <c r="H68" s="892"/>
      <c r="I68" s="1006" t="str">
        <f>INDEX(TEMPLATE_NUMBER_POINT_FHD,B68,MATCH(TEMPLATE_SPHERE,TEMPLATE_SPHERE_LIST_FOR_NOTE,0))</f>
        <v>10.2.2</v>
      </c>
      <c r="J68" s="1006" t="str">
        <f>INDEX(TEMPLATE_DATA_POINT_FHD,B68,MATCH(TEMPLATE_SPHERE,TEMPLATE_SPHERE_LIST_FOR_NOTE,0))</f>
        <v>Объём отпущенной потребителям воды, определенный по нормативам потребления коммунальных ресурсов </v>
      </c>
      <c r="K68" s="1006">
        <f>INDEX(TEMPLATE_NOTE_POINT_FHD,B68,MATCH(TEMPLATE_SPHERE,TEMPLATE_SPHERE_LIST_FOR_NOTE,0))</f>
        <v>0</v>
      </c>
      <c r="L68" s="845" t="str">
        <f>IF(I68=0,"",I68)</f>
        <v>10.2.2</v>
      </c>
      <c r="M68" s="845" t="str">
        <f>IF(J68=0,"",J68)</f>
        <v>Объём отпущенной потребителям воды, определенный по нормативам потребления коммунальных ресурсов </v>
      </c>
      <c r="N68" s="845" t="str">
        <f>IF(K68=0,"",K68)</f>
        <v/>
      </c>
      <c r="O68" s="958"/>
      <c r="P68" s="958" t="s">
        <v>2185</v>
      </c>
      <c r="Q68" s="958"/>
      <c r="R68" s="958"/>
      <c r="S68" s="958"/>
      <c r="T68" s="844"/>
      <c r="U68" s="844" t="s">
        <v>2186</v>
      </c>
      <c r="V68" s="844"/>
      <c r="W68" s="844"/>
      <c r="X68" s="844"/>
      <c r="Y68" s="1001"/>
      <c r="Z68" s="847"/>
      <c r="AA68" s="850"/>
      <c r="AB68" s="847"/>
      <c r="AC68" s="847"/>
      <c r="AD68" s="847"/>
    </row>
    <row customHeight="1" ht="9">
      <c r="A69" s="846"/>
      <c r="B69" s="900">
        <v>52</v>
      </c>
      <c r="C69" s="844"/>
      <c r="D69" s="968" t="s">
        <v>2187</v>
      </c>
      <c r="E69" s="844"/>
      <c r="F69" s="844"/>
      <c r="G69" s="844"/>
      <c r="H69" s="892"/>
      <c r="I69" s="1006" t="str">
        <f>INDEX(TEMPLATE_NUMBER_POINT_FHD,B69,MATCH(TEMPLATE_SPHERE,TEMPLATE_SPHERE_LIST_FOR_NOTE,0))</f>
        <v>11</v>
      </c>
      <c r="J69" s="1006" t="str">
        <f>INDEX(TEMPLATE_DATA_POINT_FHD,B69,MATCH(TEMPLATE_SPHERE,TEMPLATE_SPHERE_LIST_FOR_NOTE,0))</f>
        <v>Потери воды в сетях</v>
      </c>
      <c r="K69" s="1006">
        <f>INDEX(TEMPLATE_NOTE_POINT_FHD,B69,MATCH(TEMPLATE_SPHERE,TEMPLATE_SPHERE_LIST_FOR_NOTE,0))</f>
        <v>0</v>
      </c>
      <c r="L69" s="845" t="str">
        <f>IF(I69=0,"",I69)</f>
        <v>11</v>
      </c>
      <c r="M69" s="845" t="str">
        <f>IF(J69=0,"",J69)</f>
        <v>Потери воды в сетях</v>
      </c>
      <c r="N69" s="845" t="str">
        <f>IF(K69=0,"",K69)</f>
        <v/>
      </c>
      <c r="O69" s="958"/>
      <c r="P69" s="958" t="s">
        <v>153</v>
      </c>
      <c r="Q69" s="958"/>
      <c r="R69" s="958"/>
      <c r="S69" s="958"/>
      <c r="T69" s="844"/>
      <c r="U69" s="844" t="s">
        <v>2188</v>
      </c>
      <c r="V69" s="844"/>
      <c r="W69" s="844"/>
      <c r="X69" s="844"/>
      <c r="Y69" s="1001"/>
      <c r="Z69" s="847"/>
      <c r="AA69" s="850"/>
      <c r="AB69" s="847"/>
      <c r="AC69" s="847"/>
      <c r="AD69" s="847"/>
    </row>
    <row customHeight="1" ht="27">
      <c r="A70" s="846"/>
      <c r="B70" s="900">
        <v>53</v>
      </c>
      <c r="C70" s="844"/>
      <c r="D70" s="968"/>
      <c r="E70" s="844" t="s">
        <v>2172</v>
      </c>
      <c r="F70" s="844"/>
      <c r="G70" s="844"/>
      <c r="H70" s="892"/>
      <c r="I70" s="1006">
        <f>INDEX(TEMPLATE_NUMBER_POINT_FHD,B70,MATCH(TEMPLATE_SPHERE,TEMPLATE_SPHERE_LIST_FOR_NOTE,0))</f>
        <v>0</v>
      </c>
      <c r="J70" s="1006">
        <f>INDEX(TEMPLATE_DATA_POINT_FHD,B70,MATCH(TEMPLATE_SPHERE,TEMPLATE_SPHERE_LIST_FOR_NOTE,0))</f>
        <v>0</v>
      </c>
      <c r="K70" s="1006">
        <f>INDEX(TEMPLATE_NOTE_POINT_FHD,B70,MATCH(TEMPLATE_SPHERE,TEMPLATE_SPHERE_LIST_FOR_NOTE,0))</f>
        <v>0</v>
      </c>
      <c r="L70" s="845" t="str">
        <f>IF(I70=0,"",I70)</f>
        <v/>
      </c>
      <c r="M70" s="845" t="str">
        <f>IF(J70=0,"",J70)</f>
        <v/>
      </c>
      <c r="N70" s="845" t="str">
        <f>IF(K70=0,"",K70)</f>
        <v/>
      </c>
      <c r="O70" s="958"/>
      <c r="P70" s="958"/>
      <c r="Q70" s="958" t="s">
        <v>95</v>
      </c>
      <c r="R70" s="958"/>
      <c r="S70" s="958"/>
      <c r="T70" s="844"/>
      <c r="U70" s="844"/>
      <c r="V70" s="844" t="s">
        <v>2189</v>
      </c>
      <c r="W70" s="844"/>
      <c r="X70" s="844"/>
      <c r="Y70" s="1001"/>
      <c r="Z70" s="847"/>
      <c r="AA70" s="850"/>
      <c r="AB70" s="847"/>
      <c r="AC70" s="847"/>
      <c r="AD70" s="847"/>
    </row>
    <row customHeight="1" ht="36">
      <c r="A71" s="846"/>
      <c r="B71" s="900">
        <v>54</v>
      </c>
      <c r="C71" s="844"/>
      <c r="D71" s="968"/>
      <c r="E71" s="844" t="s">
        <v>2174</v>
      </c>
      <c r="F71" s="844"/>
      <c r="G71" s="844"/>
      <c r="H71" s="892"/>
      <c r="I71" s="1006">
        <f>INDEX(TEMPLATE_NUMBER_POINT_FHD,B71,MATCH(TEMPLATE_SPHERE,TEMPLATE_SPHERE_LIST_FOR_NOTE,0))</f>
        <v>0</v>
      </c>
      <c r="J71" s="1006">
        <f>INDEX(TEMPLATE_DATA_POINT_FHD,B71,MATCH(TEMPLATE_SPHERE,TEMPLATE_SPHERE_LIST_FOR_NOTE,0))</f>
        <v>0</v>
      </c>
      <c r="K71" s="1006">
        <f>INDEX(TEMPLATE_NOTE_POINT_FHD,B71,MATCH(TEMPLATE_SPHERE,TEMPLATE_SPHERE_LIST_FOR_NOTE,0))</f>
        <v>0</v>
      </c>
      <c r="L71" s="845" t="str">
        <f>IF(I71=0,"",I71)</f>
        <v/>
      </c>
      <c r="M71" s="845" t="str">
        <f>IF(J71=0,"",J71)</f>
        <v/>
      </c>
      <c r="N71" s="845" t="str">
        <f>IF(K71=0,"",K71)</f>
        <v/>
      </c>
      <c r="O71" s="958"/>
      <c r="P71" s="958"/>
      <c r="Q71" s="958" t="s">
        <v>115</v>
      </c>
      <c r="R71" s="958"/>
      <c r="S71" s="958"/>
      <c r="T71" s="844"/>
      <c r="U71" s="844"/>
      <c r="V71" s="844" t="s">
        <v>2190</v>
      </c>
      <c r="W71" s="844"/>
      <c r="X71" s="844"/>
      <c r="Y71" s="1001"/>
      <c r="Z71" s="847"/>
      <c r="AA71" s="850"/>
      <c r="AB71" s="847"/>
      <c r="AC71" s="847"/>
      <c r="AD71" s="847"/>
    </row>
    <row customHeight="1" ht="27">
      <c r="A72" s="846"/>
      <c r="B72" s="900">
        <v>55</v>
      </c>
      <c r="C72" s="844"/>
      <c r="D72" s="968"/>
      <c r="E72" s="844" t="s">
        <v>2176</v>
      </c>
      <c r="F72" s="844"/>
      <c r="G72" s="844"/>
      <c r="H72" s="892"/>
      <c r="I72" s="1006">
        <f>INDEX(TEMPLATE_NUMBER_POINT_FHD,B72,MATCH(TEMPLATE_SPHERE,TEMPLATE_SPHERE_LIST_FOR_NOTE,0))</f>
        <v>0</v>
      </c>
      <c r="J72" s="1006">
        <f>INDEX(TEMPLATE_DATA_POINT_FHD,B72,MATCH(TEMPLATE_SPHERE,TEMPLATE_SPHERE_LIST_FOR_NOTE,0))</f>
        <v>0</v>
      </c>
      <c r="K72" s="1006">
        <f>INDEX(TEMPLATE_NOTE_POINT_FHD,B72,MATCH(TEMPLATE_SPHERE,TEMPLATE_SPHERE_LIST_FOR_NOTE,0))</f>
        <v>0</v>
      </c>
      <c r="L72" s="845" t="str">
        <f>IF(I72=0,"",I72)</f>
        <v/>
      </c>
      <c r="M72" s="845" t="str">
        <f>IF(J72=0,"",J72)</f>
        <v/>
      </c>
      <c r="N72" s="845" t="str">
        <f>IF(K72=0,"",K72)</f>
        <v/>
      </c>
      <c r="O72" s="958"/>
      <c r="P72" s="958"/>
      <c r="Q72" s="958" t="s">
        <v>151</v>
      </c>
      <c r="R72" s="958"/>
      <c r="S72" s="958"/>
      <c r="T72" s="844"/>
      <c r="U72" s="844"/>
      <c r="V72" s="844" t="s">
        <v>2191</v>
      </c>
      <c r="W72" s="844"/>
      <c r="X72" s="844"/>
      <c r="Y72" s="1001"/>
      <c r="Z72" s="847"/>
      <c r="AA72" s="850"/>
      <c r="AB72" s="847"/>
      <c r="AC72" s="847"/>
      <c r="AD72" s="847"/>
    </row>
    <row customHeight="1" ht="36">
      <c r="A73" s="846"/>
      <c r="B73" s="900">
        <v>56</v>
      </c>
      <c r="C73" s="844"/>
      <c r="D73" s="968"/>
      <c r="E73" s="844" t="s">
        <v>2178</v>
      </c>
      <c r="F73" s="844"/>
      <c r="G73" s="844"/>
      <c r="H73" s="892"/>
      <c r="I73" s="1006">
        <f>INDEX(TEMPLATE_NUMBER_POINT_FHD,B73,MATCH(TEMPLATE_SPHERE,TEMPLATE_SPHERE_LIST_FOR_NOTE,0))</f>
        <v>0</v>
      </c>
      <c r="J73" s="1006">
        <f>INDEX(TEMPLATE_DATA_POINT_FHD,B73,MATCH(TEMPLATE_SPHERE,TEMPLATE_SPHERE_LIST_FOR_NOTE,0))</f>
        <v>0</v>
      </c>
      <c r="K73" s="1006">
        <f>INDEX(TEMPLATE_NOTE_POINT_FHD,B73,MATCH(TEMPLATE_SPHERE,TEMPLATE_SPHERE_LIST_FOR_NOTE,0))</f>
        <v>0</v>
      </c>
      <c r="L73" s="845" t="str">
        <f>IF(I73=0,"",I73)</f>
        <v/>
      </c>
      <c r="M73" s="845" t="str">
        <f>IF(J73=0,"",J73)</f>
        <v/>
      </c>
      <c r="N73" s="845" t="str">
        <f>IF(K73=0,"",K73)</f>
        <v/>
      </c>
      <c r="O73" s="958"/>
      <c r="P73" s="958"/>
      <c r="Q73" s="958" t="s">
        <v>152</v>
      </c>
      <c r="R73" s="958"/>
      <c r="S73" s="958"/>
      <c r="T73" s="844"/>
      <c r="U73" s="844"/>
      <c r="V73" s="844" t="s">
        <v>2192</v>
      </c>
      <c r="W73" s="844"/>
      <c r="X73" s="844"/>
      <c r="Y73" s="1001"/>
      <c r="Z73" s="847"/>
      <c r="AA73" s="850"/>
      <c r="AB73" s="847"/>
      <c r="AC73" s="847"/>
      <c r="AD73" s="847"/>
    </row>
    <row customHeight="1" ht="18">
      <c r="A74" s="846"/>
      <c r="B74" s="900">
        <v>57</v>
      </c>
      <c r="C74" s="844"/>
      <c r="D74" s="968"/>
      <c r="E74" s="844" t="s">
        <v>2187</v>
      </c>
      <c r="F74" s="844"/>
      <c r="G74" s="844"/>
      <c r="H74" s="892"/>
      <c r="I74" s="1006">
        <f>INDEX(TEMPLATE_NUMBER_POINT_FHD,B74,MATCH(TEMPLATE_SPHERE,TEMPLATE_SPHERE_LIST_FOR_NOTE,0))</f>
        <v>0</v>
      </c>
      <c r="J74" s="1006">
        <f>INDEX(TEMPLATE_DATA_POINT_FHD,B74,MATCH(TEMPLATE_SPHERE,TEMPLATE_SPHERE_LIST_FOR_NOTE,0))</f>
        <v>0</v>
      </c>
      <c r="K74" s="1006">
        <f>INDEX(TEMPLATE_NOTE_POINT_FHD,B74,MATCH(TEMPLATE_SPHERE,TEMPLATE_SPHERE_LIST_FOR_NOTE,0))</f>
        <v>0</v>
      </c>
      <c r="L74" s="845" t="str">
        <f>IF(I74=0,"",I74)</f>
        <v/>
      </c>
      <c r="M74" s="845" t="str">
        <f>IF(J74=0,"",J74)</f>
        <v/>
      </c>
      <c r="N74" s="845" t="str">
        <f>IF(K74=0,"",K74)</f>
        <v/>
      </c>
      <c r="O74" s="958"/>
      <c r="P74" s="958"/>
      <c r="Q74" s="958" t="s">
        <v>153</v>
      </c>
      <c r="R74" s="958"/>
      <c r="S74" s="958"/>
      <c r="T74" s="844"/>
      <c r="U74" s="844"/>
      <c r="V74" s="844" t="s">
        <v>2193</v>
      </c>
      <c r="W74" s="844"/>
      <c r="X74" s="844"/>
      <c r="Y74" s="1001"/>
      <c r="Z74" s="847"/>
      <c r="AA74" s="850"/>
      <c r="AB74" s="847"/>
      <c r="AC74" s="847"/>
      <c r="AD74" s="847"/>
    </row>
    <row customHeight="1" ht="18">
      <c r="A75" s="846"/>
      <c r="B75" s="900">
        <v>58</v>
      </c>
      <c r="C75" s="844"/>
      <c r="D75" s="968"/>
      <c r="E75" s="844"/>
      <c r="F75" s="844" t="s">
        <v>2172</v>
      </c>
      <c r="G75" s="844"/>
      <c r="H75" s="892"/>
      <c r="I75" s="1006">
        <f>INDEX(TEMPLATE_NUMBER_POINT_FHD,B75,MATCH(TEMPLATE_SPHERE,TEMPLATE_SPHERE_LIST_FOR_NOTE,0))</f>
        <v>0</v>
      </c>
      <c r="J75" s="1006">
        <f>INDEX(TEMPLATE_DATA_POINT_FHD,B75,MATCH(TEMPLATE_SPHERE,TEMPLATE_SPHERE_LIST_FOR_NOTE,0))</f>
        <v>0</v>
      </c>
      <c r="K75" s="1006">
        <f>INDEX(TEMPLATE_NOTE_POINT_FHD,B75,MATCH(TEMPLATE_SPHERE,TEMPLATE_SPHERE_LIST_FOR_NOTE,0))</f>
        <v>0</v>
      </c>
      <c r="L75" s="845" t="str">
        <f>IF(I75=0,"",I75)</f>
        <v/>
      </c>
      <c r="M75" s="845" t="str">
        <f>IF(J75=0,"",J75)</f>
        <v/>
      </c>
      <c r="N75" s="845" t="str">
        <f>IF(K75=0,"",K75)</f>
        <v/>
      </c>
      <c r="O75" s="958"/>
      <c r="P75" s="958"/>
      <c r="Q75" s="958"/>
      <c r="R75" s="958" t="s">
        <v>95</v>
      </c>
      <c r="S75" s="958"/>
      <c r="T75" s="844"/>
      <c r="U75" s="844"/>
      <c r="V75" s="844"/>
      <c r="W75" s="844" t="s">
        <v>2194</v>
      </c>
      <c r="X75" s="844"/>
      <c r="Y75" s="1001"/>
      <c r="Z75" s="847"/>
      <c r="AA75" s="850"/>
      <c r="AB75" s="847"/>
      <c r="AC75" s="847"/>
      <c r="AD75" s="847"/>
    </row>
    <row customHeight="1" ht="36">
      <c r="A76" s="846"/>
      <c r="B76" s="900">
        <v>59</v>
      </c>
      <c r="C76" s="844"/>
      <c r="D76" s="968"/>
      <c r="E76" s="844"/>
      <c r="F76" s="844" t="s">
        <v>2174</v>
      </c>
      <c r="G76" s="844"/>
      <c r="H76" s="892"/>
      <c r="I76" s="1006">
        <f>INDEX(TEMPLATE_NUMBER_POINT_FHD,B76,MATCH(TEMPLATE_SPHERE,TEMPLATE_SPHERE_LIST_FOR_NOTE,0))</f>
        <v>0</v>
      </c>
      <c r="J76" s="1006">
        <f>INDEX(TEMPLATE_DATA_POINT_FHD,B76,MATCH(TEMPLATE_SPHERE,TEMPLATE_SPHERE_LIST_FOR_NOTE,0))</f>
        <v>0</v>
      </c>
      <c r="K76" s="1006">
        <f>INDEX(TEMPLATE_NOTE_POINT_FHD,B76,MATCH(TEMPLATE_SPHERE,TEMPLATE_SPHERE_LIST_FOR_NOTE,0))</f>
        <v>0</v>
      </c>
      <c r="L76" s="845" t="str">
        <f>IF(I76=0,"",I76)</f>
        <v/>
      </c>
      <c r="M76" s="845" t="str">
        <f>IF(J76=0,"",J76)</f>
        <v/>
      </c>
      <c r="N76" s="845" t="str">
        <f>IF(K76=0,"",K76)</f>
        <v/>
      </c>
      <c r="O76" s="958"/>
      <c r="P76" s="958"/>
      <c r="Q76" s="958"/>
      <c r="R76" s="958" t="s">
        <v>115</v>
      </c>
      <c r="S76" s="958"/>
      <c r="T76" s="844"/>
      <c r="U76" s="844"/>
      <c r="V76" s="844"/>
      <c r="W76" s="844" t="s">
        <v>2195</v>
      </c>
      <c r="X76" s="844"/>
      <c r="Y76" s="1001"/>
      <c r="Z76" s="847"/>
      <c r="AA76" s="850"/>
      <c r="AB76" s="847"/>
      <c r="AC76" s="847"/>
      <c r="AD76" s="847"/>
    </row>
    <row customHeight="1" ht="18">
      <c r="A77" s="846"/>
      <c r="B77" s="900">
        <v>60</v>
      </c>
      <c r="C77" s="844"/>
      <c r="D77" s="968"/>
      <c r="E77" s="844"/>
      <c r="F77" s="844" t="s">
        <v>2176</v>
      </c>
      <c r="G77" s="844"/>
      <c r="H77" s="892"/>
      <c r="I77" s="1006">
        <f>INDEX(TEMPLATE_NUMBER_POINT_FHD,B77,MATCH(TEMPLATE_SPHERE,TEMPLATE_SPHERE_LIST_FOR_NOTE,0))</f>
        <v>0</v>
      </c>
      <c r="J77" s="1006">
        <f>INDEX(TEMPLATE_DATA_POINT_FHD,B77,MATCH(TEMPLATE_SPHERE,TEMPLATE_SPHERE_LIST_FOR_NOTE,0))</f>
        <v>0</v>
      </c>
      <c r="K77" s="1006">
        <f>INDEX(TEMPLATE_NOTE_POINT_FHD,B77,MATCH(TEMPLATE_SPHERE,TEMPLATE_SPHERE_LIST_FOR_NOTE,0))</f>
        <v>0</v>
      </c>
      <c r="L77" s="845" t="str">
        <f>IF(I77=0,"",I77)</f>
        <v/>
      </c>
      <c r="M77" s="845" t="str">
        <f>IF(J77=0,"",J77)</f>
        <v/>
      </c>
      <c r="N77" s="845" t="str">
        <f>IF(K77=0,"",K77)</f>
        <v/>
      </c>
      <c r="O77" s="958"/>
      <c r="P77" s="958"/>
      <c r="Q77" s="958"/>
      <c r="R77" s="958" t="s">
        <v>151</v>
      </c>
      <c r="S77" s="958"/>
      <c r="T77" s="844"/>
      <c r="U77" s="844"/>
      <c r="V77" s="844"/>
      <c r="W77" s="844" t="s">
        <v>2196</v>
      </c>
      <c r="X77" s="844"/>
      <c r="Y77" s="1001"/>
      <c r="Z77" s="847"/>
      <c r="AA77" s="850"/>
      <c r="AB77" s="847"/>
      <c r="AC77" s="847"/>
      <c r="AD77" s="847"/>
    </row>
    <row customHeight="1" ht="72">
      <c r="A78" s="846"/>
      <c r="B78" s="900">
        <v>61</v>
      </c>
      <c r="C78" s="844" t="s">
        <v>2172</v>
      </c>
      <c r="D78" s="968"/>
      <c r="E78" s="844"/>
      <c r="F78" s="844"/>
      <c r="G78" s="844"/>
      <c r="H78" s="892"/>
      <c r="I78" s="1006">
        <f>INDEX(TEMPLATE_NUMBER_POINT_FHD,B78,MATCH(TEMPLATE_SPHERE,TEMPLATE_SPHERE_LIST_FOR_NOTE,0))</f>
        <v>0</v>
      </c>
      <c r="J78" s="1006">
        <f>INDEX(TEMPLATE_DATA_POINT_FHD,B78,MATCH(TEMPLATE_SPHERE,TEMPLATE_SPHERE_LIST_FOR_NOTE,0))</f>
        <v>0</v>
      </c>
      <c r="K78" s="1006">
        <f>INDEX(TEMPLATE_NOTE_POINT_FHD,B78,MATCH(TEMPLATE_SPHERE,TEMPLATE_SPHERE_LIST_FOR_NOTE,0))</f>
        <v>0</v>
      </c>
      <c r="L78" s="845" t="str">
        <f>IF(I78=0,"",I78)</f>
        <v/>
      </c>
      <c r="M78" s="845" t="str">
        <f>IF(J78=0,"",J78)</f>
        <v/>
      </c>
      <c r="N78" s="845" t="str">
        <f>IF(K78=0,"",K78)</f>
        <v/>
      </c>
      <c r="O78" s="958" t="s">
        <v>95</v>
      </c>
      <c r="P78" s="958"/>
      <c r="Q78" s="958"/>
      <c r="R78" s="958"/>
      <c r="S78" s="958"/>
      <c r="T78" s="844" t="s">
        <v>645</v>
      </c>
      <c r="U78" s="844"/>
      <c r="V78" s="844"/>
      <c r="W78" s="844"/>
      <c r="X78" s="844"/>
      <c r="Y78" s="1001"/>
      <c r="Z78" s="847" t="s">
        <v>2197</v>
      </c>
      <c r="AA78" s="850"/>
      <c r="AB78" s="847"/>
      <c r="AC78" s="847"/>
      <c r="AD78" s="847"/>
    </row>
    <row customHeight="1" ht="36">
      <c r="A79" s="846"/>
      <c r="B79" s="900">
        <v>62</v>
      </c>
      <c r="C79" s="844" t="s">
        <v>2174</v>
      </c>
      <c r="D79" s="968"/>
      <c r="E79" s="844"/>
      <c r="F79" s="844"/>
      <c r="G79" s="844"/>
      <c r="H79" s="892"/>
      <c r="I79" s="1006">
        <f>INDEX(TEMPLATE_NUMBER_POINT_FHD,B79,MATCH(TEMPLATE_SPHERE,TEMPLATE_SPHERE_LIST_FOR_NOTE,0))</f>
        <v>0</v>
      </c>
      <c r="J79" s="1006">
        <f>INDEX(TEMPLATE_DATA_POINT_FHD,B79,MATCH(TEMPLATE_SPHERE,TEMPLATE_SPHERE_LIST_FOR_NOTE,0))</f>
        <v>0</v>
      </c>
      <c r="K79" s="1006">
        <f>INDEX(TEMPLATE_NOTE_POINT_FHD,B79,MATCH(TEMPLATE_SPHERE,TEMPLATE_SPHERE_LIST_FOR_NOTE,0))</f>
        <v>0</v>
      </c>
      <c r="L79" s="845" t="str">
        <f>IF(I79=0,"",I79)</f>
        <v/>
      </c>
      <c r="M79" s="845" t="str">
        <f>IF(J79=0,"",J79)</f>
        <v/>
      </c>
      <c r="N79" s="845" t="str">
        <f>IF(K79=0,"",K79)</f>
        <v/>
      </c>
      <c r="O79" s="958" t="s">
        <v>115</v>
      </c>
      <c r="P79" s="958"/>
      <c r="Q79" s="958"/>
      <c r="R79" s="958"/>
      <c r="S79" s="958"/>
      <c r="T79" s="844" t="s">
        <v>2198</v>
      </c>
      <c r="U79" s="844"/>
      <c r="V79" s="844"/>
      <c r="W79" s="844"/>
      <c r="X79" s="844"/>
      <c r="Y79" s="1001"/>
      <c r="Z79" s="847" t="s">
        <v>2199</v>
      </c>
      <c r="AA79" s="850"/>
      <c r="AB79" s="847"/>
      <c r="AC79" s="847"/>
      <c r="AD79" s="847"/>
    </row>
    <row customHeight="1" ht="45">
      <c r="A80" s="846"/>
      <c r="B80" s="900">
        <v>63</v>
      </c>
      <c r="C80" s="844" t="s">
        <v>2176</v>
      </c>
      <c r="D80" s="968"/>
      <c r="E80" s="844"/>
      <c r="F80" s="844"/>
      <c r="G80" s="844"/>
      <c r="H80" s="892"/>
      <c r="I80" s="1006">
        <f>INDEX(TEMPLATE_NUMBER_POINT_FHD,B80,MATCH(TEMPLATE_SPHERE,TEMPLATE_SPHERE_LIST_FOR_NOTE,0))</f>
        <v>0</v>
      </c>
      <c r="J80" s="1006">
        <f>INDEX(TEMPLATE_DATA_POINT_FHD,B80,MATCH(TEMPLATE_SPHERE,TEMPLATE_SPHERE_LIST_FOR_NOTE,0))</f>
        <v>0</v>
      </c>
      <c r="K80" s="1006">
        <f>INDEX(TEMPLATE_NOTE_POINT_FHD,B80,MATCH(TEMPLATE_SPHERE,TEMPLATE_SPHERE_LIST_FOR_NOTE,0))</f>
        <v>0</v>
      </c>
      <c r="L80" s="845" t="str">
        <f>IF(I80=0,"",I80)</f>
        <v/>
      </c>
      <c r="M80" s="845" t="str">
        <f>IF(J80=0,"",J80)</f>
        <v/>
      </c>
      <c r="N80" s="845" t="str">
        <f>IF(K80=0,"",K80)</f>
        <v/>
      </c>
      <c r="O80" s="958" t="s">
        <v>151</v>
      </c>
      <c r="P80" s="958"/>
      <c r="Q80" s="958"/>
      <c r="R80" s="958"/>
      <c r="S80" s="958"/>
      <c r="T80" s="844" t="s">
        <v>2200</v>
      </c>
      <c r="U80" s="844"/>
      <c r="V80" s="844"/>
      <c r="W80" s="844"/>
      <c r="X80" s="844"/>
      <c r="Y80" s="1001"/>
      <c r="Z80" s="847" t="s">
        <v>2201</v>
      </c>
      <c r="AA80" s="850"/>
      <c r="AB80" s="847"/>
      <c r="AC80" s="847"/>
      <c r="AD80" s="847"/>
    </row>
    <row customHeight="1" ht="36">
      <c r="A81" s="846"/>
      <c r="B81" s="900">
        <v>64</v>
      </c>
      <c r="C81" s="844" t="s">
        <v>2178</v>
      </c>
      <c r="D81" s="968"/>
      <c r="E81" s="844"/>
      <c r="F81" s="844"/>
      <c r="G81" s="844"/>
      <c r="H81" s="892"/>
      <c r="I81" s="1006">
        <f>INDEX(TEMPLATE_NUMBER_POINT_FHD,B81,MATCH(TEMPLATE_SPHERE,TEMPLATE_SPHERE_LIST_FOR_NOTE,0))</f>
        <v>0</v>
      </c>
      <c r="J81" s="1006">
        <f>INDEX(TEMPLATE_DATA_POINT_FHD,B81,MATCH(TEMPLATE_SPHERE,TEMPLATE_SPHERE_LIST_FOR_NOTE,0))</f>
        <v>0</v>
      </c>
      <c r="K81" s="1006">
        <f>INDEX(TEMPLATE_NOTE_POINT_FHD,B81,MATCH(TEMPLATE_SPHERE,TEMPLATE_SPHERE_LIST_FOR_NOTE,0))</f>
        <v>0</v>
      </c>
      <c r="L81" s="845" t="str">
        <f>IF(I81=0,"",I81)</f>
        <v/>
      </c>
      <c r="M81" s="845" t="str">
        <f>IF(J81=0,"",J81)</f>
        <v/>
      </c>
      <c r="N81" s="845" t="str">
        <f>IF(K81=0,"",K81)</f>
        <v/>
      </c>
      <c r="O81" s="958" t="s">
        <v>2084</v>
      </c>
      <c r="P81" s="958"/>
      <c r="Q81" s="958"/>
      <c r="R81" s="958"/>
      <c r="S81" s="958"/>
      <c r="T81" s="844" t="s">
        <v>2202</v>
      </c>
      <c r="U81" s="844"/>
      <c r="V81" s="844"/>
      <c r="W81" s="844"/>
      <c r="X81" s="844"/>
      <c r="Y81" s="1001"/>
      <c r="Z81" s="847" t="s">
        <v>2203</v>
      </c>
      <c r="AA81" s="850"/>
      <c r="AB81" s="847"/>
      <c r="AC81" s="847"/>
      <c r="AD81" s="847"/>
    </row>
    <row customHeight="1" ht="90">
      <c r="A82" s="846"/>
      <c r="B82" s="900">
        <v>65</v>
      </c>
      <c r="C82" s="844" t="s">
        <v>2187</v>
      </c>
      <c r="D82" s="968"/>
      <c r="E82" s="844"/>
      <c r="F82" s="844"/>
      <c r="G82" s="844"/>
      <c r="H82" s="892"/>
      <c r="I82" s="1006">
        <f>INDEX(TEMPLATE_NUMBER_POINT_FHD,B82,MATCH(TEMPLATE_SPHERE,TEMPLATE_SPHERE_LIST_FOR_NOTE,0))</f>
        <v>0</v>
      </c>
      <c r="J82" s="1006">
        <f>INDEX(TEMPLATE_DATA_POINT_FHD,B82,MATCH(TEMPLATE_SPHERE,TEMPLATE_SPHERE_LIST_FOR_NOTE,0))</f>
        <v>0</v>
      </c>
      <c r="K82" s="1006">
        <f>INDEX(TEMPLATE_NOTE_POINT_FHD,B82,MATCH(TEMPLATE_SPHERE,TEMPLATE_SPHERE_LIST_FOR_NOTE,0))</f>
        <v>0</v>
      </c>
      <c r="L82" s="845" t="str">
        <f>IF(I82=0,"",I82)</f>
        <v/>
      </c>
      <c r="M82" s="845" t="str">
        <f>IF(J82=0,"",J82)</f>
        <v/>
      </c>
      <c r="N82" s="845" t="str">
        <f>IF(K82=0,"",K82)</f>
        <v/>
      </c>
      <c r="O82" s="958" t="s">
        <v>152</v>
      </c>
      <c r="P82" s="958"/>
      <c r="Q82" s="958"/>
      <c r="R82" s="958"/>
      <c r="S82" s="958"/>
      <c r="T82" s="844" t="s">
        <v>2204</v>
      </c>
      <c r="U82" s="844"/>
      <c r="V82" s="844"/>
      <c r="W82" s="844"/>
      <c r="X82" s="844"/>
      <c r="Y82" s="1001"/>
      <c r="Z82" s="847" t="s">
        <v>2205</v>
      </c>
      <c r="AA82" s="850"/>
      <c r="AB82" s="847"/>
      <c r="AC82" s="847"/>
      <c r="AD82" s="847"/>
    </row>
    <row customHeight="1" ht="9">
      <c r="A83" s="846"/>
      <c r="B83" s="900">
        <v>66</v>
      </c>
      <c r="C83" s="844"/>
      <c r="D83" s="968"/>
      <c r="E83" s="844"/>
      <c r="F83" s="844"/>
      <c r="G83" s="844"/>
      <c r="H83" s="892"/>
      <c r="I83" s="1006">
        <f>INDEX(TEMPLATE_NUMBER_POINT_FHD,B83,MATCH(TEMPLATE_SPHERE,TEMPLATE_SPHERE_LIST_FOR_NOTE,0))</f>
        <v>0</v>
      </c>
      <c r="J83" s="1006">
        <f>INDEX(TEMPLATE_DATA_POINT_FHD,B83,MATCH(TEMPLATE_SPHERE,TEMPLATE_SPHERE_LIST_FOR_NOTE,0))</f>
        <v>0</v>
      </c>
      <c r="K83" s="1006">
        <f>INDEX(TEMPLATE_NOTE_POINT_FHD,B83,MATCH(TEMPLATE_SPHERE,TEMPLATE_SPHERE_LIST_FOR_NOTE,0))</f>
        <v>0</v>
      </c>
      <c r="L83" s="845" t="str">
        <f>IF(I83=0,"",I83)</f>
        <v/>
      </c>
      <c r="M83" s="845" t="str">
        <f>IF(J83=0,"",J83)</f>
        <v/>
      </c>
      <c r="N83" s="845" t="str">
        <f>IF(K83=0,"",K83)</f>
        <v/>
      </c>
      <c r="O83" s="958" t="s">
        <v>2093</v>
      </c>
      <c r="P83" s="958"/>
      <c r="Q83" s="958"/>
      <c r="R83" s="958"/>
      <c r="S83" s="958"/>
      <c r="T83" s="844" t="s">
        <v>2206</v>
      </c>
      <c r="U83" s="844"/>
      <c r="V83" s="844"/>
      <c r="W83" s="844"/>
      <c r="X83" s="844"/>
      <c r="Y83" s="1001"/>
      <c r="Z83" s="847"/>
      <c r="AA83" s="850"/>
      <c r="AB83" s="847"/>
      <c r="AC83" s="847"/>
      <c r="AD83" s="847"/>
    </row>
    <row customHeight="1" ht="54">
      <c r="A84" s="846"/>
      <c r="B84" s="900">
        <v>67</v>
      </c>
      <c r="C84" s="844"/>
      <c r="D84" s="968"/>
      <c r="E84" s="844"/>
      <c r="F84" s="844"/>
      <c r="G84" s="844"/>
      <c r="H84" s="892"/>
      <c r="I84" s="1006">
        <f>INDEX(TEMPLATE_NUMBER_POINT_FHD,B84,MATCH(TEMPLATE_SPHERE,TEMPLATE_SPHERE_LIST_FOR_NOTE,0))</f>
        <v>0</v>
      </c>
      <c r="J84" s="1006">
        <f>INDEX(TEMPLATE_DATA_POINT_FHD,B84,MATCH(TEMPLATE_SPHERE,TEMPLATE_SPHERE_LIST_FOR_NOTE,0))</f>
        <v>0</v>
      </c>
      <c r="K84" s="1006">
        <f>INDEX(TEMPLATE_NOTE_POINT_FHD,B84,MATCH(TEMPLATE_SPHERE,TEMPLATE_SPHERE_LIST_FOR_NOTE,0))</f>
        <v>0</v>
      </c>
      <c r="L84" s="845" t="str">
        <f>IF(I84=0,"",I84)</f>
        <v/>
      </c>
      <c r="M84" s="845" t="str">
        <f>IF(J84=0,"",J84)</f>
        <v/>
      </c>
      <c r="N84" s="845" t="str">
        <f>IF(K84=0,"",K84)</f>
        <v/>
      </c>
      <c r="O84" s="958" t="s">
        <v>2207</v>
      </c>
      <c r="P84" s="958"/>
      <c r="Q84" s="958"/>
      <c r="R84" s="958"/>
      <c r="S84" s="958"/>
      <c r="T84" s="844" t="s">
        <v>2208</v>
      </c>
      <c r="U84" s="844"/>
      <c r="V84" s="844"/>
      <c r="W84" s="844"/>
      <c r="X84" s="844"/>
      <c r="Y84" s="1001"/>
      <c r="Z84" s="847"/>
      <c r="AA84" s="850"/>
      <c r="AB84" s="847"/>
      <c r="AC84" s="847"/>
      <c r="AD84" s="847"/>
    </row>
    <row customHeight="1" ht="9">
      <c r="A85" s="846"/>
      <c r="B85" s="900">
        <v>68</v>
      </c>
      <c r="C85" s="844"/>
      <c r="D85" s="968"/>
      <c r="E85" s="844"/>
      <c r="F85" s="844"/>
      <c r="G85" s="844"/>
      <c r="H85" s="892"/>
      <c r="I85" s="1006">
        <f>INDEX(TEMPLATE_NUMBER_POINT_FHD,B85,MATCH(TEMPLATE_SPHERE,TEMPLATE_SPHERE_LIST_FOR_NOTE,0))</f>
        <v>0</v>
      </c>
      <c r="J85" s="1006">
        <f>INDEX(TEMPLATE_DATA_POINT_FHD,B85,MATCH(TEMPLATE_SPHERE,TEMPLATE_SPHERE_LIST_FOR_NOTE,0))</f>
        <v>0</v>
      </c>
      <c r="K85" s="1006">
        <f>INDEX(TEMPLATE_NOTE_POINT_FHD,B85,MATCH(TEMPLATE_SPHERE,TEMPLATE_SPHERE_LIST_FOR_NOTE,0))</f>
        <v>0</v>
      </c>
      <c r="L85" s="845" t="str">
        <f>IF(I85=0,"",I85)</f>
        <v/>
      </c>
      <c r="M85" s="845" t="str">
        <f>IF(J85=0,"",J85)</f>
        <v/>
      </c>
      <c r="N85" s="845" t="str">
        <f>IF(K85=0,"",K85)</f>
        <v/>
      </c>
      <c r="O85" s="958" t="s">
        <v>2097</v>
      </c>
      <c r="P85" s="958"/>
      <c r="Q85" s="958"/>
      <c r="R85" s="958"/>
      <c r="S85" s="958"/>
      <c r="T85" s="844" t="s">
        <v>2209</v>
      </c>
      <c r="U85" s="844"/>
      <c r="V85" s="844"/>
      <c r="W85" s="844"/>
      <c r="X85" s="844"/>
      <c r="Y85" s="1001"/>
      <c r="Z85" s="847"/>
      <c r="AA85" s="850"/>
      <c r="AB85" s="847"/>
      <c r="AC85" s="847"/>
      <c r="AD85" s="847"/>
    </row>
    <row customHeight="1" ht="27">
      <c r="A86" s="846"/>
      <c r="B86" s="900">
        <v>69</v>
      </c>
      <c r="C86" s="844"/>
      <c r="D86" s="968"/>
      <c r="E86" s="844"/>
      <c r="F86" s="844"/>
      <c r="G86" s="844"/>
      <c r="H86" s="892"/>
      <c r="I86" s="1006">
        <f>INDEX(TEMPLATE_NUMBER_POINT_FHD,B86,MATCH(TEMPLATE_SPHERE,TEMPLATE_SPHERE_LIST_FOR_NOTE,0))</f>
        <v>0</v>
      </c>
      <c r="J86" s="1006">
        <f>INDEX(TEMPLATE_DATA_POINT_FHD,B86,MATCH(TEMPLATE_SPHERE,TEMPLATE_SPHERE_LIST_FOR_NOTE,0))</f>
        <v>0</v>
      </c>
      <c r="K86" s="1006">
        <f>INDEX(TEMPLATE_NOTE_POINT_FHD,B86,MATCH(TEMPLATE_SPHERE,TEMPLATE_SPHERE_LIST_FOR_NOTE,0))</f>
        <v>0</v>
      </c>
      <c r="L86" s="845" t="str">
        <f>IF(I86=0,"",I86)</f>
        <v/>
      </c>
      <c r="M86" s="845" t="str">
        <f>IF(J86=0,"",J86)</f>
        <v/>
      </c>
      <c r="N86" s="845" t="str">
        <f>IF(K86=0,"",K86)</f>
        <v/>
      </c>
      <c r="O86" s="958" t="s">
        <v>2210</v>
      </c>
      <c r="P86" s="958"/>
      <c r="Q86" s="958"/>
      <c r="R86" s="958"/>
      <c r="S86" s="958"/>
      <c r="T86" s="844" t="s">
        <v>2211</v>
      </c>
      <c r="U86" s="844"/>
      <c r="V86" s="844"/>
      <c r="W86" s="844"/>
      <c r="X86" s="844"/>
      <c r="Y86" s="1001"/>
      <c r="Z86" s="847"/>
      <c r="AA86" s="850"/>
      <c r="AB86" s="847"/>
      <c r="AC86" s="847"/>
      <c r="AD86" s="847"/>
    </row>
    <row customHeight="1" ht="36">
      <c r="A87" s="846"/>
      <c r="B87" s="900">
        <v>70</v>
      </c>
      <c r="C87" s="844" t="s">
        <v>2212</v>
      </c>
      <c r="D87" s="968"/>
      <c r="E87" s="844"/>
      <c r="F87" s="844"/>
      <c r="G87" s="844"/>
      <c r="H87" s="892"/>
      <c r="I87" s="1006">
        <f>INDEX(TEMPLATE_NUMBER_POINT_FHD,B87,MATCH(TEMPLATE_SPHERE,TEMPLATE_SPHERE_LIST_FOR_NOTE,0))</f>
        <v>0</v>
      </c>
      <c r="J87" s="1006">
        <f>INDEX(TEMPLATE_DATA_POINT_FHD,B87,MATCH(TEMPLATE_SPHERE,TEMPLATE_SPHERE_LIST_FOR_NOTE,0))</f>
        <v>0</v>
      </c>
      <c r="K87" s="1006">
        <f>INDEX(TEMPLATE_NOTE_POINT_FHD,B87,MATCH(TEMPLATE_SPHERE,TEMPLATE_SPHERE_LIST_FOR_NOTE,0))</f>
        <v>0</v>
      </c>
      <c r="L87" s="845" t="str">
        <f>IF(I87=0,"",I87)</f>
        <v/>
      </c>
      <c r="M87" s="845" t="str">
        <f>IF(J87=0,"",J87)</f>
        <v/>
      </c>
      <c r="N87" s="845" t="str">
        <f>IF(K87=0,"",K87)</f>
        <v/>
      </c>
      <c r="O87" s="958" t="s">
        <v>153</v>
      </c>
      <c r="P87" s="958"/>
      <c r="Q87" s="958"/>
      <c r="R87" s="958"/>
      <c r="S87" s="958"/>
      <c r="T87" s="844" t="s">
        <v>2213</v>
      </c>
      <c r="U87" s="844"/>
      <c r="V87" s="844"/>
      <c r="W87" s="844"/>
      <c r="X87" s="844"/>
      <c r="Y87" s="1001"/>
      <c r="Z87" s="847"/>
      <c r="AA87" s="850"/>
      <c r="AB87" s="847"/>
      <c r="AC87" s="847"/>
      <c r="AD87" s="847"/>
    </row>
    <row customHeight="1" ht="18">
      <c r="A88" s="846"/>
      <c r="B88" s="900">
        <v>71</v>
      </c>
      <c r="C88" s="844" t="s">
        <v>2214</v>
      </c>
      <c r="D88" s="968"/>
      <c r="E88" s="844"/>
      <c r="F88" s="844"/>
      <c r="G88" s="844"/>
      <c r="H88" s="892"/>
      <c r="I88" s="1006">
        <f>INDEX(TEMPLATE_NUMBER_POINT_FHD,B88,MATCH(TEMPLATE_SPHERE,TEMPLATE_SPHERE_LIST_FOR_NOTE,0))</f>
        <v>0</v>
      </c>
      <c r="J88" s="1006">
        <f>INDEX(TEMPLATE_DATA_POINT_FHD,B88,MATCH(TEMPLATE_SPHERE,TEMPLATE_SPHERE_LIST_FOR_NOTE,0))</f>
        <v>0</v>
      </c>
      <c r="K88" s="1006">
        <f>INDEX(TEMPLATE_NOTE_POINT_FHD,B88,MATCH(TEMPLATE_SPHERE,TEMPLATE_SPHERE_LIST_FOR_NOTE,0))</f>
        <v>0</v>
      </c>
      <c r="L88" s="845" t="str">
        <f>IF(I88=0,"",I88)</f>
        <v/>
      </c>
      <c r="M88" s="845" t="str">
        <f>IF(J88=0,"",J88)</f>
        <v/>
      </c>
      <c r="N88" s="845" t="str">
        <f>IF(K88=0,"",K88)</f>
        <v/>
      </c>
      <c r="O88" s="958" t="s">
        <v>154</v>
      </c>
      <c r="P88" s="958"/>
      <c r="Q88" s="958"/>
      <c r="R88" s="958"/>
      <c r="S88" s="958"/>
      <c r="T88" s="844" t="s">
        <v>677</v>
      </c>
      <c r="U88" s="844"/>
      <c r="V88" s="844"/>
      <c r="W88" s="844"/>
      <c r="X88" s="844"/>
      <c r="Y88" s="1001"/>
      <c r="Z88" s="847"/>
      <c r="AA88" s="850"/>
      <c r="AB88" s="847"/>
      <c r="AC88" s="847"/>
      <c r="AD88" s="847"/>
    </row>
    <row customHeight="1" ht="18">
      <c r="A89" s="846"/>
      <c r="B89" s="900">
        <v>72</v>
      </c>
      <c r="C89" s="844" t="s">
        <v>2215</v>
      </c>
      <c r="D89" s="968" t="s">
        <v>2212</v>
      </c>
      <c r="E89" s="844" t="s">
        <v>2212</v>
      </c>
      <c r="F89" s="844" t="s">
        <v>2178</v>
      </c>
      <c r="G89" s="844"/>
      <c r="H89" s="892"/>
      <c r="I89" s="1006" t="str">
        <f>INDEX(TEMPLATE_NUMBER_POINT_FHD,B89,MATCH(TEMPLATE_SPHERE,TEMPLATE_SPHERE_LIST_FOR_NOTE,0))</f>
        <v>12</v>
      </c>
      <c r="J89" s="1006" t="str">
        <f>INDEX(TEMPLATE_DATA_POINT_FHD,B89,MATCH(TEMPLATE_SPHERE,TEMPLATE_SPHERE_LIST_FOR_NOTE,0))</f>
        <v>Среднесписочная численность основного производственного персонала</v>
      </c>
      <c r="K89" s="1006">
        <f>INDEX(TEMPLATE_NOTE_POINT_FHD,B89,MATCH(TEMPLATE_SPHERE,TEMPLATE_SPHERE_LIST_FOR_NOTE,0))</f>
        <v>0</v>
      </c>
      <c r="L89" s="845" t="str">
        <f>IF(I89=0,"",I89)</f>
        <v>12</v>
      </c>
      <c r="M89" s="845" t="str">
        <f>IF(J89=0,"",J89)</f>
        <v>Среднесписочная численность основного производственного персонала</v>
      </c>
      <c r="N89" s="845" t="str">
        <f>IF(K89=0,"",K89)</f>
        <v/>
      </c>
      <c r="O89" s="958" t="s">
        <v>155</v>
      </c>
      <c r="P89" s="958" t="s">
        <v>154</v>
      </c>
      <c r="Q89" s="958" t="s">
        <v>154</v>
      </c>
      <c r="R89" s="958" t="s">
        <v>152</v>
      </c>
      <c r="S89" s="958"/>
      <c r="T89" s="844" t="s">
        <v>685</v>
      </c>
      <c r="U89" s="844" t="s">
        <v>685</v>
      </c>
      <c r="V89" s="844" t="s">
        <v>685</v>
      </c>
      <c r="W89" s="844" t="s">
        <v>685</v>
      </c>
      <c r="X89" s="844"/>
      <c r="Y89" s="1001"/>
      <c r="Z89" s="847"/>
      <c r="AA89" s="850"/>
      <c r="AB89" s="847"/>
      <c r="AC89" s="847"/>
      <c r="AD89" s="847"/>
    </row>
    <row customHeight="1" ht="27">
      <c r="A90" s="846"/>
      <c r="B90" s="900">
        <v>73</v>
      </c>
      <c r="C90" s="844" t="s">
        <v>2216</v>
      </c>
      <c r="D90" s="968"/>
      <c r="E90" s="844"/>
      <c r="F90" s="844"/>
      <c r="G90" s="844"/>
      <c r="H90" s="892"/>
      <c r="I90" s="1006">
        <f>INDEX(TEMPLATE_NUMBER_POINT_FHD,B90,MATCH(TEMPLATE_SPHERE,TEMPLATE_SPHERE_LIST_FOR_NOTE,0))</f>
        <v>0</v>
      </c>
      <c r="J90" s="1006">
        <f>INDEX(TEMPLATE_DATA_POINT_FHD,B90,MATCH(TEMPLATE_SPHERE,TEMPLATE_SPHERE_LIST_FOR_NOTE,0))</f>
        <v>0</v>
      </c>
      <c r="K90" s="1006">
        <f>INDEX(TEMPLATE_NOTE_POINT_FHD,B90,MATCH(TEMPLATE_SPHERE,TEMPLATE_SPHERE_LIST_FOR_NOTE,0))</f>
        <v>0</v>
      </c>
      <c r="L90" s="845" t="str">
        <f>IF(I90=0,"",I90)</f>
        <v/>
      </c>
      <c r="M90" s="845" t="str">
        <f>IF(J90=0,"",J90)</f>
        <v/>
      </c>
      <c r="N90" s="845" t="str">
        <f>IF(K90=0,"",K90)</f>
        <v/>
      </c>
      <c r="O90" s="958" t="s">
        <v>156</v>
      </c>
      <c r="P90" s="958"/>
      <c r="Q90" s="958"/>
      <c r="R90" s="958"/>
      <c r="S90" s="958"/>
      <c r="T90" s="844" t="s">
        <v>687</v>
      </c>
      <c r="U90" s="844"/>
      <c r="V90" s="844"/>
      <c r="W90" s="844"/>
      <c r="X90" s="844"/>
      <c r="Y90" s="1001"/>
      <c r="Z90" s="847"/>
      <c r="AA90" s="850"/>
      <c r="AB90" s="847"/>
      <c r="AC90" s="847"/>
      <c r="AD90" s="847"/>
    </row>
    <row customHeight="1" ht="18">
      <c r="A91" s="846"/>
      <c r="B91" s="900">
        <v>74</v>
      </c>
      <c r="C91" s="844"/>
      <c r="D91" s="968" t="s">
        <v>2214</v>
      </c>
      <c r="E91" s="844" t="s">
        <v>2214</v>
      </c>
      <c r="F91" s="844"/>
      <c r="G91" s="844"/>
      <c r="H91" s="892"/>
      <c r="I91" s="1006" t="str">
        <f>INDEX(TEMPLATE_NUMBER_POINT_FHD,B91,MATCH(TEMPLATE_SPHERE,TEMPLATE_SPHERE_LIST_FOR_NOTE,0))</f>
        <v>13</v>
      </c>
      <c r="J91" s="1006" t="str">
        <f>INDEX(TEMPLATE_DATA_POINT_FHD,B91,MATCH(TEMPLATE_SPHERE,TEMPLATE_SPHERE_LIST_FOR_NOTE,0))</f>
        <v>Удельный расход электрической энергии на подачу воды в сеть</v>
      </c>
      <c r="K91" s="1006">
        <f>INDEX(TEMPLATE_NOTE_POINT_FHD,B91,MATCH(TEMPLATE_SPHERE,TEMPLATE_SPHERE_LIST_FOR_NOTE,0))</f>
        <v>0</v>
      </c>
      <c r="L91" s="845" t="str">
        <f>IF(I91=0,"",I91)</f>
        <v>13</v>
      </c>
      <c r="M91" s="845" t="str">
        <f>IF(J91=0,"",J91)</f>
        <v>Удельный расход электрической энергии на подачу воды в сеть</v>
      </c>
      <c r="N91" s="845" t="str">
        <f>IF(K91=0,"",K91)</f>
        <v/>
      </c>
      <c r="O91" s="958"/>
      <c r="P91" s="958" t="s">
        <v>155</v>
      </c>
      <c r="Q91" s="958" t="s">
        <v>155</v>
      </c>
      <c r="R91" s="958"/>
      <c r="S91" s="958"/>
      <c r="T91" s="844"/>
      <c r="U91" s="844" t="s">
        <v>2217</v>
      </c>
      <c r="V91" s="844" t="s">
        <v>2217</v>
      </c>
      <c r="W91" s="844"/>
      <c r="X91" s="844"/>
      <c r="Y91" s="1001"/>
      <c r="Z91" s="847"/>
      <c r="AA91" s="850"/>
      <c r="AB91" s="847"/>
      <c r="AC91" s="847"/>
      <c r="AD91" s="847"/>
    </row>
    <row customHeight="1" ht="27">
      <c r="A92" s="846"/>
      <c r="B92" s="900">
        <v>75</v>
      </c>
      <c r="C92" s="844"/>
      <c r="D92" s="968" t="s">
        <v>2215</v>
      </c>
      <c r="E92" s="844"/>
      <c r="F92" s="844"/>
      <c r="G92" s="844"/>
      <c r="H92" s="892"/>
      <c r="I92" s="1006" t="str">
        <f>INDEX(TEMPLATE_NUMBER_POINT_FHD,B92,MATCH(TEMPLATE_SPHERE,TEMPLATE_SPHERE_LIST_FOR_NOTE,0))</f>
        <v>14</v>
      </c>
      <c r="J92" s="1006" t="str">
        <f>INDEX(TEMPLATE_DATA_POINT_FHD,B92,MATCH(TEMPLATE_SPHERE,TEMPLATE_SPHERE_LIST_FOR_NOTE,0))</f>
        <v>Расход воды на собственные нужды, в том числе:</v>
      </c>
      <c r="K92" s="1006" t="str">
        <f>INDEX(TEMPLATE_NOTE_POINT_FHD,B92,MATCH(TEMPLATE_SPHERE,TEMPLATE_SPHERE_LIST_FOR_NOTE,0))</f>
        <v>Указывается доля общего расхода воды на собственные нужны от объема отпуска воды потребителям.</v>
      </c>
      <c r="L92" s="845" t="str">
        <f>IF(I92=0,"",I92)</f>
        <v>14</v>
      </c>
      <c r="M92" s="845" t="str">
        <f>IF(J92=0,"",J92)</f>
        <v>Расход воды на собственные нужды, в том числе:</v>
      </c>
      <c r="N92" s="845" t="str">
        <f>IF(K92=0,"",K92)</f>
        <v>Указывается доля общего расхода воды на собственные нужны от объема отпуска воды потребителям.</v>
      </c>
      <c r="O92" s="958"/>
      <c r="P92" s="958" t="s">
        <v>156</v>
      </c>
      <c r="Q92" s="958"/>
      <c r="R92" s="958"/>
      <c r="S92" s="958"/>
      <c r="T92" s="844"/>
      <c r="U92" s="844" t="s">
        <v>2218</v>
      </c>
      <c r="V92" s="844"/>
      <c r="W92" s="844"/>
      <c r="X92" s="844"/>
      <c r="Y92" s="1001"/>
      <c r="Z92" s="847"/>
      <c r="AA92" s="850" t="s">
        <v>2219</v>
      </c>
      <c r="AB92" s="847"/>
      <c r="AC92" s="847"/>
      <c r="AD92" s="847"/>
    </row>
    <row customHeight="1" ht="27">
      <c r="A93" s="846"/>
      <c r="B93" s="900">
        <v>76</v>
      </c>
      <c r="C93" s="844"/>
      <c r="D93" s="968"/>
      <c r="E93" s="844"/>
      <c r="F93" s="844"/>
      <c r="G93" s="844"/>
      <c r="H93" s="892"/>
      <c r="I93" s="1006" t="str">
        <f>INDEX(TEMPLATE_NUMBER_POINT_FHD,B93,MATCH(TEMPLATE_SPHERE,TEMPLATE_SPHERE_LIST_FOR_NOTE,0))</f>
        <v>14.1</v>
      </c>
      <c r="J93" s="1006" t="str">
        <f>INDEX(TEMPLATE_DATA_POINT_FHD,B93,MATCH(TEMPLATE_SPHERE,TEMPLATE_SPHERE_LIST_FOR_NOTE,0))</f>
        <v>Расход воды на хозяйственно-бытовые нужды</v>
      </c>
      <c r="K93" s="1006" t="str">
        <f>INDEX(TEMPLATE_NOTE_POINT_FHD,B93,MATCH(TEMPLATE_SPHERE,TEMPLATE_SPHERE_LIST_FOR_NOTE,0))</f>
        <v>Указывается доля расхода воды на хозяйственно-бытовые нужны от объема отпуска воды потребителям.</v>
      </c>
      <c r="L93" s="845" t="str">
        <f>IF(I93=0,"",I93)</f>
        <v>14.1</v>
      </c>
      <c r="M93" s="845" t="str">
        <f>IF(J93=0,"",J93)</f>
        <v>Расход воды на хозяйственно-бытовые нужды</v>
      </c>
      <c r="N93" s="845" t="str">
        <f>IF(K93=0,"",K93)</f>
        <v>Указывается доля расхода воды на хозяйственно-бытовые нужны от объема отпуска воды потребителям.</v>
      </c>
      <c r="O93" s="958"/>
      <c r="P93" s="958" t="s">
        <v>2125</v>
      </c>
      <c r="Q93" s="958"/>
      <c r="R93" s="958"/>
      <c r="S93" s="958"/>
      <c r="T93" s="844"/>
      <c r="U93" s="844" t="s">
        <v>2220</v>
      </c>
      <c r="V93" s="844"/>
      <c r="W93" s="844"/>
      <c r="X93" s="844"/>
      <c r="Y93" s="1001"/>
      <c r="Z93" s="847"/>
      <c r="AA93" s="850" t="s">
        <v>2221</v>
      </c>
      <c r="AB93" s="847"/>
      <c r="AC93" s="847"/>
      <c r="AD93" s="847"/>
    </row>
    <row customHeight="1" ht="45">
      <c r="A94" s="846"/>
      <c r="B94" s="900">
        <v>77</v>
      </c>
      <c r="C94" s="844"/>
      <c r="D94" s="968" t="s">
        <v>2216</v>
      </c>
      <c r="E94" s="844"/>
      <c r="F94" s="844"/>
      <c r="G94" s="844"/>
      <c r="H94" s="892"/>
      <c r="I94" s="1006" t="str">
        <f>INDEX(TEMPLATE_NUMBER_POINT_FHD,B94,MATCH(TEMPLATE_SPHERE,TEMPLATE_SPHERE_LIST_FOR_NOTE,0))</f>
        <v>15</v>
      </c>
      <c r="J94" s="1006" t="str">
        <f>INDEX(TEMPLATE_DATA_POINT_FHD,B94,MATCH(TEMPLATE_SPHERE,TEMPLATE_SPHERE_LIST_FOR_NOTE,0))</f>
        <v>Показатель использования производственных объектов (по объему перекачки), в том числе:</v>
      </c>
      <c r="K94" s="1006" t="str">
        <f>INDEX(TEMPLATE_NOTE_POINT_FHD,B94,MATCH(TEMPLATE_SPHERE,TEMPLATE_SPHERE_LIST_FOR_NOTE,0))</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845" t="str">
        <f>IF(I94=0,"",I94)</f>
        <v>15</v>
      </c>
      <c r="M94" s="845" t="str">
        <f>IF(J94=0,"",J94)</f>
        <v>Показатель использования производственных объектов (по объему перекачки), в том числе:</v>
      </c>
      <c r="N94" s="845" t="str">
        <f>IF(K94=0,"",K94)</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958"/>
      <c r="P94" s="958" t="s">
        <v>101</v>
      </c>
      <c r="Q94" s="958"/>
      <c r="R94" s="958"/>
      <c r="S94" s="958"/>
      <c r="T94" s="844"/>
      <c r="U94" s="844" t="s">
        <v>2222</v>
      </c>
      <c r="V94" s="844"/>
      <c r="W94" s="844"/>
      <c r="X94" s="844"/>
      <c r="Y94" s="1001"/>
      <c r="Z94" s="847"/>
      <c r="AA94" s="850" t="s">
        <v>2223</v>
      </c>
      <c r="AB94" s="847"/>
      <c r="AC94" s="847"/>
      <c r="AD94" s="847"/>
    </row>
    <row customHeight="1" ht="99">
      <c r="A95" s="846"/>
      <c r="B95" s="900">
        <v>78</v>
      </c>
      <c r="C95" s="844" t="s">
        <v>2224</v>
      </c>
      <c r="D95" s="968"/>
      <c r="E95" s="844"/>
      <c r="F95" s="844"/>
      <c r="G95" s="844"/>
      <c r="H95" s="892"/>
      <c r="I95" s="1006">
        <f>INDEX(TEMPLATE_NUMBER_POINT_FHD,B95,MATCH(TEMPLATE_SPHERE,TEMPLATE_SPHERE_LIST_FOR_NOTE,0))</f>
        <v>0</v>
      </c>
      <c r="J95" s="1006">
        <f>INDEX(TEMPLATE_DATA_POINT_FHD,B95,MATCH(TEMPLATE_SPHERE,TEMPLATE_SPHERE_LIST_FOR_NOTE,0))</f>
        <v>0</v>
      </c>
      <c r="K95" s="1006">
        <f>INDEX(TEMPLATE_NOTE_POINT_FHD,B95,MATCH(TEMPLATE_SPHERE,TEMPLATE_SPHERE_LIST_FOR_NOTE,0))</f>
        <v>0</v>
      </c>
      <c r="L95" s="845" t="str">
        <f>IF(I95=0,"",I95)</f>
        <v/>
      </c>
      <c r="M95" s="845" t="str">
        <f>IF(J95=0,"",J95)</f>
        <v/>
      </c>
      <c r="N95" s="845" t="str">
        <f>IF(K95=0,"",K95)</f>
        <v/>
      </c>
      <c r="O95" s="958" t="s">
        <v>101</v>
      </c>
      <c r="P95" s="958"/>
      <c r="Q95" s="958"/>
      <c r="R95" s="958"/>
      <c r="S95" s="958"/>
      <c r="T95" s="844" t="s">
        <v>2225</v>
      </c>
      <c r="U95" s="844"/>
      <c r="V95" s="844"/>
      <c r="W95" s="844"/>
      <c r="X95" s="844"/>
      <c r="Y95" s="1001"/>
      <c r="Z95" s="847"/>
      <c r="AA95" s="850"/>
      <c r="AB95" s="847"/>
      <c r="AC95" s="847"/>
      <c r="AD95" s="847"/>
    </row>
    <row customHeight="1" ht="99">
      <c r="A96" s="846"/>
      <c r="B96" s="900">
        <v>79</v>
      </c>
      <c r="C96" s="844" t="s">
        <v>1167</v>
      </c>
      <c r="D96" s="968"/>
      <c r="E96" s="844"/>
      <c r="F96" s="844"/>
      <c r="G96" s="844"/>
      <c r="H96" s="892"/>
      <c r="I96" s="1006">
        <f>INDEX(TEMPLATE_NUMBER_POINT_FHD,B96,MATCH(TEMPLATE_SPHERE,TEMPLATE_SPHERE_LIST_FOR_NOTE,0))</f>
        <v>0</v>
      </c>
      <c r="J96" s="1006">
        <f>INDEX(TEMPLATE_DATA_POINT_FHD,B96,MATCH(TEMPLATE_SPHERE,TEMPLATE_SPHERE_LIST_FOR_NOTE,0))</f>
        <v>0</v>
      </c>
      <c r="K96" s="1006">
        <f>INDEX(TEMPLATE_NOTE_POINT_FHD,B96,MATCH(TEMPLATE_SPHERE,TEMPLATE_SPHERE_LIST_FOR_NOTE,0))</f>
        <v>0</v>
      </c>
      <c r="L96" s="845" t="str">
        <f>IF(I96=0,"",I96)</f>
        <v/>
      </c>
      <c r="M96" s="845" t="str">
        <f>IF(J96=0,"",J96)</f>
        <v/>
      </c>
      <c r="N96" s="845" t="str">
        <f>IF(K96=0,"",K96)</f>
        <v/>
      </c>
      <c r="O96" s="958" t="s">
        <v>1486</v>
      </c>
      <c r="P96" s="958"/>
      <c r="Q96" s="958"/>
      <c r="R96" s="958"/>
      <c r="S96" s="958"/>
      <c r="T96" s="844" t="s">
        <v>2226</v>
      </c>
      <c r="U96" s="844"/>
      <c r="V96" s="844"/>
      <c r="W96" s="844"/>
      <c r="X96" s="844"/>
      <c r="Y96" s="1001"/>
      <c r="Z96" s="847" t="s">
        <v>2227</v>
      </c>
      <c r="AA96" s="850"/>
      <c r="AB96" s="847"/>
      <c r="AC96" s="847"/>
      <c r="AD96" s="847"/>
    </row>
    <row customHeight="1" ht="63">
      <c r="A97" s="846"/>
      <c r="B97" s="900">
        <v>80</v>
      </c>
      <c r="C97" s="844" t="s">
        <v>2228</v>
      </c>
      <c r="D97" s="968"/>
      <c r="E97" s="844"/>
      <c r="F97" s="844"/>
      <c r="G97" s="844"/>
      <c r="H97" s="892"/>
      <c r="I97" s="1006">
        <f>INDEX(TEMPLATE_NUMBER_POINT_FHD,B97,MATCH(TEMPLATE_SPHERE,TEMPLATE_SPHERE_LIST_FOR_NOTE,0))</f>
        <v>0</v>
      </c>
      <c r="J97" s="1006">
        <f>INDEX(TEMPLATE_DATA_POINT_FHD,B97,MATCH(TEMPLATE_SPHERE,TEMPLATE_SPHERE_LIST_FOR_NOTE,0))</f>
        <v>0</v>
      </c>
      <c r="K97" s="1006">
        <f>INDEX(TEMPLATE_NOTE_POINT_FHD,B97,MATCH(TEMPLATE_SPHERE,TEMPLATE_SPHERE_LIST_FOR_NOTE,0))</f>
        <v>0</v>
      </c>
      <c r="L97" s="845" t="str">
        <f>IF(I97=0,"",I97)</f>
        <v/>
      </c>
      <c r="M97" s="845" t="str">
        <f>IF(J97=0,"",J97)</f>
        <v/>
      </c>
      <c r="N97" s="845" t="str">
        <f>IF(K97=0,"",K97)</f>
        <v/>
      </c>
      <c r="O97" s="958" t="s">
        <v>1498</v>
      </c>
      <c r="P97" s="958"/>
      <c r="Q97" s="958"/>
      <c r="R97" s="958"/>
      <c r="S97" s="958"/>
      <c r="T97" s="844" t="s">
        <v>2229</v>
      </c>
      <c r="U97" s="844"/>
      <c r="V97" s="844"/>
      <c r="W97" s="844"/>
      <c r="X97" s="844"/>
      <c r="Y97" s="1001"/>
      <c r="Z97" s="847" t="s">
        <v>2230</v>
      </c>
      <c r="AA97" s="850"/>
      <c r="AB97" s="847"/>
      <c r="AC97" s="847"/>
      <c r="AD97" s="847"/>
    </row>
    <row customHeight="1" ht="63">
      <c r="A98" s="846"/>
      <c r="B98" s="900">
        <v>81</v>
      </c>
      <c r="C98" s="844" t="s">
        <v>2231</v>
      </c>
      <c r="D98" s="968"/>
      <c r="E98" s="844"/>
      <c r="F98" s="844"/>
      <c r="G98" s="844"/>
      <c r="H98" s="892"/>
      <c r="I98" s="1006">
        <f>INDEX(TEMPLATE_NUMBER_POINT_FHD,B98,MATCH(TEMPLATE_SPHERE,TEMPLATE_SPHERE_LIST_FOR_NOTE,0))</f>
        <v>0</v>
      </c>
      <c r="J98" s="1006">
        <f>INDEX(TEMPLATE_DATA_POINT_FHD,B98,MATCH(TEMPLATE_SPHERE,TEMPLATE_SPHERE_LIST_FOR_NOTE,0))</f>
        <v>0</v>
      </c>
      <c r="K98" s="1006">
        <f>INDEX(TEMPLATE_NOTE_POINT_FHD,B98,MATCH(TEMPLATE_SPHERE,TEMPLATE_SPHERE_LIST_FOR_NOTE,0))</f>
        <v>0</v>
      </c>
      <c r="L98" s="845" t="str">
        <f>IF(I98=0,"",I98)</f>
        <v/>
      </c>
      <c r="M98" s="845" t="str">
        <f>IF(J98=0,"",J98)</f>
        <v/>
      </c>
      <c r="N98" s="845" t="str">
        <f>IF(K98=0,"",K98)</f>
        <v/>
      </c>
      <c r="O98" s="958" t="s">
        <v>1512</v>
      </c>
      <c r="P98" s="958"/>
      <c r="Q98" s="958"/>
      <c r="R98" s="958"/>
      <c r="S98" s="958"/>
      <c r="T98" s="844" t="s">
        <v>2232</v>
      </c>
      <c r="U98" s="844"/>
      <c r="V98" s="844"/>
      <c r="W98" s="844"/>
      <c r="X98" s="844"/>
      <c r="Y98" s="1001"/>
      <c r="Z98" s="847" t="s">
        <v>2230</v>
      </c>
      <c r="AA98" s="850"/>
      <c r="AB98" s="847"/>
      <c r="AC98" s="847"/>
      <c r="AD98" s="847"/>
    </row>
    <row customHeight="1" ht="90">
      <c r="A99" s="846"/>
      <c r="B99" s="900">
        <v>82</v>
      </c>
      <c r="C99" s="844" t="s">
        <v>2233</v>
      </c>
      <c r="D99" s="968"/>
      <c r="E99" s="844"/>
      <c r="F99" s="844"/>
      <c r="G99" s="844"/>
      <c r="H99" s="892"/>
      <c r="I99" s="1006">
        <f>INDEX(TEMPLATE_NUMBER_POINT_FHD,B99,MATCH(TEMPLATE_SPHERE,TEMPLATE_SPHERE_LIST_FOR_NOTE,0))</f>
        <v>0</v>
      </c>
      <c r="J99" s="1006">
        <f>INDEX(TEMPLATE_DATA_POINT_FHD,B99,MATCH(TEMPLATE_SPHERE,TEMPLATE_SPHERE_LIST_FOR_NOTE,0))</f>
        <v>0</v>
      </c>
      <c r="K99" s="1006">
        <f>INDEX(TEMPLATE_NOTE_POINT_FHD,B99,MATCH(TEMPLATE_SPHERE,TEMPLATE_SPHERE_LIST_FOR_NOTE,0))</f>
        <v>0</v>
      </c>
      <c r="L99" s="845" t="str">
        <f>IF(I99=0,"",I99)</f>
        <v/>
      </c>
      <c r="M99" s="845" t="str">
        <f>IF(J99=0,"",J99)</f>
        <v/>
      </c>
      <c r="N99" s="845" t="str">
        <f>IF(K99=0,"",K99)</f>
        <v/>
      </c>
      <c r="O99" s="958" t="s">
        <v>1524</v>
      </c>
      <c r="P99" s="958"/>
      <c r="Q99" s="958"/>
      <c r="R99" s="958"/>
      <c r="S99" s="958"/>
      <c r="T99" s="844" t="s">
        <v>2234</v>
      </c>
      <c r="U99" s="844"/>
      <c r="V99" s="844"/>
      <c r="W99" s="844"/>
      <c r="X99" s="844"/>
      <c r="Y99" s="1001"/>
      <c r="Z99" s="847" t="s">
        <v>642</v>
      </c>
      <c r="AA99" s="850"/>
      <c r="AB99" s="847"/>
      <c r="AC99" s="847"/>
      <c r="AD99" s="847"/>
    </row>
    <row customHeight="1" ht="27">
      <c r="A100" s="846"/>
      <c r="B100" s="900">
        <v>83</v>
      </c>
      <c r="C100" s="844"/>
      <c r="D100" s="968"/>
      <c r="E100" s="844"/>
      <c r="F100" s="844"/>
      <c r="G100" s="844"/>
      <c r="H100" s="892"/>
      <c r="I100" s="1006">
        <f>INDEX(TEMPLATE_NUMBER_POINT_FHD,B100,MATCH(TEMPLATE_SPHERE,TEMPLATE_SPHERE_LIST_FOR_NOTE,0))</f>
        <v>0</v>
      </c>
      <c r="J100" s="1006">
        <f>INDEX(TEMPLATE_DATA_POINT_FHD,B100,MATCH(TEMPLATE_SPHERE,TEMPLATE_SPHERE_LIST_FOR_NOTE,0))</f>
        <v>0</v>
      </c>
      <c r="K100" s="1006">
        <f>INDEX(TEMPLATE_NOTE_POINT_FHD,B100,MATCH(TEMPLATE_SPHERE,TEMPLATE_SPHERE_LIST_FOR_NOTE,0))</f>
        <v>0</v>
      </c>
      <c r="L100" s="845" t="str">
        <f>IF(I100=0,"",I100)</f>
        <v/>
      </c>
      <c r="M100" s="845" t="str">
        <f>IF(J100=0,"",J100)</f>
        <v/>
      </c>
      <c r="N100" s="845" t="str">
        <f>IF(K100=0,"",K100)</f>
        <v/>
      </c>
      <c r="O100" s="958" t="s">
        <v>2235</v>
      </c>
      <c r="P100" s="958"/>
      <c r="Q100" s="958"/>
      <c r="R100" s="958"/>
      <c r="S100" s="958"/>
      <c r="T100" s="844" t="s">
        <v>2236</v>
      </c>
      <c r="U100" s="844"/>
      <c r="V100" s="844"/>
      <c r="W100" s="844"/>
      <c r="X100" s="844"/>
      <c r="Y100" s="1001"/>
      <c r="Z100" s="847" t="s">
        <v>642</v>
      </c>
      <c r="AA100" s="850"/>
      <c r="AB100" s="847"/>
      <c r="AC100" s="847"/>
      <c r="AD100" s="847"/>
    </row>
    <row customHeight="1" ht="27">
      <c r="A101" s="846"/>
      <c r="B101" s="900">
        <v>84</v>
      </c>
      <c r="C101" s="844"/>
      <c r="D101" s="968"/>
      <c r="E101" s="844"/>
      <c r="F101" s="844"/>
      <c r="G101" s="844"/>
      <c r="H101" s="892"/>
      <c r="I101" s="1006">
        <f>INDEX(TEMPLATE_NUMBER_POINT_FHD,B101,MATCH(TEMPLATE_SPHERE,TEMPLATE_SPHERE_LIST_FOR_NOTE,0))</f>
        <v>0</v>
      </c>
      <c r="J101" s="1006">
        <f>INDEX(TEMPLATE_DATA_POINT_FHD,B101,MATCH(TEMPLATE_SPHERE,TEMPLATE_SPHERE_LIST_FOR_NOTE,0))</f>
        <v>0</v>
      </c>
      <c r="K101" s="1006">
        <f>INDEX(TEMPLATE_NOTE_POINT_FHD,B101,MATCH(TEMPLATE_SPHERE,TEMPLATE_SPHERE_LIST_FOR_NOTE,0))</f>
        <v>0</v>
      </c>
      <c r="L101" s="845" t="str">
        <f>IF(I101=0,"",I101)</f>
        <v/>
      </c>
      <c r="M101" s="845" t="str">
        <f>IF(J101=0,"",J101)</f>
        <v/>
      </c>
      <c r="N101" s="845" t="str">
        <f>IF(K101=0,"",K101)</f>
        <v/>
      </c>
      <c r="O101" s="958" t="s">
        <v>2237</v>
      </c>
      <c r="P101" s="958"/>
      <c r="Q101" s="958"/>
      <c r="R101" s="958"/>
      <c r="S101" s="958"/>
      <c r="T101" s="844" t="s">
        <v>2238</v>
      </c>
      <c r="U101" s="844"/>
      <c r="V101" s="844"/>
      <c r="W101" s="844"/>
      <c r="X101" s="844"/>
      <c r="Y101" s="1001"/>
      <c r="Z101" s="847" t="s">
        <v>642</v>
      </c>
      <c r="AA101" s="850"/>
      <c r="AB101" s="847"/>
      <c r="AC101" s="847"/>
      <c r="AD101" s="847"/>
    </row>
    <row customHeight="1" ht="9">
      <c r="A102" s="846"/>
      <c r="B102" s="846"/>
      <c r="C102" s="844"/>
      <c r="D102" s="844"/>
      <c r="E102" s="844"/>
      <c r="F102" s="844"/>
      <c r="G102" s="844"/>
      <c r="H102" s="892"/>
      <c r="I102" s="892"/>
      <c r="J102" s="892"/>
      <c r="K102" s="892"/>
      <c r="L102" s="892"/>
      <c r="M102" s="844"/>
      <c r="N102" s="891"/>
      <c r="O102" s="958"/>
      <c r="P102" s="958"/>
      <c r="Q102" s="958"/>
      <c r="R102" s="958"/>
      <c r="S102" s="844"/>
      <c r="T102" s="844"/>
      <c r="U102" s="844"/>
      <c r="V102" s="844"/>
      <c r="W102" s="844"/>
      <c r="X102" s="844"/>
      <c r="Y102" s="1001"/>
      <c r="Z102" s="847"/>
      <c r="AA102" s="850"/>
      <c r="AB102" s="847"/>
      <c r="AC102" s="847"/>
      <c r="AD102" s="847"/>
    </row>
    <row customHeight="1" ht="9">
      <c r="A103" s="846"/>
      <c r="B103" s="846"/>
      <c r="C103" s="844"/>
      <c r="D103" s="844"/>
      <c r="E103" s="844"/>
      <c r="F103" s="844"/>
      <c r="G103" s="844"/>
      <c r="H103" s="892"/>
      <c r="I103" s="892"/>
      <c r="J103" s="892"/>
      <c r="K103" s="892"/>
      <c r="L103" s="892"/>
      <c r="M103" s="844"/>
      <c r="N103" s="891"/>
      <c r="O103" s="958"/>
      <c r="P103" s="958"/>
      <c r="Q103" s="958"/>
      <c r="R103" s="958"/>
      <c r="S103" s="844"/>
      <c r="T103" s="844"/>
      <c r="U103" s="844"/>
      <c r="V103" s="844"/>
      <c r="W103" s="844"/>
      <c r="X103" s="844"/>
      <c r="Y103" s="1001"/>
      <c r="Z103" s="847"/>
      <c r="AA103" s="850"/>
      <c r="AB103" s="847"/>
      <c r="AC103" s="847"/>
      <c r="AD103" s="847"/>
    </row>
    <row customHeight="1" ht="9">
      <c r="A104" s="846"/>
      <c r="B104" s="846"/>
      <c r="C104" s="844"/>
      <c r="D104" s="844"/>
      <c r="E104" s="844"/>
      <c r="F104" s="844"/>
      <c r="G104" s="844"/>
      <c r="H104" s="892"/>
      <c r="I104" s="892"/>
      <c r="J104" s="892"/>
      <c r="K104" s="892"/>
      <c r="L104" s="892"/>
      <c r="M104" s="844"/>
      <c r="N104" s="891"/>
      <c r="O104" s="958"/>
      <c r="P104" s="958"/>
      <c r="Q104" s="958"/>
      <c r="R104" s="958"/>
      <c r="S104" s="844"/>
      <c r="T104" s="844"/>
      <c r="U104" s="844"/>
      <c r="V104" s="844"/>
      <c r="W104" s="844"/>
      <c r="X104" s="844"/>
      <c r="Y104" s="1001"/>
      <c r="Z104" s="847"/>
      <c r="AA104" s="850"/>
      <c r="AB104" s="847"/>
      <c r="AC104" s="847"/>
      <c r="AD104" s="847"/>
    </row>
    <row customHeight="1" ht="9">
      <c r="A105" s="846"/>
      <c r="B105" s="846"/>
      <c r="C105" s="844"/>
      <c r="D105" s="844"/>
      <c r="E105" s="844"/>
      <c r="F105" s="844"/>
      <c r="G105" s="844"/>
      <c r="H105" s="892"/>
      <c r="I105" s="892"/>
      <c r="J105" s="892"/>
      <c r="K105" s="892"/>
      <c r="L105" s="892"/>
      <c r="M105" s="844"/>
      <c r="N105" s="891"/>
      <c r="O105" s="958"/>
      <c r="P105" s="958"/>
      <c r="Q105" s="958"/>
      <c r="R105" s="958"/>
      <c r="S105" s="844"/>
      <c r="T105" s="844"/>
      <c r="U105" s="844"/>
      <c r="V105" s="844"/>
      <c r="W105" s="844"/>
      <c r="X105" s="844"/>
      <c r="Y105" s="1001"/>
      <c r="Z105" s="847"/>
      <c r="AA105" s="850"/>
      <c r="AB105" s="847"/>
      <c r="AC105" s="847"/>
      <c r="AD105" s="847"/>
    </row>
    <row customHeight="1" ht="9">
      <c r="A106" s="846"/>
      <c r="B106" s="846"/>
      <c r="C106" s="844"/>
      <c r="D106" s="844"/>
      <c r="E106" s="844"/>
      <c r="F106" s="844"/>
      <c r="G106" s="844"/>
      <c r="H106" s="892"/>
      <c r="I106" s="892"/>
      <c r="J106" s="892"/>
      <c r="K106" s="892"/>
      <c r="L106" s="892"/>
      <c r="M106" s="844"/>
      <c r="N106" s="891"/>
      <c r="O106" s="958"/>
      <c r="P106" s="958"/>
      <c r="Q106" s="958"/>
      <c r="R106" s="958"/>
      <c r="S106" s="844"/>
      <c r="T106" s="844"/>
      <c r="U106" s="844"/>
      <c r="V106" s="844"/>
      <c r="W106" s="844"/>
      <c r="X106" s="844"/>
      <c r="Y106" s="1001"/>
      <c r="Z106" s="847"/>
      <c r="AA106" s="850"/>
      <c r="AB106" s="847"/>
      <c r="AC106" s="847"/>
      <c r="AD106" s="847"/>
    </row>
    <row customHeight="1" ht="9">
      <c r="A107" s="846"/>
      <c r="B107" s="846"/>
      <c r="C107" s="844"/>
      <c r="D107" s="844"/>
      <c r="E107" s="844"/>
      <c r="F107" s="844"/>
      <c r="G107" s="844"/>
      <c r="H107" s="892"/>
      <c r="I107" s="892"/>
      <c r="J107" s="892"/>
      <c r="K107" s="892"/>
      <c r="L107" s="892"/>
      <c r="M107" s="844"/>
      <c r="N107" s="891"/>
      <c r="O107" s="958"/>
      <c r="P107" s="958"/>
      <c r="Q107" s="958"/>
      <c r="R107" s="958"/>
      <c r="S107" s="844"/>
      <c r="T107" s="844"/>
      <c r="U107" s="844"/>
      <c r="V107" s="844"/>
      <c r="W107" s="844"/>
      <c r="X107" s="844"/>
      <c r="Y107" s="1001"/>
      <c r="Z107" s="847"/>
      <c r="AA107" s="850"/>
      <c r="AB107" s="847"/>
      <c r="AC107" s="847"/>
      <c r="AD107" s="847"/>
    </row>
    <row customHeight="1" ht="9">
      <c r="A108" s="846"/>
      <c r="B108" s="846"/>
      <c r="C108" s="844"/>
      <c r="D108" s="844"/>
      <c r="E108" s="844"/>
      <c r="F108" s="844"/>
      <c r="G108" s="844"/>
      <c r="H108" s="892"/>
      <c r="I108" s="892"/>
      <c r="J108" s="892"/>
      <c r="K108" s="892"/>
      <c r="L108" s="892"/>
      <c r="M108" s="844"/>
      <c r="N108" s="891"/>
      <c r="O108" s="958"/>
      <c r="P108" s="958"/>
      <c r="Q108" s="958"/>
      <c r="R108" s="958"/>
      <c r="S108" s="844"/>
      <c r="T108" s="844"/>
      <c r="U108" s="844"/>
      <c r="V108" s="844"/>
      <c r="W108" s="844"/>
      <c r="X108" s="844"/>
      <c r="Y108" s="1001"/>
      <c r="Z108" s="847"/>
      <c r="AA108" s="850"/>
      <c r="AB108" s="847"/>
      <c r="AC108" s="847"/>
      <c r="AD108" s="847"/>
    </row>
    <row customHeight="1" ht="9">
      <c r="A109" s="846"/>
      <c r="B109" s="846"/>
      <c r="C109" s="844"/>
      <c r="D109" s="844"/>
      <c r="E109" s="844"/>
      <c r="F109" s="844"/>
      <c r="G109" s="844"/>
      <c r="H109" s="892"/>
      <c r="I109" s="892"/>
      <c r="J109" s="892"/>
      <c r="K109" s="892"/>
      <c r="L109" s="892"/>
      <c r="M109" s="844"/>
      <c r="N109" s="891"/>
      <c r="O109" s="958"/>
      <c r="P109" s="958"/>
      <c r="Q109" s="958"/>
      <c r="R109" s="958"/>
      <c r="S109" s="844"/>
      <c r="T109" s="844"/>
      <c r="U109" s="844"/>
      <c r="V109" s="844"/>
      <c r="W109" s="844"/>
      <c r="X109" s="844"/>
      <c r="Y109" s="1001"/>
      <c r="Z109" s="847"/>
      <c r="AA109" s="850"/>
      <c r="AB109" s="847"/>
      <c r="AC109" s="847"/>
      <c r="AD109" s="847"/>
    </row>
    <row customHeight="1" ht="9">
      <c r="A110" s="846"/>
      <c r="B110" s="846"/>
      <c r="C110" s="844"/>
      <c r="D110" s="844"/>
      <c r="E110" s="844"/>
      <c r="F110" s="844"/>
      <c r="G110" s="844"/>
      <c r="H110" s="892"/>
      <c r="I110" s="892"/>
      <c r="J110" s="892"/>
      <c r="K110" s="892"/>
      <c r="L110" s="892"/>
      <c r="M110" s="844"/>
      <c r="N110" s="891"/>
      <c r="O110" s="958"/>
      <c r="P110" s="958"/>
      <c r="Q110" s="958"/>
      <c r="R110" s="958"/>
      <c r="S110" s="844"/>
      <c r="T110" s="844"/>
      <c r="U110" s="844"/>
      <c r="V110" s="844"/>
      <c r="W110" s="844"/>
      <c r="X110" s="844"/>
      <c r="Y110" s="1001"/>
      <c r="Z110" s="847"/>
      <c r="AA110" s="850"/>
      <c r="AB110" s="847"/>
      <c r="AC110" s="847"/>
      <c r="AD110" s="847"/>
    </row>
    <row customHeight="1" ht="9">
      <c r="A111" s="846"/>
      <c r="B111" s="846"/>
      <c r="C111" s="844"/>
      <c r="D111" s="844"/>
      <c r="E111" s="844"/>
      <c r="F111" s="844"/>
      <c r="G111" s="844"/>
      <c r="H111" s="892"/>
      <c r="I111" s="892"/>
      <c r="J111" s="892"/>
      <c r="K111" s="892"/>
      <c r="L111" s="892"/>
      <c r="M111" s="844"/>
      <c r="N111" s="891"/>
      <c r="O111" s="958"/>
      <c r="P111" s="958"/>
      <c r="Q111" s="958"/>
      <c r="R111" s="958"/>
      <c r="S111" s="844"/>
      <c r="T111" s="844"/>
      <c r="U111" s="844"/>
      <c r="V111" s="844"/>
      <c r="W111" s="844"/>
      <c r="X111" s="844"/>
      <c r="Y111" s="1001"/>
      <c r="Z111" s="847"/>
      <c r="AA111" s="850"/>
      <c r="AB111" s="847"/>
      <c r="AC111" s="847"/>
      <c r="AD111" s="847"/>
    </row>
    <row customHeight="1" ht="9">
      <c r="A112" s="846"/>
      <c r="B112" s="846"/>
      <c r="C112" s="844"/>
      <c r="D112" s="844"/>
      <c r="E112" s="844"/>
      <c r="F112" s="844"/>
      <c r="G112" s="844"/>
      <c r="H112" s="892"/>
      <c r="I112" s="892"/>
      <c r="J112" s="892"/>
      <c r="K112" s="892"/>
      <c r="L112" s="892"/>
      <c r="M112" s="844"/>
      <c r="N112" s="891"/>
      <c r="O112" s="958"/>
      <c r="P112" s="958"/>
      <c r="Q112" s="958"/>
      <c r="R112" s="958"/>
      <c r="S112" s="844"/>
      <c r="T112" s="844"/>
      <c r="U112" s="844"/>
      <c r="V112" s="844"/>
      <c r="W112" s="844"/>
      <c r="X112" s="844"/>
      <c r="Y112" s="1001"/>
      <c r="Z112" s="847"/>
      <c r="AA112" s="850"/>
      <c r="AB112" s="847"/>
      <c r="AC112" s="847"/>
      <c r="AD112" s="847"/>
    </row>
    <row customHeight="1" ht="9">
      <c r="A113" s="846"/>
      <c r="B113" s="846"/>
      <c r="C113" s="844"/>
      <c r="D113" s="844"/>
      <c r="E113" s="844"/>
      <c r="F113" s="844"/>
      <c r="G113" s="844"/>
      <c r="H113" s="892"/>
      <c r="I113" s="892"/>
      <c r="J113" s="892"/>
      <c r="K113" s="892"/>
      <c r="L113" s="892"/>
      <c r="M113" s="844"/>
      <c r="N113" s="891"/>
      <c r="O113" s="958"/>
      <c r="P113" s="958"/>
      <c r="Q113" s="958"/>
      <c r="R113" s="958"/>
      <c r="S113" s="844"/>
      <c r="T113" s="844"/>
      <c r="U113" s="844"/>
      <c r="V113" s="844"/>
      <c r="W113" s="844"/>
      <c r="X113" s="844"/>
      <c r="Y113" s="1001"/>
      <c r="Z113" s="847"/>
      <c r="AA113" s="850"/>
      <c r="AB113" s="847"/>
      <c r="AC113" s="847"/>
      <c r="AD113" s="847"/>
    </row>
    <row customHeight="1" ht="9">
      <c r="A114" s="846"/>
      <c r="B114" s="846"/>
      <c r="C114" s="844"/>
      <c r="D114" s="844"/>
      <c r="E114" s="844"/>
      <c r="F114" s="844"/>
      <c r="G114" s="844"/>
      <c r="H114" s="892"/>
      <c r="I114" s="892"/>
      <c r="J114" s="892"/>
      <c r="K114" s="892"/>
      <c r="L114" s="892"/>
      <c r="M114" s="844"/>
      <c r="N114" s="891"/>
      <c r="O114" s="958"/>
      <c r="P114" s="958"/>
      <c r="Q114" s="958"/>
      <c r="R114" s="958"/>
      <c r="S114" s="844"/>
      <c r="T114" s="844"/>
      <c r="U114" s="844"/>
      <c r="V114" s="844"/>
      <c r="W114" s="844"/>
      <c r="X114" s="844"/>
      <c r="Y114" s="1001"/>
      <c r="Z114" s="847"/>
      <c r="AA114" s="850"/>
      <c r="AB114" s="847"/>
      <c r="AC114" s="847"/>
      <c r="AD114" s="847"/>
    </row>
    <row customHeight="1" ht="9">
      <c r="A115" s="846"/>
      <c r="B115" s="846"/>
      <c r="C115" s="844"/>
      <c r="D115" s="844"/>
      <c r="E115" s="844"/>
      <c r="F115" s="844"/>
      <c r="G115" s="844"/>
      <c r="H115" s="892"/>
      <c r="I115" s="892"/>
      <c r="J115" s="892"/>
      <c r="K115" s="892"/>
      <c r="L115" s="892"/>
      <c r="M115" s="844"/>
      <c r="N115" s="891"/>
      <c r="O115" s="958"/>
      <c r="P115" s="958"/>
      <c r="Q115" s="958"/>
      <c r="R115" s="958"/>
      <c r="S115" s="844"/>
      <c r="T115" s="844"/>
      <c r="U115" s="844"/>
      <c r="V115" s="844"/>
      <c r="W115" s="844"/>
      <c r="X115" s="844"/>
      <c r="Y115" s="1001"/>
      <c r="Z115" s="847"/>
      <c r="AA115" s="850"/>
      <c r="AB115" s="847"/>
      <c r="AC115" s="847"/>
      <c r="AD115" s="847"/>
    </row>
    <row customHeight="1" ht="9">
      <c r="A116" s="846"/>
      <c r="B116" s="846"/>
      <c r="C116" s="844"/>
      <c r="D116" s="844"/>
      <c r="E116" s="844"/>
      <c r="F116" s="844"/>
      <c r="G116" s="844"/>
      <c r="H116" s="892"/>
      <c r="I116" s="892"/>
      <c r="J116" s="892"/>
      <c r="K116" s="892"/>
      <c r="L116" s="892"/>
      <c r="M116" s="844"/>
      <c r="N116" s="891"/>
      <c r="O116" s="958"/>
      <c r="P116" s="958"/>
      <c r="Q116" s="958"/>
      <c r="R116" s="958"/>
      <c r="S116" s="844"/>
      <c r="T116" s="844"/>
      <c r="U116" s="844"/>
      <c r="V116" s="844"/>
      <c r="W116" s="844"/>
      <c r="X116" s="844"/>
      <c r="Y116" s="1001"/>
      <c r="Z116" s="847"/>
      <c r="AA116" s="850"/>
      <c r="AB116" s="847"/>
      <c r="AC116" s="847"/>
      <c r="AD116" s="847"/>
    </row>
    <row customHeight="1" ht="9">
      <c r="A117" s="846"/>
      <c r="B117" s="846"/>
      <c r="C117" s="844"/>
      <c r="D117" s="844"/>
      <c r="E117" s="844"/>
      <c r="F117" s="844"/>
      <c r="G117" s="844"/>
      <c r="H117" s="892"/>
      <c r="I117" s="892"/>
      <c r="J117" s="892"/>
      <c r="K117" s="892"/>
      <c r="L117" s="892"/>
      <c r="M117" s="844"/>
      <c r="N117" s="891"/>
      <c r="O117" s="958"/>
      <c r="P117" s="958"/>
      <c r="Q117" s="958"/>
      <c r="R117" s="958"/>
      <c r="S117" s="844"/>
      <c r="T117" s="844"/>
      <c r="U117" s="844"/>
      <c r="V117" s="844"/>
      <c r="W117" s="844"/>
      <c r="X117" s="844"/>
      <c r="Y117" s="1001"/>
      <c r="Z117" s="847"/>
      <c r="AA117" s="850"/>
      <c r="AB117" s="847"/>
      <c r="AC117" s="847"/>
      <c r="AD117" s="847"/>
    </row>
    <row customHeight="1" ht="9">
      <c r="A118" s="846"/>
      <c r="B118" s="846"/>
      <c r="C118" s="844"/>
      <c r="D118" s="844"/>
      <c r="E118" s="844"/>
      <c r="F118" s="844"/>
      <c r="G118" s="844"/>
      <c r="H118" s="892"/>
      <c r="I118" s="892"/>
      <c r="J118" s="892"/>
      <c r="K118" s="892"/>
      <c r="L118" s="892"/>
      <c r="M118" s="844"/>
      <c r="N118" s="891"/>
      <c r="O118" s="958"/>
      <c r="P118" s="958"/>
      <c r="Q118" s="958"/>
      <c r="R118" s="958"/>
      <c r="S118" s="844"/>
      <c r="T118" s="844"/>
      <c r="U118" s="844"/>
      <c r="V118" s="844"/>
      <c r="W118" s="844"/>
      <c r="X118" s="844"/>
      <c r="Y118" s="1001"/>
      <c r="Z118" s="847"/>
      <c r="AA118" s="850"/>
      <c r="AB118" s="847"/>
      <c r="AC118" s="847"/>
      <c r="AD118" s="847"/>
    </row>
    <row customHeight="1" ht="9">
      <c r="A119" s="846"/>
      <c r="B119" s="846"/>
      <c r="C119" s="844"/>
      <c r="D119" s="844"/>
      <c r="E119" s="844"/>
      <c r="F119" s="844"/>
      <c r="G119" s="844"/>
      <c r="H119" s="892"/>
      <c r="I119" s="892"/>
      <c r="J119" s="892"/>
      <c r="K119" s="892"/>
      <c r="L119" s="892"/>
      <c r="M119" s="844"/>
      <c r="N119" s="891"/>
      <c r="O119" s="958"/>
      <c r="P119" s="958"/>
      <c r="Q119" s="958"/>
      <c r="R119" s="958"/>
      <c r="S119" s="844"/>
      <c r="T119" s="844"/>
      <c r="U119" s="844"/>
      <c r="V119" s="844"/>
      <c r="W119" s="844"/>
      <c r="X119" s="844"/>
      <c r="Y119" s="1001"/>
      <c r="Z119" s="847"/>
      <c r="AA119" s="850"/>
      <c r="AB119" s="847"/>
      <c r="AC119" s="847"/>
      <c r="AD119" s="847"/>
    </row>
    <row customHeight="1" ht="9">
      <c r="A120" s="846"/>
      <c r="B120" s="846"/>
      <c r="C120" s="844"/>
      <c r="D120" s="844"/>
      <c r="E120" s="844"/>
      <c r="F120" s="844"/>
      <c r="G120" s="844"/>
      <c r="H120" s="892"/>
      <c r="I120" s="892"/>
      <c r="J120" s="892"/>
      <c r="K120" s="892"/>
      <c r="L120" s="892"/>
      <c r="M120" s="844"/>
      <c r="N120" s="891"/>
      <c r="O120" s="958"/>
      <c r="P120" s="958"/>
      <c r="Q120" s="958"/>
      <c r="R120" s="958"/>
      <c r="S120" s="844"/>
      <c r="T120" s="844"/>
      <c r="U120" s="844"/>
      <c r="V120" s="844"/>
      <c r="W120" s="844"/>
      <c r="X120" s="844"/>
      <c r="Y120" s="1001"/>
      <c r="Z120" s="847"/>
      <c r="AA120" s="850"/>
      <c r="AB120" s="847"/>
      <c r="AC120" s="847"/>
      <c r="AD120" s="847"/>
    </row>
    <row customHeight="1" ht="9">
      <c r="A121" s="846"/>
      <c r="B121" s="846"/>
      <c r="C121" s="844"/>
      <c r="D121" s="844"/>
      <c r="E121" s="844"/>
      <c r="F121" s="844"/>
      <c r="G121" s="844"/>
      <c r="H121" s="892"/>
      <c r="I121" s="892"/>
      <c r="J121" s="892"/>
      <c r="K121" s="892"/>
      <c r="L121" s="892"/>
      <c r="M121" s="844"/>
      <c r="N121" s="891"/>
      <c r="O121" s="958"/>
      <c r="P121" s="958"/>
      <c r="Q121" s="958"/>
      <c r="R121" s="958"/>
      <c r="S121" s="844"/>
      <c r="T121" s="844"/>
      <c r="U121" s="844"/>
      <c r="V121" s="844"/>
      <c r="W121" s="844"/>
      <c r="X121" s="844"/>
      <c r="Y121" s="1001"/>
      <c r="Z121" s="847"/>
      <c r="AA121" s="850"/>
      <c r="AB121" s="847"/>
      <c r="AC121" s="847"/>
      <c r="AD121" s="847"/>
    </row>
    <row customHeight="1" ht="9">
      <c r="A122" s="846"/>
      <c r="B122" s="846"/>
      <c r="C122" s="844"/>
      <c r="D122" s="844"/>
      <c r="E122" s="844"/>
      <c r="F122" s="844"/>
      <c r="G122" s="844"/>
      <c r="H122" s="892"/>
      <c r="I122" s="892"/>
      <c r="J122" s="892"/>
      <c r="K122" s="892"/>
      <c r="L122" s="892"/>
      <c r="M122" s="844"/>
      <c r="N122" s="891"/>
      <c r="O122" s="958"/>
      <c r="P122" s="958"/>
      <c r="Q122" s="958"/>
      <c r="R122" s="958"/>
      <c r="S122" s="844"/>
      <c r="T122" s="844"/>
      <c r="U122" s="844"/>
      <c r="V122" s="844"/>
      <c r="W122" s="844"/>
      <c r="X122" s="844"/>
      <c r="Y122" s="1001"/>
      <c r="Z122" s="847"/>
      <c r="AA122" s="850"/>
      <c r="AB122" s="847"/>
      <c r="AC122" s="847"/>
      <c r="AD122" s="847"/>
    </row>
    <row customHeight="1" ht="9">
      <c r="A123" s="846"/>
      <c r="B123" s="846"/>
      <c r="C123" s="844"/>
      <c r="D123" s="844"/>
      <c r="E123" s="844"/>
      <c r="F123" s="844"/>
      <c r="G123" s="844"/>
      <c r="H123" s="892"/>
      <c r="I123" s="892"/>
      <c r="J123" s="892"/>
      <c r="K123" s="892"/>
      <c r="L123" s="892"/>
      <c r="M123" s="844"/>
      <c r="N123" s="891"/>
      <c r="O123" s="958"/>
      <c r="P123" s="958"/>
      <c r="Q123" s="958"/>
      <c r="R123" s="958"/>
      <c r="S123" s="844"/>
      <c r="T123" s="844"/>
      <c r="U123" s="844"/>
      <c r="V123" s="844"/>
      <c r="W123" s="844"/>
      <c r="X123" s="844"/>
      <c r="Y123" s="1001"/>
      <c r="Z123" s="847"/>
      <c r="AA123" s="850"/>
      <c r="AB123" s="847"/>
      <c r="AC123" s="847"/>
      <c r="AD123" s="847"/>
    </row>
    <row customHeight="1" ht="9">
      <c r="A124" s="846"/>
      <c r="B124" s="846"/>
      <c r="C124" s="844"/>
      <c r="D124" s="844"/>
      <c r="E124" s="844"/>
      <c r="F124" s="844"/>
      <c r="G124" s="844"/>
      <c r="H124" s="892"/>
      <c r="I124" s="892"/>
      <c r="J124" s="892"/>
      <c r="K124" s="892"/>
      <c r="L124" s="892"/>
      <c r="M124" s="844"/>
      <c r="N124" s="891"/>
      <c r="O124" s="958"/>
      <c r="P124" s="958"/>
      <c r="Q124" s="958"/>
      <c r="R124" s="958"/>
      <c r="S124" s="844"/>
      <c r="T124" s="844"/>
      <c r="U124" s="844"/>
      <c r="V124" s="844"/>
      <c r="W124" s="844"/>
      <c r="X124" s="844"/>
      <c r="Y124" s="1001"/>
      <c r="Z124" s="847"/>
      <c r="AA124" s="850"/>
      <c r="AB124" s="847"/>
      <c r="AC124" s="847"/>
      <c r="AD124" s="847"/>
    </row>
    <row customHeight="1" ht="9">
      <c r="A125" s="846"/>
      <c r="B125" s="846"/>
      <c r="C125" s="844"/>
      <c r="D125" s="844"/>
      <c r="E125" s="844"/>
      <c r="F125" s="844"/>
      <c r="G125" s="844"/>
      <c r="H125" s="892"/>
      <c r="I125" s="892"/>
      <c r="J125" s="892"/>
      <c r="K125" s="892"/>
      <c r="L125" s="892"/>
      <c r="M125" s="844"/>
      <c r="N125" s="891"/>
      <c r="O125" s="958"/>
      <c r="P125" s="958"/>
      <c r="Q125" s="958"/>
      <c r="R125" s="958"/>
      <c r="S125" s="844"/>
      <c r="T125" s="844"/>
      <c r="U125" s="844"/>
      <c r="V125" s="844"/>
      <c r="W125" s="844"/>
      <c r="X125" s="844"/>
      <c r="Y125" s="1001"/>
      <c r="Z125" s="847"/>
      <c r="AA125" s="850"/>
      <c r="AB125" s="847"/>
      <c r="AC125" s="847"/>
      <c r="AD125" s="847"/>
    </row>
    <row customHeight="1" ht="9">
      <c r="A126" s="846"/>
      <c r="B126" s="846"/>
      <c r="C126" s="844"/>
      <c r="D126" s="844"/>
      <c r="E126" s="844"/>
      <c r="F126" s="844"/>
      <c r="G126" s="844"/>
      <c r="H126" s="892"/>
      <c r="I126" s="892"/>
      <c r="J126" s="892"/>
      <c r="K126" s="892"/>
      <c r="L126" s="892"/>
      <c r="M126" s="844"/>
      <c r="N126" s="891"/>
      <c r="O126" s="958"/>
      <c r="P126" s="958"/>
      <c r="Q126" s="958"/>
      <c r="R126" s="958"/>
      <c r="S126" s="844"/>
      <c r="T126" s="844"/>
      <c r="U126" s="844"/>
      <c r="V126" s="844"/>
      <c r="W126" s="844"/>
      <c r="X126" s="844"/>
      <c r="Y126" s="1001"/>
      <c r="Z126" s="847"/>
      <c r="AA126" s="850"/>
      <c r="AB126" s="847"/>
      <c r="AC126" s="847"/>
      <c r="AD126" s="847"/>
    </row>
    <row customHeight="1" ht="9">
      <c r="A127" s="846"/>
      <c r="B127" s="846"/>
      <c r="C127" s="844"/>
      <c r="D127" s="844"/>
      <c r="E127" s="844"/>
      <c r="F127" s="844"/>
      <c r="G127" s="844"/>
      <c r="H127" s="892"/>
      <c r="I127" s="892"/>
      <c r="J127" s="892"/>
      <c r="K127" s="892"/>
      <c r="L127" s="892"/>
      <c r="M127" s="844"/>
      <c r="N127" s="891"/>
      <c r="O127" s="958"/>
      <c r="P127" s="958"/>
      <c r="Q127" s="958"/>
      <c r="R127" s="958"/>
      <c r="S127" s="844"/>
      <c r="T127" s="844"/>
      <c r="U127" s="844"/>
      <c r="V127" s="844"/>
      <c r="W127" s="844"/>
      <c r="X127" s="844"/>
      <c r="Y127" s="1001"/>
      <c r="Z127" s="847"/>
      <c r="AA127" s="850"/>
      <c r="AB127" s="847"/>
      <c r="AC127" s="847"/>
      <c r="AD127" s="847"/>
    </row>
    <row customHeight="1" ht="9">
      <c r="A128" s="846"/>
      <c r="B128" s="846"/>
      <c r="C128" s="844"/>
      <c r="D128" s="844"/>
      <c r="E128" s="844"/>
      <c r="F128" s="844"/>
      <c r="G128" s="844"/>
      <c r="H128" s="892"/>
      <c r="I128" s="892"/>
      <c r="J128" s="892"/>
      <c r="K128" s="892"/>
      <c r="L128" s="892"/>
      <c r="M128" s="844"/>
      <c r="N128" s="891"/>
      <c r="O128" s="958"/>
      <c r="P128" s="958"/>
      <c r="Q128" s="958"/>
      <c r="R128" s="958"/>
      <c r="S128" s="844"/>
      <c r="T128" s="844"/>
      <c r="U128" s="844"/>
      <c r="V128" s="844"/>
      <c r="W128" s="844"/>
      <c r="X128" s="844"/>
      <c r="Y128" s="1001"/>
      <c r="Z128" s="847"/>
      <c r="AA128" s="850"/>
      <c r="AB128" s="847"/>
      <c r="AC128" s="847"/>
      <c r="AD128" s="847"/>
    </row>
    <row customHeight="1" ht="9">
      <c r="A129" s="846"/>
      <c r="B129" s="846"/>
      <c r="C129" s="844"/>
      <c r="D129" s="844"/>
      <c r="E129" s="844"/>
      <c r="F129" s="844"/>
      <c r="G129" s="844"/>
      <c r="H129" s="892"/>
      <c r="I129" s="892"/>
      <c r="J129" s="892"/>
      <c r="K129" s="892"/>
      <c r="L129" s="892"/>
      <c r="M129" s="844"/>
      <c r="N129" s="891"/>
      <c r="O129" s="958"/>
      <c r="P129" s="958"/>
      <c r="Q129" s="958"/>
      <c r="R129" s="958"/>
      <c r="S129" s="844"/>
      <c r="T129" s="844"/>
      <c r="U129" s="844"/>
      <c r="V129" s="844"/>
      <c r="W129" s="844"/>
      <c r="X129" s="844"/>
      <c r="Y129" s="1001"/>
      <c r="Z129" s="847"/>
      <c r="AA129" s="850"/>
      <c r="AB129" s="847"/>
      <c r="AC129" s="847"/>
      <c r="AD129" s="847"/>
    </row>
    <row customHeight="1" ht="9">
      <c r="A130" s="846"/>
      <c r="B130" s="846"/>
      <c r="C130" s="844"/>
      <c r="D130" s="844"/>
      <c r="E130" s="844"/>
      <c r="F130" s="844"/>
      <c r="G130" s="844"/>
      <c r="H130" s="892"/>
      <c r="I130" s="892"/>
      <c r="J130" s="892"/>
      <c r="K130" s="892"/>
      <c r="L130" s="892"/>
      <c r="M130" s="844"/>
      <c r="N130" s="891"/>
      <c r="O130" s="960"/>
      <c r="P130" s="960"/>
      <c r="Q130" s="960"/>
      <c r="R130" s="960"/>
      <c r="S130" s="844"/>
      <c r="T130" s="844"/>
      <c r="U130" s="844"/>
      <c r="V130" s="844"/>
      <c r="W130" s="844"/>
      <c r="X130" s="844"/>
      <c r="Y130" s="1001"/>
      <c r="Z130" s="847"/>
      <c r="AA130" s="850"/>
      <c r="AB130" s="847"/>
      <c r="AC130" s="847"/>
      <c r="AD130" s="847"/>
    </row>
    <row customHeight="1" ht="9">
      <c r="A131" s="846"/>
      <c r="B131" s="846"/>
      <c r="C131" s="844"/>
      <c r="D131" s="844"/>
      <c r="E131" s="844"/>
      <c r="F131" s="844"/>
      <c r="G131" s="844"/>
      <c r="H131" s="892"/>
      <c r="I131" s="892"/>
      <c r="J131" s="892"/>
      <c r="K131" s="892"/>
      <c r="L131" s="892"/>
      <c r="M131" s="844"/>
      <c r="N131" s="891"/>
      <c r="O131" s="961"/>
      <c r="P131" s="961"/>
      <c r="Q131" s="961"/>
      <c r="R131" s="961"/>
      <c r="S131" s="844"/>
      <c r="T131" s="844"/>
      <c r="U131" s="844"/>
      <c r="V131" s="844"/>
      <c r="W131" s="844"/>
      <c r="X131" s="844"/>
      <c r="Y131" s="1001"/>
      <c r="Z131" s="847"/>
      <c r="AA131" s="850"/>
      <c r="AB131" s="847"/>
      <c r="AC131" s="847"/>
      <c r="AD131" s="847"/>
    </row>
    <row customHeight="1" ht="9">
      <c r="A132" s="846"/>
      <c r="B132" s="846"/>
      <c r="C132" s="844"/>
      <c r="D132" s="844"/>
      <c r="E132" s="844"/>
      <c r="F132" s="844"/>
      <c r="G132" s="844"/>
      <c r="H132" s="892"/>
      <c r="I132" s="892"/>
      <c r="J132" s="892"/>
      <c r="K132" s="892"/>
      <c r="L132" s="892"/>
      <c r="M132" s="844"/>
      <c r="N132" s="891"/>
      <c r="O132" s="960"/>
      <c r="P132" s="960"/>
      <c r="Q132" s="960"/>
      <c r="R132" s="960"/>
      <c r="S132" s="844"/>
      <c r="T132" s="844"/>
      <c r="U132" s="844"/>
      <c r="V132" s="844"/>
      <c r="W132" s="844"/>
      <c r="X132" s="844"/>
      <c r="Y132" s="1001"/>
      <c r="Z132" s="847"/>
      <c r="AA132" s="850"/>
      <c r="AB132" s="847"/>
      <c r="AC132" s="847"/>
      <c r="AD132" s="847"/>
    </row>
    <row customHeight="1" ht="9">
      <c r="A133" s="846"/>
      <c r="B133" s="846"/>
      <c r="C133" s="844"/>
      <c r="D133" s="844"/>
      <c r="E133" s="844"/>
      <c r="F133" s="844"/>
      <c r="G133" s="844"/>
      <c r="H133" s="892"/>
      <c r="I133" s="892"/>
      <c r="J133" s="892"/>
      <c r="K133" s="892"/>
      <c r="L133" s="892"/>
      <c r="M133" s="844"/>
      <c r="N133" s="891"/>
      <c r="O133" s="961"/>
      <c r="P133" s="961"/>
      <c r="Q133" s="961"/>
      <c r="R133" s="961"/>
      <c r="S133" s="844"/>
      <c r="T133" s="844"/>
      <c r="U133" s="844"/>
      <c r="V133" s="844"/>
      <c r="W133" s="844"/>
      <c r="X133" s="844"/>
      <c r="Y133" s="1001"/>
      <c r="Z133" s="847"/>
      <c r="AA133" s="850"/>
      <c r="AB133" s="847"/>
      <c r="AC133" s="847"/>
      <c r="AD133" s="847"/>
    </row>
    <row customHeight="1" ht="9">
      <c r="A134" s="846"/>
      <c r="B134" s="846"/>
      <c r="C134" s="844"/>
      <c r="D134" s="844"/>
      <c r="E134" s="844"/>
      <c r="F134" s="844"/>
      <c r="G134" s="844"/>
      <c r="H134" s="892"/>
      <c r="I134" s="892"/>
      <c r="J134" s="892"/>
      <c r="K134" s="892"/>
      <c r="L134" s="892"/>
      <c r="M134" s="844"/>
      <c r="N134" s="891"/>
      <c r="O134" s="958"/>
      <c r="P134" s="958"/>
      <c r="Q134" s="958"/>
      <c r="R134" s="958"/>
      <c r="S134" s="844"/>
      <c r="T134" s="844"/>
      <c r="U134" s="844"/>
      <c r="V134" s="844"/>
      <c r="W134" s="844"/>
      <c r="X134" s="844"/>
      <c r="Y134" s="1001"/>
      <c r="Z134" s="847"/>
      <c r="AA134" s="850"/>
      <c r="AB134" s="847"/>
      <c r="AC134" s="847"/>
      <c r="AD134" s="847"/>
    </row>
    <row customHeight="1" ht="9">
      <c r="A135" s="846"/>
      <c r="B135" s="846"/>
      <c r="C135" s="844"/>
      <c r="D135" s="844"/>
      <c r="E135" s="844"/>
      <c r="F135" s="844"/>
      <c r="G135" s="844"/>
      <c r="H135" s="892"/>
      <c r="I135" s="892"/>
      <c r="J135" s="892"/>
      <c r="K135" s="892"/>
      <c r="L135" s="892"/>
      <c r="M135" s="844"/>
      <c r="N135" s="891"/>
      <c r="O135" s="958"/>
      <c r="P135" s="958"/>
      <c r="Q135" s="958"/>
      <c r="R135" s="958"/>
      <c r="S135" s="844"/>
      <c r="T135" s="844"/>
      <c r="U135" s="844"/>
      <c r="V135" s="844"/>
      <c r="W135" s="844"/>
      <c r="X135" s="844"/>
      <c r="Y135" s="1001"/>
      <c r="Z135" s="847"/>
      <c r="AA135" s="850"/>
      <c r="AB135" s="847"/>
      <c r="AC135" s="847"/>
      <c r="AD135" s="847"/>
    </row>
    <row customHeight="1" ht="9">
      <c r="A136" s="846"/>
      <c r="B136" s="846"/>
      <c r="C136" s="844"/>
      <c r="D136" s="844"/>
      <c r="E136" s="844"/>
      <c r="F136" s="844"/>
      <c r="G136" s="844"/>
      <c r="H136" s="892"/>
      <c r="I136" s="892"/>
      <c r="J136" s="892"/>
      <c r="K136" s="892"/>
      <c r="L136" s="892"/>
      <c r="M136" s="844"/>
      <c r="N136" s="891"/>
      <c r="O136" s="958"/>
      <c r="P136" s="958"/>
      <c r="Q136" s="958"/>
      <c r="R136" s="958"/>
      <c r="S136" s="844"/>
      <c r="T136" s="844"/>
      <c r="U136" s="844"/>
      <c r="V136" s="844"/>
      <c r="W136" s="844"/>
      <c r="X136" s="844"/>
      <c r="Y136" s="1001"/>
      <c r="Z136" s="847"/>
      <c r="AA136" s="850"/>
      <c r="AB136" s="847"/>
      <c r="AC136" s="847"/>
      <c r="AD136" s="847"/>
    </row>
    <row customHeight="1" ht="9">
      <c r="A137" s="846"/>
      <c r="B137" s="846"/>
      <c r="C137" s="844"/>
      <c r="D137" s="844"/>
      <c r="E137" s="844"/>
      <c r="F137" s="844"/>
      <c r="G137" s="844"/>
      <c r="H137" s="892"/>
      <c r="I137" s="892"/>
      <c r="J137" s="892"/>
      <c r="K137" s="892"/>
      <c r="L137" s="892"/>
      <c r="M137" s="844"/>
      <c r="N137" s="891"/>
      <c r="O137" s="962"/>
      <c r="P137" s="962"/>
      <c r="Q137" s="962"/>
      <c r="R137" s="962"/>
      <c r="S137" s="844"/>
      <c r="T137" s="844"/>
      <c r="U137" s="844"/>
      <c r="V137" s="844"/>
      <c r="W137" s="844"/>
      <c r="X137" s="844"/>
      <c r="Y137" s="1001"/>
      <c r="Z137" s="847"/>
      <c r="AA137" s="850"/>
      <c r="AB137" s="847"/>
      <c r="AC137" s="847"/>
      <c r="AD137" s="847"/>
    </row>
    <row customHeight="1" ht="9">
      <c r="A138" s="846"/>
      <c r="B138" s="846"/>
      <c r="C138" s="844"/>
      <c r="D138" s="844"/>
      <c r="E138" s="844"/>
      <c r="F138" s="844"/>
      <c r="G138" s="844"/>
      <c r="H138" s="892"/>
      <c r="I138" s="892"/>
      <c r="J138" s="892"/>
      <c r="K138" s="892"/>
      <c r="L138" s="892"/>
      <c r="M138" s="844"/>
      <c r="N138" s="891"/>
      <c r="O138" s="959"/>
      <c r="P138" s="959"/>
      <c r="Q138" s="959"/>
      <c r="R138" s="959"/>
      <c r="S138" s="844"/>
      <c r="T138" s="844"/>
      <c r="U138" s="844"/>
      <c r="V138" s="844"/>
      <c r="W138" s="844"/>
      <c r="X138" s="844"/>
      <c r="Y138" s="1001"/>
      <c r="Z138" s="847"/>
      <c r="AA138" s="850"/>
      <c r="AB138" s="847"/>
      <c r="AC138" s="847"/>
      <c r="AD138" s="847"/>
    </row>
    <row customHeight="1" ht="9">
      <c r="A139" s="846"/>
      <c r="B139" s="846"/>
      <c r="C139" s="844"/>
      <c r="D139" s="844"/>
      <c r="E139" s="844"/>
      <c r="F139" s="844"/>
      <c r="G139" s="844"/>
      <c r="H139" s="892"/>
      <c r="I139" s="892"/>
      <c r="J139" s="892"/>
      <c r="K139" s="892"/>
      <c r="L139" s="892"/>
      <c r="M139" s="844"/>
      <c r="N139" s="891"/>
      <c r="O139" s="844"/>
      <c r="P139" s="844"/>
      <c r="Q139" s="844"/>
      <c r="R139" s="844"/>
      <c r="S139" s="844"/>
      <c r="T139" s="844"/>
      <c r="U139" s="844"/>
      <c r="V139" s="844"/>
      <c r="W139" s="844"/>
      <c r="X139" s="844"/>
      <c r="Y139" s="1001"/>
      <c r="Z139" s="847"/>
      <c r="AA139" s="850"/>
      <c r="AB139" s="847"/>
      <c r="AC139" s="847"/>
      <c r="AD139" s="847"/>
    </row>
    <row customHeight="1" ht="9">
      <c r="A140" s="846"/>
      <c r="B140" s="846"/>
      <c r="C140" s="844"/>
      <c r="D140" s="844"/>
      <c r="E140" s="844"/>
      <c r="F140" s="844"/>
      <c r="G140" s="844"/>
      <c r="H140" s="892"/>
      <c r="I140" s="892"/>
      <c r="J140" s="892"/>
      <c r="K140" s="892"/>
      <c r="L140" s="892"/>
      <c r="M140" s="844"/>
      <c r="N140" s="891"/>
      <c r="O140" s="844"/>
      <c r="P140" s="844"/>
      <c r="Q140" s="844"/>
      <c r="R140" s="844"/>
      <c r="S140" s="844"/>
      <c r="T140" s="844"/>
      <c r="U140" s="844"/>
      <c r="V140" s="844"/>
      <c r="W140" s="844"/>
      <c r="X140" s="844"/>
      <c r="Y140" s="1001"/>
      <c r="Z140" s="847"/>
      <c r="AA140" s="850"/>
      <c r="AB140" s="847"/>
      <c r="AC140" s="847"/>
      <c r="AD140" s="847"/>
    </row>
    <row customHeight="1" ht="9">
      <c r="A141" s="846"/>
      <c r="B141" s="846"/>
      <c r="C141" s="844"/>
      <c r="D141" s="844"/>
      <c r="E141" s="844"/>
      <c r="F141" s="844"/>
      <c r="G141" s="844"/>
      <c r="H141" s="892"/>
      <c r="I141" s="892"/>
      <c r="J141" s="892"/>
      <c r="K141" s="892"/>
      <c r="L141" s="892"/>
      <c r="M141" s="844"/>
      <c r="N141" s="891"/>
      <c r="O141" s="844"/>
      <c r="P141" s="844"/>
      <c r="Q141" s="844"/>
      <c r="R141" s="844"/>
      <c r="S141" s="844"/>
      <c r="T141" s="844"/>
      <c r="U141" s="844"/>
      <c r="V141" s="844"/>
      <c r="W141" s="844"/>
      <c r="X141" s="844"/>
      <c r="Y141" s="1001"/>
      <c r="Z141" s="847"/>
      <c r="AA141" s="850"/>
      <c r="AB141" s="847"/>
      <c r="AC141" s="847"/>
      <c r="AD141" s="847"/>
    </row>
    <row customHeight="1" ht="9">
      <c r="A142" s="846"/>
      <c r="B142" s="846"/>
      <c r="C142" s="844"/>
      <c r="D142" s="844"/>
      <c r="E142" s="844"/>
      <c r="F142" s="844"/>
      <c r="G142" s="844"/>
      <c r="H142" s="892"/>
      <c r="I142" s="892"/>
      <c r="J142" s="892"/>
      <c r="K142" s="892"/>
      <c r="L142" s="892"/>
      <c r="M142" s="844"/>
      <c r="N142" s="891"/>
      <c r="O142" s="844"/>
      <c r="P142" s="844"/>
      <c r="Q142" s="844"/>
      <c r="R142" s="844"/>
      <c r="S142" s="844"/>
      <c r="T142" s="844"/>
      <c r="U142" s="844"/>
      <c r="V142" s="844"/>
      <c r="W142" s="844"/>
      <c r="X142" s="844"/>
      <c r="Y142" s="1001"/>
      <c r="Z142" s="847"/>
      <c r="AA142" s="850"/>
      <c r="AB142" s="847"/>
      <c r="AC142" s="847"/>
      <c r="AD142" s="847"/>
    </row>
    <row customHeight="1" ht="9">
      <c r="A143" s="846"/>
      <c r="B143" s="846"/>
      <c r="C143" s="844"/>
      <c r="D143" s="844"/>
      <c r="E143" s="844"/>
      <c r="F143" s="844"/>
      <c r="G143" s="844"/>
      <c r="H143" s="892"/>
      <c r="I143" s="892"/>
      <c r="J143" s="892"/>
      <c r="K143" s="892"/>
      <c r="L143" s="892"/>
      <c r="M143" s="844"/>
      <c r="N143" s="891"/>
      <c r="O143" s="844"/>
      <c r="P143" s="844"/>
      <c r="Q143" s="844"/>
      <c r="R143" s="844"/>
      <c r="S143" s="844"/>
      <c r="T143" s="844"/>
      <c r="U143" s="844"/>
      <c r="V143" s="844"/>
      <c r="W143" s="844"/>
      <c r="X143" s="844"/>
      <c r="Y143" s="1001"/>
      <c r="Z143" s="847"/>
      <c r="AA143" s="850"/>
      <c r="AB143" s="847"/>
      <c r="AC143" s="847"/>
      <c r="AD143" s="847"/>
    </row>
    <row customHeight="1" ht="9">
      <c r="A144" s="846"/>
      <c r="B144" s="846"/>
      <c r="C144" s="844"/>
      <c r="D144" s="844"/>
      <c r="E144" s="844"/>
      <c r="F144" s="844"/>
      <c r="G144" s="844"/>
      <c r="H144" s="892"/>
      <c r="I144" s="892"/>
      <c r="J144" s="892"/>
      <c r="K144" s="892"/>
      <c r="L144" s="892"/>
      <c r="M144" s="844"/>
      <c r="N144" s="891"/>
      <c r="O144" s="844"/>
      <c r="P144" s="844"/>
      <c r="Q144" s="844"/>
      <c r="R144" s="844"/>
      <c r="S144" s="844"/>
      <c r="T144" s="844"/>
      <c r="U144" s="844"/>
      <c r="V144" s="844"/>
      <c r="W144" s="844"/>
      <c r="X144" s="844"/>
      <c r="Y144" s="1001"/>
      <c r="Z144" s="847"/>
      <c r="AA144" s="850"/>
      <c r="AB144" s="847"/>
      <c r="AC144" s="847"/>
      <c r="AD144" s="847"/>
    </row>
    <row customHeight="1" ht="9">
      <c r="A145" s="846"/>
      <c r="B145" s="846"/>
      <c r="C145" s="844"/>
      <c r="D145" s="844"/>
      <c r="E145" s="844"/>
      <c r="F145" s="844"/>
      <c r="G145" s="844"/>
      <c r="H145" s="892"/>
      <c r="I145" s="892"/>
      <c r="J145" s="892"/>
      <c r="K145" s="892"/>
      <c r="L145" s="892"/>
      <c r="M145" s="844"/>
      <c r="N145" s="891"/>
      <c r="O145" s="844"/>
      <c r="P145" s="844"/>
      <c r="Q145" s="844"/>
      <c r="R145" s="844"/>
      <c r="S145" s="844"/>
      <c r="T145" s="844"/>
      <c r="U145" s="844"/>
      <c r="V145" s="844"/>
      <c r="W145" s="844"/>
      <c r="X145" s="844"/>
      <c r="Y145" s="1001"/>
      <c r="Z145" s="847"/>
      <c r="AA145" s="850"/>
      <c r="AB145" s="847"/>
      <c r="AC145" s="847"/>
      <c r="AD145" s="847"/>
    </row>
    <row customHeight="1" ht="9">
      <c r="A146" s="846"/>
      <c r="B146" s="846"/>
      <c r="C146" s="844"/>
      <c r="D146" s="844"/>
      <c r="E146" s="844"/>
      <c r="F146" s="844"/>
      <c r="G146" s="844"/>
      <c r="H146" s="892"/>
      <c r="I146" s="892"/>
      <c r="J146" s="892"/>
      <c r="K146" s="892"/>
      <c r="L146" s="892"/>
      <c r="M146" s="844"/>
      <c r="N146" s="891"/>
      <c r="O146" s="844"/>
      <c r="P146" s="844"/>
      <c r="Q146" s="844"/>
      <c r="R146" s="844"/>
      <c r="S146" s="844"/>
      <c r="T146" s="844"/>
      <c r="U146" s="844"/>
      <c r="V146" s="844"/>
      <c r="W146" s="844"/>
      <c r="X146" s="844"/>
      <c r="Y146" s="1001"/>
      <c r="Z146" s="847"/>
      <c r="AA146" s="850"/>
      <c r="AB146" s="847"/>
      <c r="AC146" s="847"/>
      <c r="AD146" s="847"/>
    </row>
    <row customHeight="1" ht="9">
      <c r="A147" s="846"/>
      <c r="B147" s="846"/>
      <c r="C147" s="846"/>
      <c r="D147" s="846"/>
      <c r="E147" s="846"/>
      <c r="F147" s="846"/>
      <c r="G147" s="846"/>
      <c r="H147" s="846"/>
      <c r="I147" s="846"/>
      <c r="J147" s="846"/>
      <c r="K147" s="846"/>
      <c r="L147" s="846"/>
      <c r="M147" s="846"/>
      <c r="N147" s="846"/>
      <c r="O147" s="846"/>
      <c r="P147" s="846"/>
      <c r="Q147" s="846"/>
      <c r="R147" s="846"/>
      <c r="S147" s="846"/>
      <c r="T147" s="846"/>
      <c r="U147" s="846"/>
      <c r="V147" s="846"/>
      <c r="W147" s="846"/>
      <c r="X147" s="846"/>
      <c r="Y147" s="846"/>
      <c r="Z147" s="846"/>
      <c r="AA147" s="846"/>
      <c r="AB147" s="846"/>
      <c r="AC147" s="846"/>
      <c r="AD147" s="846"/>
    </row>
    <row customHeight="1" ht="90">
      <c r="A148" s="846" t="s">
        <v>1676</v>
      </c>
      <c r="B148" s="846"/>
      <c r="C148" s="844" t="s">
        <v>2239</v>
      </c>
      <c r="D148" s="844" t="s">
        <v>1580</v>
      </c>
      <c r="E148" s="844" t="s">
        <v>1678</v>
      </c>
      <c r="F148" s="844" t="s">
        <v>2240</v>
      </c>
      <c r="G148" s="844"/>
      <c r="H148" s="844"/>
      <c r="I148" s="964"/>
      <c r="J148" s="964"/>
      <c r="K148" s="964"/>
      <c r="L148" s="964"/>
      <c r="M148" s="894"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849"/>
      <c r="O148" s="844"/>
      <c r="P148" s="845"/>
      <c r="Q148" s="845"/>
      <c r="R148" s="845"/>
      <c r="S148" s="844"/>
      <c r="T148" s="844" t="s">
        <v>2241</v>
      </c>
      <c r="U148" s="845"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845"/>
      <c r="W148" s="845"/>
      <c r="X148" s="844" t="s">
        <v>2242</v>
      </c>
      <c r="Y148" s="1001"/>
      <c r="Z148" s="847"/>
      <c r="AA148" s="850"/>
      <c r="AB148" s="847"/>
      <c r="AC148" s="847"/>
      <c r="AD148" s="847"/>
    </row>
    <row customHeight="1" ht="9">
      <c r="A149" s="846"/>
      <c r="B149" s="846"/>
      <c r="C149" s="846"/>
      <c r="D149" s="846"/>
      <c r="E149" s="846"/>
      <c r="F149" s="846"/>
      <c r="G149" s="846"/>
      <c r="H149" s="846"/>
      <c r="I149" s="846"/>
      <c r="J149" s="846"/>
      <c r="K149" s="846"/>
      <c r="L149" s="846"/>
      <c r="M149" s="846"/>
      <c r="N149" s="846"/>
      <c r="O149" s="846"/>
      <c r="P149" s="846"/>
      <c r="Q149" s="846"/>
      <c r="R149" s="846"/>
      <c r="S149" s="846"/>
      <c r="T149" s="846"/>
      <c r="U149" s="846"/>
      <c r="V149" s="846"/>
      <c r="W149" s="846"/>
      <c r="X149" s="846"/>
      <c r="Y149" s="846"/>
      <c r="Z149" s="846"/>
      <c r="AA149" s="846"/>
      <c r="AB149" s="846"/>
      <c r="AC149" s="846"/>
      <c r="AD149" s="846"/>
    </row>
    <row customHeight="1" ht="9">
      <c r="A150" s="846" t="s">
        <v>1680</v>
      </c>
      <c r="B150" s="846"/>
      <c r="C150" s="844"/>
      <c r="D150" s="844"/>
      <c r="E150" s="844"/>
      <c r="F150" s="844"/>
      <c r="G150" s="844"/>
      <c r="H150" s="844"/>
      <c r="I150" s="844"/>
      <c r="J150" s="844"/>
      <c r="K150" s="844"/>
      <c r="L150" s="844"/>
      <c r="M150" s="844"/>
      <c r="N150" s="844"/>
      <c r="O150" s="844"/>
      <c r="P150" s="844"/>
      <c r="Q150" s="844"/>
      <c r="R150" s="844"/>
      <c r="S150" s="844"/>
      <c r="T150" s="844"/>
      <c r="U150" s="844"/>
      <c r="V150" s="844"/>
      <c r="W150" s="844"/>
      <c r="X150" s="844"/>
      <c r="Y150" s="1001"/>
      <c r="Z150" s="847"/>
      <c r="AA150" s="850"/>
      <c r="AB150" s="847"/>
      <c r="AC150" s="847"/>
      <c r="AD150" s="847"/>
    </row>
    <row customHeight="1" ht="9">
      <c r="A151" s="846"/>
      <c r="B151" s="846"/>
      <c r="C151" s="846"/>
      <c r="D151" s="846"/>
      <c r="E151" s="846"/>
      <c r="F151" s="846"/>
      <c r="G151" s="846"/>
      <c r="H151" s="846"/>
      <c r="I151" s="846"/>
      <c r="J151" s="846"/>
      <c r="K151" s="846"/>
      <c r="L151" s="846"/>
      <c r="M151" s="846"/>
      <c r="N151" s="846"/>
      <c r="O151" s="846"/>
      <c r="P151" s="846"/>
      <c r="Q151" s="846"/>
      <c r="R151" s="846"/>
      <c r="S151" s="846"/>
      <c r="T151" s="846"/>
      <c r="U151" s="846"/>
      <c r="V151" s="846"/>
      <c r="W151" s="846"/>
      <c r="X151" s="846"/>
      <c r="Y151" s="846"/>
      <c r="Z151" s="846"/>
      <c r="AA151" s="846"/>
      <c r="AB151" s="846"/>
      <c r="AC151" s="846"/>
      <c r="AD151" s="846"/>
    </row>
    <row customHeight="1" ht="9">
      <c r="A152" s="846" t="s">
        <v>1683</v>
      </c>
      <c r="B152" s="846"/>
      <c r="C152" s="844"/>
      <c r="D152" s="844"/>
      <c r="E152" s="844"/>
      <c r="F152" s="844"/>
      <c r="G152" s="844"/>
      <c r="H152" s="844"/>
      <c r="I152" s="844"/>
      <c r="J152" s="844"/>
      <c r="K152" s="844"/>
      <c r="L152" s="844"/>
      <c r="M152" s="844"/>
      <c r="N152" s="844"/>
      <c r="O152" s="844"/>
      <c r="P152" s="844"/>
      <c r="Q152" s="844"/>
      <c r="R152" s="844"/>
      <c r="S152" s="844"/>
      <c r="T152" s="844"/>
      <c r="U152" s="844"/>
      <c r="V152" s="844"/>
      <c r="W152" s="844"/>
      <c r="X152" s="844"/>
      <c r="Y152" s="1001"/>
      <c r="Z152" s="847"/>
      <c r="AA152" s="850"/>
      <c r="AB152" s="847"/>
      <c r="AC152" s="847"/>
      <c r="AD152" s="847"/>
    </row>
    <row customHeight="1" ht="9">
      <c r="A153" s="846"/>
      <c r="B153" s="846"/>
      <c r="C153" s="846"/>
      <c r="D153" s="846"/>
      <c r="E153" s="846"/>
      <c r="F153" s="846"/>
      <c r="G153" s="846"/>
      <c r="H153" s="846"/>
      <c r="I153" s="846"/>
      <c r="J153" s="846"/>
      <c r="K153" s="846"/>
      <c r="L153" s="846"/>
      <c r="M153" s="846"/>
      <c r="N153" s="846"/>
      <c r="O153" s="846"/>
      <c r="P153" s="846"/>
      <c r="Q153" s="846"/>
      <c r="R153" s="846"/>
      <c r="S153" s="846"/>
      <c r="T153" s="846"/>
      <c r="U153" s="846"/>
      <c r="V153" s="846"/>
      <c r="W153" s="846"/>
      <c r="X153" s="846"/>
      <c r="Y153" s="846"/>
      <c r="Z153" s="846"/>
      <c r="AA153" s="846"/>
      <c r="AB153" s="846"/>
      <c r="AC153" s="846"/>
      <c r="AD153" s="846"/>
    </row>
    <row customHeight="1" ht="9">
      <c r="A154" s="846" t="s">
        <v>1688</v>
      </c>
      <c r="B154" s="846"/>
      <c r="C154" s="844"/>
      <c r="D154" s="844"/>
      <c r="E154" s="844"/>
      <c r="F154" s="844"/>
      <c r="G154" s="844"/>
      <c r="H154" s="844"/>
      <c r="I154" s="844"/>
      <c r="J154" s="844"/>
      <c r="K154" s="844"/>
      <c r="L154" s="844"/>
      <c r="M154" s="844"/>
      <c r="N154" s="844"/>
      <c r="O154" s="844"/>
      <c r="P154" s="844"/>
      <c r="Q154" s="844"/>
      <c r="R154" s="844"/>
      <c r="S154" s="844"/>
      <c r="T154" s="844"/>
      <c r="U154" s="844"/>
      <c r="V154" s="844"/>
      <c r="W154" s="844"/>
      <c r="X154" s="844"/>
      <c r="Y154" s="1001"/>
      <c r="Z154" s="847"/>
      <c r="AA154" s="850"/>
      <c r="AB154" s="847"/>
      <c r="AC154" s="847"/>
      <c r="AD154" s="847"/>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04EA36-C89F-A944-2CE4-0.617B65B1}" mc:Ignorable="x14ac xr xr2 xr3">
  <sheetPr>
    <tabColor theme="6" tint="0.4"/>
  </sheetPr>
  <dimension ref="A1:AD41"/>
  <sheetViews>
    <sheetView topLeftCell="A1" showGridLines="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2.28125" hidden="1" customWidth="1"/>
    <col min="6" max="8" style="1777" width="12.28125" hidden="1" customWidth="1"/>
    <col min="9" max="9" style="2398" width="3.00390625" customWidth="1"/>
    <col min="10" max="11" style="345" width="3.00390625" customWidth="1"/>
    <col min="12" max="12" style="2408" width="12.00390625" customWidth="1"/>
    <col min="13" max="13" style="1636" width="31.00390625" customWidth="1"/>
    <col min="14" max="14" style="1636" width="1.00390625" customWidth="1"/>
    <col min="15" max="18" style="1636" width="24.00390625" customWidth="1"/>
    <col min="19" max="19" style="1636" width="11.00390625" customWidth="1"/>
    <col min="20" max="20" style="1636" width="3.7109375" customWidth="1"/>
    <col min="21" max="21" style="1636" width="11.00390625" customWidth="1"/>
    <col min="22" max="22" style="1636" width="8.57421875" customWidth="1"/>
    <col min="23" max="23" style="1636" width="4.00390625" customWidth="1"/>
    <col min="24" max="24" style="1636" width="115.00390625" customWidth="1"/>
    <col min="25" max="29" style="1643" width="10.00390625" customWidth="1"/>
    <col min="30" max="30" style="1636" width="10.57421875" hidden="1"/>
  </cols>
  <sheetData>
    <row customHeight="1" ht="22.5" hidden="1">
      <c r="R1" s="328"/>
      <c r="S1" s="328"/>
      <c r="AD1" s="1156" t="s">
        <v>14</v>
      </c>
    </row>
    <row customHeight="1" ht="14.25" hidden="1">
      <c r="V2" s="328"/>
      <c r="AD2" s="1156">
        <v>0</v>
      </c>
    </row>
    <row customHeight="1" ht="14.25" hidden="1">
      <c r="AD3" s="1156">
        <v>0</v>
      </c>
    </row>
    <row customHeight="1" ht="14.699999999999998">
      <c r="J4" s="377"/>
      <c r="K4" s="377"/>
      <c r="L4" s="1276"/>
      <c r="M4" s="364"/>
      <c r="N4" s="364"/>
      <c r="O4" s="510"/>
      <c r="P4" s="510"/>
      <c r="Q4" s="510"/>
      <c r="R4" s="510"/>
      <c r="S4" s="510"/>
      <c r="T4" s="510"/>
      <c r="U4" s="510"/>
      <c r="V4" s="510"/>
      <c r="AD4" s="1156">
        <v>14</v>
      </c>
    </row>
    <row customHeight="1" ht="67.2">
      <c r="J5" s="377"/>
      <c r="K5" s="377"/>
      <c r="L5" s="2604" t="s">
        <v>2243</v>
      </c>
      <c r="M5" s="2604"/>
      <c r="N5" s="2604"/>
      <c r="O5" s="2604"/>
      <c r="P5" s="2604"/>
      <c r="Q5" s="2604"/>
      <c r="R5" s="2604"/>
      <c r="S5" s="2604"/>
      <c r="T5" s="2604"/>
      <c r="U5" s="2604"/>
      <c r="V5" s="1244"/>
      <c r="AD5" s="1156">
        <v>64</v>
      </c>
    </row>
    <row customHeight="1" ht="14.699999999999998">
      <c r="J6" s="377"/>
      <c r="K6" s="377"/>
      <c r="L6" s="2605" t="str">
        <f>IF(org=0,"Не определено",org)</f>
        <v>ИМУП «ПОСЖИЛКОМСЕРВИС»</v>
      </c>
      <c r="M6" s="2605"/>
      <c r="N6" s="2605"/>
      <c r="O6" s="2605"/>
      <c r="P6" s="2605"/>
      <c r="Q6" s="2605"/>
      <c r="R6" s="2605"/>
      <c r="S6" s="2605"/>
      <c r="T6" s="2605"/>
      <c r="U6" s="2605"/>
      <c r="V6" s="1244"/>
      <c r="AD6" s="1156">
        <v>14</v>
      </c>
    </row>
    <row customHeight="1" ht="14.699999999999998">
      <c r="J7" s="377"/>
      <c r="K7" s="377"/>
      <c r="L7" s="1276"/>
      <c r="M7" s="364"/>
      <c r="N7" s="364"/>
      <c r="O7" s="323"/>
      <c r="P7" s="323"/>
      <c r="Q7" s="323"/>
      <c r="R7" s="323"/>
      <c r="S7" s="323"/>
      <c r="T7" s="323"/>
      <c r="U7" s="323"/>
      <c r="V7" s="323"/>
      <c r="W7" s="510"/>
      <c r="AD7" s="1156">
        <v>14</v>
      </c>
    </row>
    <row s="1854" customFormat="1" customHeight="1" ht="48.29999999999999">
      <c r="A8" s="1369"/>
      <c r="B8" s="1369"/>
      <c r="C8" s="1369"/>
      <c r="D8" s="1369"/>
      <c r="E8" s="1369"/>
      <c r="F8" s="1369"/>
      <c r="G8" s="1369"/>
      <c r="H8" s="1369"/>
      <c r="L8" s="1277"/>
      <c r="M8" s="296" t="s">
        <v>42</v>
      </c>
      <c r="N8" s="305"/>
      <c r="O8" s="2252" t="str">
        <f>IF(TITLE_NAME_OR_PR_CHANGE="",IF(TITLE_NAME_OR_PR="","",TITLE_NAME_OR_PR),TITLE_NAME_OR_PR_CHANGE)</f>
        <v>Управление по государственному регулированию цен (тарифов) Ненецкого автономного округа</v>
      </c>
      <c r="P8" s="2252"/>
      <c r="Q8" s="2252"/>
      <c r="R8" s="2252"/>
      <c r="S8" s="2252"/>
      <c r="T8" s="2252"/>
      <c r="U8" s="2252"/>
      <c r="V8" s="327"/>
      <c r="W8" s="327"/>
      <c r="X8" s="281"/>
      <c r="Y8" s="369"/>
      <c r="Z8" s="369"/>
      <c r="AA8" s="369"/>
      <c r="AB8" s="369"/>
      <c r="AC8" s="369"/>
      <c r="AD8" s="419">
        <v>46</v>
      </c>
    </row>
    <row s="1854" customFormat="1" customHeight="1" ht="24">
      <c r="A9" s="1369"/>
      <c r="B9" s="1369"/>
      <c r="C9" s="1369"/>
      <c r="D9" s="1369"/>
      <c r="E9" s="1369"/>
      <c r="F9" s="1369"/>
      <c r="G9" s="1369"/>
      <c r="H9" s="1369"/>
      <c r="L9" s="1277"/>
      <c r="M9" s="296" t="s">
        <v>433</v>
      </c>
      <c r="N9" s="305"/>
      <c r="O9" s="2252" t="str">
        <f>IF(TITLE_DATE_CHANGE_PERIOD="",IF(TITLE_DATE_PR="","",TITLE_DATE_PR),TITLE_DATE_CHANGE_PERIOD)</f>
        <v>45658</v>
      </c>
      <c r="P9" s="2252"/>
      <c r="Q9" s="2252"/>
      <c r="R9" s="2252"/>
      <c r="S9" s="2252"/>
      <c r="T9" s="2252"/>
      <c r="U9" s="2252"/>
      <c r="V9" s="327"/>
      <c r="W9" s="327"/>
      <c r="X9" s="281"/>
      <c r="Y9" s="369"/>
      <c r="Z9" s="369"/>
      <c r="AA9" s="369"/>
      <c r="AB9" s="369"/>
      <c r="AC9" s="369"/>
      <c r="AD9" s="419">
        <v>23</v>
      </c>
    </row>
    <row s="1854" customFormat="1" customHeight="1" ht="24">
      <c r="A10" s="1369"/>
      <c r="B10" s="1369"/>
      <c r="C10" s="1369"/>
      <c r="D10" s="1369"/>
      <c r="E10" s="1369"/>
      <c r="F10" s="1369"/>
      <c r="G10" s="1369"/>
      <c r="H10" s="1369"/>
      <c r="L10" s="1251"/>
      <c r="M10" s="296" t="s">
        <v>434</v>
      </c>
      <c r="N10" s="305"/>
      <c r="O10" s="2252" t="str">
        <f>IF(TITLE_NUMBER_PR_CHANGE="",IF(TITLE_NUMBER_PR="","",TITLE_NUMBER_PR),TITLE_NUMBER_PR_CHANGE)</f>
        <v>58</v>
      </c>
      <c r="P10" s="2252"/>
      <c r="Q10" s="2252"/>
      <c r="R10" s="2252"/>
      <c r="S10" s="2252"/>
      <c r="T10" s="2252"/>
      <c r="U10" s="2252"/>
      <c r="V10" s="327"/>
      <c r="W10" s="327"/>
      <c r="X10" s="281"/>
      <c r="Y10" s="369"/>
      <c r="Z10" s="369"/>
      <c r="AA10" s="369"/>
      <c r="AB10" s="369"/>
      <c r="AC10" s="369"/>
      <c r="AD10" s="419">
        <v>23</v>
      </c>
    </row>
    <row s="1854" customFormat="1" customHeight="1" ht="24">
      <c r="A11" s="1369"/>
      <c r="B11" s="1369"/>
      <c r="C11" s="1369"/>
      <c r="D11" s="1369"/>
      <c r="E11" s="1369"/>
      <c r="F11" s="1369"/>
      <c r="G11" s="1369"/>
      <c r="H11" s="1369"/>
      <c r="L11" s="1251"/>
      <c r="M11" s="296" t="s">
        <v>44</v>
      </c>
      <c r="N11" s="305"/>
      <c r="O11" s="2252" t="str">
        <f>IF(TITLE_IST_PUB_CHANGE="",IF(TITLE_IST_PUB="","",TITLE_IST_PUB),TITLE_IST_PUB_CHANGE)</f>
        <v>Официальный интернет портал правовой информации http://pravo.gov.ru </v>
      </c>
      <c r="P11" s="2252"/>
      <c r="Q11" s="2252"/>
      <c r="R11" s="2252"/>
      <c r="S11" s="2252"/>
      <c r="T11" s="2252"/>
      <c r="U11" s="2252"/>
      <c r="V11" s="327"/>
      <c r="W11" s="327"/>
      <c r="X11" s="281"/>
      <c r="Y11" s="369"/>
      <c r="Z11" s="369"/>
      <c r="AA11" s="369"/>
      <c r="AB11" s="369"/>
      <c r="AC11" s="369"/>
      <c r="AD11" s="419">
        <v>23</v>
      </c>
    </row>
    <row s="1854" customFormat="1" customHeight="1" ht="11.25" hidden="1">
      <c r="A12" s="1369"/>
      <c r="B12" s="1369"/>
      <c r="C12" s="1369"/>
      <c r="D12" s="1369"/>
      <c r="E12" s="1369"/>
      <c r="F12" s="1369"/>
      <c r="G12" s="1369"/>
      <c r="H12" s="1369"/>
      <c r="L12" s="2606"/>
      <c r="M12" s="2606"/>
      <c r="N12" s="1288"/>
      <c r="O12" s="327"/>
      <c r="P12" s="327"/>
      <c r="Q12" s="327"/>
      <c r="R12" s="327"/>
      <c r="S12" s="327"/>
      <c r="T12" s="327"/>
      <c r="U12" s="327"/>
      <c r="V12" s="279" t="s">
        <v>437</v>
      </c>
      <c r="Y12" s="369"/>
      <c r="Z12" s="369"/>
      <c r="AA12" s="369"/>
      <c r="AB12" s="369"/>
      <c r="AC12" s="369"/>
      <c r="AD12" s="419">
        <v>0</v>
      </c>
    </row>
    <row customHeight="1" ht="14.699999999999998">
      <c r="J13" s="377"/>
      <c r="K13" s="377"/>
      <c r="L13" s="1276"/>
      <c r="M13" s="364"/>
      <c r="N13" s="1245"/>
      <c r="O13" s="2253"/>
      <c r="P13" s="2253"/>
      <c r="Q13" s="2253"/>
      <c r="R13" s="2253"/>
      <c r="S13" s="2253"/>
      <c r="T13" s="2253"/>
      <c r="U13" s="2253"/>
      <c r="V13" s="2253"/>
      <c r="AD13" s="1156">
        <v>14</v>
      </c>
    </row>
    <row customHeight="1" ht="14.699999999999998">
      <c r="J14" s="377"/>
      <c r="K14" s="377"/>
      <c r="L14" s="2128" t="s">
        <v>312</v>
      </c>
      <c r="M14" s="2128"/>
      <c r="N14" s="2128"/>
      <c r="O14" s="2128"/>
      <c r="P14" s="2128"/>
      <c r="Q14" s="2128"/>
      <c r="R14" s="2128"/>
      <c r="S14" s="2128"/>
      <c r="T14" s="2128"/>
      <c r="U14" s="2128"/>
      <c r="V14" s="2128"/>
      <c r="W14" s="2128"/>
      <c r="X14" s="2128" t="s">
        <v>313</v>
      </c>
      <c r="AD14" s="1156">
        <v>14</v>
      </c>
    </row>
    <row customHeight="1" ht="14.699999999999998">
      <c r="J15" s="377"/>
      <c r="K15" s="377"/>
      <c r="L15" s="2274" t="s">
        <v>90</v>
      </c>
      <c r="M15" s="2210" t="s">
        <v>438</v>
      </c>
      <c r="N15" s="302"/>
      <c r="O15" s="2275" t="s">
        <v>2244</v>
      </c>
      <c r="P15" s="2276"/>
      <c r="Q15" s="2276"/>
      <c r="R15" s="2276"/>
      <c r="S15" s="2276"/>
      <c r="T15" s="2276"/>
      <c r="U15" s="2277"/>
      <c r="V15" s="2278" t="s">
        <v>440</v>
      </c>
      <c r="W15" s="2281" t="s">
        <v>1164</v>
      </c>
      <c r="X15" s="2128"/>
      <c r="AD15" s="1156">
        <v>14</v>
      </c>
    </row>
    <row customHeight="1" ht="35.699999999999996">
      <c r="J16" s="377"/>
      <c r="K16" s="377"/>
      <c r="L16" s="2274"/>
      <c r="M16" s="2210"/>
      <c r="N16" s="1032"/>
      <c r="O16" s="2261" t="s">
        <v>443</v>
      </c>
      <c r="P16" s="2261" t="s">
        <v>444</v>
      </c>
      <c r="Q16" s="2263" t="s">
        <v>445</v>
      </c>
      <c r="R16" s="2264"/>
      <c r="S16" s="2263" t="s">
        <v>458</v>
      </c>
      <c r="T16" s="2270"/>
      <c r="U16" s="2264"/>
      <c r="V16" s="2279"/>
      <c r="W16" s="2282"/>
      <c r="X16" s="2128"/>
      <c r="AD16" s="1156">
        <v>34</v>
      </c>
    </row>
    <row customHeight="1" ht="35.699999999999996">
      <c r="A17" s="1371" t="s">
        <v>137</v>
      </c>
      <c r="B17" s="1371" t="s">
        <v>138</v>
      </c>
      <c r="C17" s="1371" t="s">
        <v>139</v>
      </c>
      <c r="D17" s="1371" t="s">
        <v>140</v>
      </c>
      <c r="E17" s="1371"/>
      <c r="J17" s="377"/>
      <c r="K17" s="377"/>
      <c r="L17" s="2274"/>
      <c r="M17" s="2210"/>
      <c r="N17" s="303"/>
      <c r="O17" s="2262"/>
      <c r="P17" s="2262"/>
      <c r="Q17" s="1223" t="s">
        <v>454</v>
      </c>
      <c r="R17" s="1223" t="s">
        <v>455</v>
      </c>
      <c r="S17" s="1293" t="s">
        <v>456</v>
      </c>
      <c r="T17" s="2271" t="s">
        <v>457</v>
      </c>
      <c r="U17" s="2272"/>
      <c r="V17" s="2280"/>
      <c r="W17" s="2283"/>
      <c r="X17" s="2128"/>
      <c r="AD17" s="1156">
        <v>34</v>
      </c>
    </row>
    <row s="1642" customFormat="1" customHeight="1" ht="11.549999999999999">
      <c r="A18" s="1371"/>
      <c r="B18" s="1371"/>
      <c r="C18" s="1371"/>
      <c r="D18" s="1371"/>
      <c r="E18" s="1371"/>
      <c r="F18" s="1363"/>
      <c r="G18" s="1363"/>
      <c r="H18" s="1363"/>
      <c r="I18" s="1247"/>
      <c r="J18" s="1248"/>
      <c r="K18" s="1255">
        <v>1</v>
      </c>
      <c r="L18" s="1278" t="s">
        <v>112</v>
      </c>
      <c r="M18" s="1256" t="s">
        <v>113</v>
      </c>
      <c r="N18" s="1246" t="str">
        <f>OFFSET(N18,0,-1)</f>
        <v>2</v>
      </c>
      <c r="O18" s="1290">
        <f>OFFSET(O18,0,-1)+1</f>
        <v>3</v>
      </c>
      <c r="P18" s="1290"/>
      <c r="Q18" s="1290">
        <f>OFFSET(Q18,0,-1)+1</f>
        <v>1</v>
      </c>
      <c r="R18" s="1290">
        <f>OFFSET(R18,0,-1)+1</f>
        <v>2</v>
      </c>
      <c r="S18" s="1290">
        <f>OFFSET(S18,0,-1)+1</f>
        <v>3</v>
      </c>
      <c r="T18" s="2273">
        <f>OFFSET(T18,0,-1)+1</f>
        <v>4</v>
      </c>
      <c r="U18" s="2273"/>
      <c r="V18" s="1290">
        <f>OFFSET(V18,0,-2)+1</f>
        <v>5</v>
      </c>
      <c r="W18" s="1246">
        <f>OFFSET(W18,0,-1)</f>
        <v>5</v>
      </c>
      <c r="X18" s="1290">
        <f>OFFSET(X18,0,-1)+1</f>
        <v>6</v>
      </c>
      <c r="Y18" s="512"/>
      <c r="Z18" s="512"/>
      <c r="AA18" s="512"/>
      <c r="AB18" s="512"/>
      <c r="AC18" s="512"/>
      <c r="AD18" s="497">
        <v>11</v>
      </c>
    </row>
    <row customHeight="1" ht="21">
      <c r="A19" s="1364" t="s">
        <v>171</v>
      </c>
      <c r="B19" s="1364" t="s">
        <v>172</v>
      </c>
      <c r="C19" s="1364" t="s">
        <v>173</v>
      </c>
      <c r="D19" s="1364" t="s">
        <v>174</v>
      </c>
      <c r="E19" s="1364"/>
      <c r="F19" s="1366"/>
      <c r="G19" s="1366"/>
      <c r="H19" s="1366"/>
      <c r="I19" s="362"/>
      <c r="J19" s="361"/>
      <c r="K19" s="356"/>
      <c r="L19" s="1294">
        <f>INDEX(PT_DIFFERENTIATION_NUM_NTAR,MATCH(A19,PT_DIFFERENTIATION_NTAR_ID,0))</f>
        <v>0</v>
      </c>
      <c r="M19" s="299" t="s">
        <v>126</v>
      </c>
      <c r="N19" s="301"/>
      <c r="O19" s="2607" t="str">
        <f>INDEX(PT_DIFFERENTIATION_NTAR,MATCH(A19,PT_DIFFERENTIATION_NTAR_ID,0))</f>
        <v/>
      </c>
      <c r="P19" s="2607"/>
      <c r="Q19" s="2607"/>
      <c r="R19" s="2607"/>
      <c r="S19" s="2607"/>
      <c r="T19" s="2607"/>
      <c r="U19" s="2607"/>
      <c r="V19" s="2607"/>
      <c r="W19" s="2607"/>
      <c r="X19" s="1259" t="s">
        <v>408</v>
      </c>
      <c r="Z19" s="501"/>
      <c r="AA19" s="501" t="str">
        <f>IF(M19="","",M19)</f>
        <v>Наименование тарифа</v>
      </c>
      <c r="AB19" s="501"/>
      <c r="AC19" s="501"/>
      <c r="AD19" s="1156">
        <v>20</v>
      </c>
    </row>
    <row customHeight="1" ht="21">
      <c r="A20" s="1364" t="s">
        <v>171</v>
      </c>
      <c r="B20" s="1364" t="s">
        <v>172</v>
      </c>
      <c r="C20" s="1364" t="s">
        <v>173</v>
      </c>
      <c r="D20" s="1364" t="s">
        <v>174</v>
      </c>
      <c r="E20" s="1364"/>
      <c r="F20" s="1366"/>
      <c r="G20" s="1366"/>
      <c r="H20" s="1366"/>
      <c r="I20" s="1291"/>
      <c r="J20" s="353"/>
      <c r="K20" s="354"/>
      <c r="L20" s="1294" t="str">
        <f>INDEX(PT_DIFFERENTIATION_NUM_TER,MATCH(B19,PT_DIFFERENTIATION_TER_ID,0))</f>
        <v>.</v>
      </c>
      <c r="M20" s="309" t="s">
        <v>409</v>
      </c>
      <c r="N20" s="301"/>
      <c r="O20" s="2607" t="str">
        <f>INDEX(PT_DIFFERENTIATION_TER,MATCH(B19,PT_DIFFERENTIATION_TER_ID,0))</f>
        <v/>
      </c>
      <c r="P20" s="2607"/>
      <c r="Q20" s="2607"/>
      <c r="R20" s="2607"/>
      <c r="S20" s="2607"/>
      <c r="T20" s="2607"/>
      <c r="U20" s="2607"/>
      <c r="V20" s="2607"/>
      <c r="W20" s="2607"/>
      <c r="X20" s="1259" t="s">
        <v>410</v>
      </c>
      <c r="Z20" s="501"/>
      <c r="AA20" s="501" t="str">
        <f>IF(M20="","",M20)</f>
        <v>Территория действия тарифа</v>
      </c>
      <c r="AB20" s="501"/>
      <c r="AC20" s="501"/>
      <c r="AD20" s="1156">
        <v>20</v>
      </c>
    </row>
    <row customHeight="1" ht="24">
      <c r="A21" s="1364" t="s">
        <v>171</v>
      </c>
      <c r="B21" s="1364" t="s">
        <v>172</v>
      </c>
      <c r="C21" s="1364" t="s">
        <v>173</v>
      </c>
      <c r="D21" s="1364" t="s">
        <v>174</v>
      </c>
      <c r="E21" s="1364"/>
      <c r="F21" s="1366"/>
      <c r="G21" s="1366"/>
      <c r="H21" s="1366"/>
      <c r="I21" s="355"/>
      <c r="J21" s="353"/>
      <c r="K21" s="354"/>
      <c r="L21" s="1294" t="str">
        <f>INDEX(PT_DIFFERENTIATION_NUM_CS,MATCH(C19,PT_DIFFERENTIATION_CS_ID,0))</f>
        <v>..</v>
      </c>
      <c r="M21" s="310" t="s">
        <v>411</v>
      </c>
      <c r="N21" s="301"/>
      <c r="O21" s="2607" t="str">
        <f>INDEX(PT_DIFFERENTIATION_CS,MATCH(C19,PT_DIFFERENTIATION_CS_ID,0))</f>
        <v/>
      </c>
      <c r="P21" s="2607"/>
      <c r="Q21" s="2607"/>
      <c r="R21" s="2607"/>
      <c r="S21" s="2607"/>
      <c r="T21" s="2607"/>
      <c r="U21" s="2607"/>
      <c r="V21" s="2607"/>
      <c r="W21" s="2607"/>
      <c r="X21" s="1259" t="s">
        <v>412</v>
      </c>
      <c r="Z21" s="501"/>
      <c r="AA21" s="501" t="str">
        <f>IF(M21="","",M21)</f>
        <v>Наименование системы теплоснабжения </v>
      </c>
      <c r="AB21" s="501"/>
      <c r="AC21" s="501"/>
      <c r="AD21" s="1156">
        <v>23</v>
      </c>
    </row>
    <row customHeight="1" ht="21">
      <c r="A22" s="1364" t="s">
        <v>171</v>
      </c>
      <c r="B22" s="1364" t="s">
        <v>172</v>
      </c>
      <c r="C22" s="1364" t="s">
        <v>173</v>
      </c>
      <c r="D22" s="1364" t="s">
        <v>174</v>
      </c>
      <c r="E22" s="1364"/>
      <c r="F22" s="1366"/>
      <c r="G22" s="1366"/>
      <c r="H22" s="1366"/>
      <c r="I22" s="355"/>
      <c r="J22" s="353"/>
      <c r="K22" s="354"/>
      <c r="L22" s="1294" t="str">
        <f>INDEX(PT_DIFFERENTIATION_NUM_IST_TE,MATCH(D19,PT_DIFFERENTIATION_IST_TE_ID,0))</f>
        <v>...</v>
      </c>
      <c r="M22" s="311" t="s">
        <v>413</v>
      </c>
      <c r="N22" s="301"/>
      <c r="O22" s="2607" t="str">
        <f>INDEX(PT_DIFFERENTIATION_IST_TE,MATCH(D19,PT_DIFFERENTIATION_IST_TE_ID,0))</f>
        <v/>
      </c>
      <c r="P22" s="2607"/>
      <c r="Q22" s="2607"/>
      <c r="R22" s="2607"/>
      <c r="S22" s="2607"/>
      <c r="T22" s="2607"/>
      <c r="U22" s="2607"/>
      <c r="V22" s="2607"/>
      <c r="W22" s="2607"/>
      <c r="X22" s="1259" t="s">
        <v>414</v>
      </c>
      <c r="Z22" s="501"/>
      <c r="AA22" s="501" t="str">
        <f>IF(M22="","",M22)</f>
        <v>Источник тепловой энергии  </v>
      </c>
      <c r="AB22" s="501"/>
      <c r="AC22" s="501"/>
      <c r="AD22" s="1156">
        <v>20</v>
      </c>
    </row>
    <row customHeight="1" ht="96.75">
      <c r="A23" s="1364" t="s">
        <v>171</v>
      </c>
      <c r="B23" s="1364" t="s">
        <v>172</v>
      </c>
      <c r="C23" s="1364" t="s">
        <v>173</v>
      </c>
      <c r="D23" s="1364" t="s">
        <v>174</v>
      </c>
      <c r="E23" s="1364"/>
      <c r="F23" s="2608" t="str">
        <f>L22&amp;".1"</f>
        <v>....1</v>
      </c>
      <c r="I23" s="2258">
        <v>1</v>
      </c>
      <c r="J23" s="1292"/>
      <c r="K23" s="357"/>
      <c r="L23" s="1294" t="str">
        <f>$F$23</f>
        <v>....1</v>
      </c>
      <c r="M23" s="286" t="s">
        <v>416</v>
      </c>
      <c r="N23" s="301"/>
      <c r="O23" s="2306"/>
      <c r="P23" s="2306"/>
      <c r="Q23" s="2306"/>
      <c r="R23" s="2306"/>
      <c r="S23" s="2306"/>
      <c r="T23" s="2306"/>
      <c r="U23" s="2306"/>
      <c r="V23" s="2306"/>
      <c r="W23" s="2306"/>
      <c r="X23" s="1259" t="s">
        <v>417</v>
      </c>
      <c r="Z23" s="501"/>
      <c r="AA23" s="501" t="str">
        <f>IF(M23="","",M23)</f>
        <v>Схема подключения теплопотребляющей установки к коллектору источника тепловой энергии</v>
      </c>
      <c r="AB23" s="501"/>
      <c r="AC23" s="501"/>
      <c r="AD23" s="1156">
        <v>92</v>
      </c>
    </row>
    <row customHeight="1" ht="86.25">
      <c r="A24" s="1364" t="s">
        <v>171</v>
      </c>
      <c r="B24" s="1364" t="s">
        <v>172</v>
      </c>
      <c r="C24" s="1364" t="s">
        <v>173</v>
      </c>
      <c r="D24" s="1364" t="s">
        <v>174</v>
      </c>
      <c r="E24" s="1364"/>
      <c r="F24" s="2608"/>
      <c r="G24" s="2218" t="str">
        <f>F23&amp;".1"</f>
        <v>....1.1</v>
      </c>
      <c r="I24" s="2258"/>
      <c r="J24" s="2258">
        <v>1</v>
      </c>
      <c r="K24" s="358"/>
      <c r="L24" s="1294" t="str">
        <f>$G$24</f>
        <v>....1.1</v>
      </c>
      <c r="M24" s="287" t="s">
        <v>419</v>
      </c>
      <c r="N24" s="301"/>
      <c r="O24" s="2246"/>
      <c r="P24" s="2247"/>
      <c r="Q24" s="2247"/>
      <c r="R24" s="2247"/>
      <c r="S24" s="2247"/>
      <c r="T24" s="2247"/>
      <c r="U24" s="2247"/>
      <c r="V24" s="2247"/>
      <c r="W24" s="2248"/>
      <c r="X24" s="1259" t="s">
        <v>420</v>
      </c>
      <c r="Z24" s="501"/>
      <c r="AA24" s="501" t="str">
        <f>IF(M24="","",M24)</f>
        <v>Группа потребителей</v>
      </c>
      <c r="AB24" s="501"/>
      <c r="AC24" s="501"/>
      <c r="AD24" s="1156">
        <v>82</v>
      </c>
    </row>
    <row customHeight="1" ht="11.549999999999999">
      <c r="A25" s="1364" t="s">
        <v>171</v>
      </c>
      <c r="B25" s="1364" t="s">
        <v>172</v>
      </c>
      <c r="C25" s="1364" t="s">
        <v>173</v>
      </c>
      <c r="D25" s="1364" t="s">
        <v>174</v>
      </c>
      <c r="E25" s="1364"/>
      <c r="F25" s="2608"/>
      <c r="G25" s="2218"/>
      <c r="H25" s="2218" t="str">
        <f>G24&amp;".1"</f>
        <v>....1.1.1</v>
      </c>
      <c r="I25" s="2258"/>
      <c r="J25" s="2258"/>
      <c r="K25" s="358">
        <v>1</v>
      </c>
      <c r="L25" s="1294" t="str">
        <f>$H$25</f>
        <v>....1.1.1</v>
      </c>
      <c r="M25" s="1348"/>
      <c r="N25" s="301"/>
      <c r="O25" s="752"/>
      <c r="P25" s="326"/>
      <c r="Q25" s="752"/>
      <c r="R25" s="1258"/>
      <c r="S25" s="2603"/>
      <c r="T25" s="2108" t="s">
        <v>63</v>
      </c>
      <c r="U25" s="2603"/>
      <c r="V25" s="2108" t="s">
        <v>19</v>
      </c>
      <c r="W25" s="326"/>
      <c r="X25" s="2254" t="s">
        <v>422</v>
      </c>
      <c r="Y25" s="512">
        <f>STRCHECKDATE(O26:W26)</f>
      </c>
      <c r="Z25" s="501"/>
      <c r="AA25" s="501" t="str">
        <f>IF(M25="","",M25)</f>
        <v/>
      </c>
      <c r="AB25" s="501"/>
      <c r="AC25" s="501"/>
      <c r="AD25" s="1156">
        <v>11</v>
      </c>
    </row>
    <row customHeight="1" ht="11.549999999999999">
      <c r="A26" s="1364" t="s">
        <v>171</v>
      </c>
      <c r="B26" s="1364" t="s">
        <v>172</v>
      </c>
      <c r="C26" s="1364" t="s">
        <v>173</v>
      </c>
      <c r="D26" s="1364" t="s">
        <v>174</v>
      </c>
      <c r="E26" s="1364"/>
      <c r="F26" s="2608"/>
      <c r="G26" s="2218"/>
      <c r="H26" s="2218"/>
      <c r="I26" s="2258"/>
      <c r="J26" s="2258"/>
      <c r="K26" s="358"/>
      <c r="L26" s="1295"/>
      <c r="M26" s="301"/>
      <c r="N26" s="301"/>
      <c r="O26" s="326"/>
      <c r="P26" s="326"/>
      <c r="Q26" s="326"/>
      <c r="R26" s="329" t="str">
        <f>S25&amp;"-"&amp;U25</f>
        <v>-</v>
      </c>
      <c r="S26" s="2267"/>
      <c r="T26" s="2108"/>
      <c r="U26" s="2267"/>
      <c r="V26" s="2108"/>
      <c r="W26" s="326"/>
      <c r="X26" s="2255"/>
      <c r="Z26" s="501"/>
      <c r="AA26" s="501" t="str">
        <f>IF(M26="","",M26)</f>
        <v/>
      </c>
      <c r="AB26" s="501"/>
      <c r="AC26" s="501"/>
      <c r="AD26" s="1156">
        <v>11</v>
      </c>
    </row>
    <row customHeight="1" ht="15.75">
      <c r="A27" s="1364" t="s">
        <v>171</v>
      </c>
      <c r="B27" s="1364" t="s">
        <v>172</v>
      </c>
      <c r="C27" s="1364" t="s">
        <v>173</v>
      </c>
      <c r="D27" s="1364" t="s">
        <v>174</v>
      </c>
      <c r="E27" s="1364"/>
      <c r="F27" s="2608"/>
      <c r="G27" s="2218"/>
      <c r="I27" s="2258"/>
      <c r="J27" s="2258"/>
      <c r="K27" s="357"/>
      <c r="L27" s="1279"/>
      <c r="M27" s="289" t="s">
        <v>423</v>
      </c>
      <c r="N27" s="368"/>
      <c r="O27" s="368"/>
      <c r="P27" s="368"/>
      <c r="Q27" s="368"/>
      <c r="R27" s="368"/>
      <c r="S27" s="368"/>
      <c r="T27" s="368"/>
      <c r="U27" s="368"/>
      <c r="V27" s="368"/>
      <c r="W27" s="325"/>
      <c r="X27" s="2256"/>
      <c r="Z27" s="501"/>
      <c r="AA27" s="501" t="str">
        <f>IF(M27="","",M27)</f>
        <v>Добавить вид теплоносителя (параметры теплоносителя)</v>
      </c>
      <c r="AB27" s="501"/>
      <c r="AC27" s="501"/>
      <c r="AD27" s="1156">
        <v>15</v>
      </c>
    </row>
    <row customHeight="1" ht="15.75">
      <c r="A28" s="1364" t="s">
        <v>171</v>
      </c>
      <c r="B28" s="1364" t="s">
        <v>172</v>
      </c>
      <c r="C28" s="1364" t="s">
        <v>173</v>
      </c>
      <c r="D28" s="1364" t="s">
        <v>174</v>
      </c>
      <c r="E28" s="1364"/>
      <c r="F28" s="2608"/>
      <c r="I28" s="2258"/>
      <c r="J28" s="1292"/>
      <c r="K28" s="357"/>
      <c r="L28" s="1279"/>
      <c r="M28" s="288" t="s">
        <v>424</v>
      </c>
      <c r="N28" s="368"/>
      <c r="O28" s="368"/>
      <c r="P28" s="368"/>
      <c r="Q28" s="368"/>
      <c r="R28" s="368"/>
      <c r="S28" s="368"/>
      <c r="T28" s="368"/>
      <c r="U28" s="368"/>
      <c r="V28" s="367"/>
      <c r="W28" s="368"/>
      <c r="X28" s="304"/>
      <c r="Z28" s="501"/>
      <c r="AA28" s="501" t="str">
        <f>IF(M28="","",M28)</f>
        <v>Добавить группу потребителей</v>
      </c>
      <c r="AB28" s="501"/>
      <c r="AC28" s="501"/>
      <c r="AD28" s="1156">
        <v>15</v>
      </c>
    </row>
    <row customHeight="1" ht="14.699999999999998">
      <c r="A29" s="1364" t="s">
        <v>171</v>
      </c>
      <c r="B29" s="1364" t="s">
        <v>172</v>
      </c>
      <c r="C29" s="1364" t="s">
        <v>173</v>
      </c>
      <c r="D29" s="1364" t="s">
        <v>174</v>
      </c>
      <c r="E29" s="1364"/>
      <c r="F29" s="1366"/>
      <c r="G29" s="1366"/>
      <c r="H29" s="538"/>
      <c r="I29" s="361"/>
      <c r="J29" s="376"/>
      <c r="K29" s="356"/>
      <c r="L29" s="1279"/>
      <c r="M29" s="366" t="s">
        <v>425</v>
      </c>
      <c r="N29" s="368"/>
      <c r="O29" s="368"/>
      <c r="P29" s="368"/>
      <c r="Q29" s="368"/>
      <c r="R29" s="368"/>
      <c r="S29" s="368"/>
      <c r="T29" s="368"/>
      <c r="U29" s="368"/>
      <c r="V29" s="367"/>
      <c r="W29" s="368"/>
      <c r="X29" s="304"/>
      <c r="Z29" s="501"/>
      <c r="AA29" s="501" t="str">
        <f>IF(M29="","",M29)</f>
        <v>Добавить схему подключения</v>
      </c>
      <c r="AB29" s="501"/>
      <c r="AC29" s="501"/>
      <c r="AD29" s="1156">
        <v>14</v>
      </c>
    </row>
    <row customHeight="1" ht="14.699999999999998">
      <c r="A30" s="1364" t="s">
        <v>171</v>
      </c>
      <c r="B30" s="1364" t="s">
        <v>172</v>
      </c>
      <c r="C30" s="1364" t="s">
        <v>173</v>
      </c>
      <c r="D30" s="1364"/>
      <c r="E30" s="1364" t="s">
        <v>597</v>
      </c>
      <c r="F30" s="1366"/>
      <c r="G30" s="1366"/>
      <c r="H30" s="538"/>
      <c r="I30" s="361"/>
      <c r="J30" s="376"/>
      <c r="K30" s="356"/>
      <c r="L30" s="1280"/>
      <c r="M30" s="1269"/>
      <c r="N30" s="1270"/>
      <c r="O30" s="1270"/>
      <c r="P30" s="1270"/>
      <c r="Q30" s="1270"/>
      <c r="R30" s="1270"/>
      <c r="S30" s="1270"/>
      <c r="T30" s="1270"/>
      <c r="U30" s="1270"/>
      <c r="V30" s="1271"/>
      <c r="W30" s="1270"/>
      <c r="X30" s="1272"/>
      <c r="Z30" s="501"/>
      <c r="AA30" s="501" t="str">
        <f>IF(M30="","",M30)</f>
        <v/>
      </c>
      <c r="AB30" s="501"/>
      <c r="AC30" s="501"/>
      <c r="AD30" s="1156">
        <v>14</v>
      </c>
    </row>
    <row customHeight="1" ht="14.699999999999998">
      <c r="A31" s="1364" t="s">
        <v>171</v>
      </c>
      <c r="B31" s="1364" t="s">
        <v>172</v>
      </c>
      <c r="C31" s="1364"/>
      <c r="D31" s="1364"/>
      <c r="E31" s="1364" t="s">
        <v>2245</v>
      </c>
      <c r="F31" s="1518"/>
      <c r="G31" s="1518"/>
      <c r="H31" s="538"/>
      <c r="I31" s="359"/>
      <c r="J31" s="376"/>
      <c r="K31" s="360"/>
      <c r="L31" s="1280"/>
      <c r="M31" s="1273"/>
      <c r="N31" s="1270"/>
      <c r="O31" s="1270"/>
      <c r="P31" s="1270"/>
      <c r="Q31" s="1270"/>
      <c r="R31" s="1270"/>
      <c r="S31" s="1270"/>
      <c r="T31" s="1270"/>
      <c r="U31" s="1270"/>
      <c r="V31" s="1271"/>
      <c r="W31" s="1270"/>
      <c r="X31" s="1272"/>
      <c r="Z31" s="501"/>
      <c r="AA31" s="501" t="str">
        <f>IF(M31="","",M31)</f>
        <v/>
      </c>
      <c r="AB31" s="501"/>
      <c r="AC31" s="501"/>
      <c r="AD31" s="1156">
        <v>14</v>
      </c>
    </row>
    <row customHeight="1" ht="14.699999999999998">
      <c r="A32" s="1364" t="s">
        <v>2246</v>
      </c>
      <c r="B32" s="1364"/>
      <c r="C32" s="1364"/>
      <c r="D32" s="1364"/>
      <c r="E32" s="1364" t="s">
        <v>107</v>
      </c>
      <c r="F32" s="1518"/>
      <c r="G32" s="1518"/>
      <c r="H32" s="538"/>
      <c r="I32" s="361"/>
      <c r="J32" s="376"/>
      <c r="K32" s="356"/>
      <c r="L32" s="1280"/>
      <c r="M32" s="1274"/>
      <c r="N32" s="1270"/>
      <c r="O32" s="1270"/>
      <c r="P32" s="1270"/>
      <c r="Q32" s="1270"/>
      <c r="R32" s="1270"/>
      <c r="S32" s="1270"/>
      <c r="T32" s="1270"/>
      <c r="U32" s="1270"/>
      <c r="V32" s="1271"/>
      <c r="W32" s="1270"/>
      <c r="X32" s="1272"/>
      <c r="Z32" s="501"/>
      <c r="AA32" s="501" t="str">
        <f>IF(M32="","",M32)</f>
        <v/>
      </c>
      <c r="AB32" s="501"/>
      <c r="AC32" s="501"/>
      <c r="AD32" s="1156">
        <v>14</v>
      </c>
    </row>
    <row s="1851" customFormat="1" customHeight="1" ht="11.549999999999999">
      <c r="A33" s="1364"/>
      <c r="B33" s="1364"/>
      <c r="C33" s="1364"/>
      <c r="D33" s="1364"/>
      <c r="E33" s="1364" t="s">
        <v>240</v>
      </c>
      <c r="F33" s="1519"/>
      <c r="G33" s="1520"/>
      <c r="H33" s="538"/>
      <c r="L33" s="1281"/>
      <c r="M33" s="1275"/>
      <c r="N33" s="1270"/>
      <c r="O33" s="1270"/>
      <c r="P33" s="1270"/>
      <c r="Q33" s="1270"/>
      <c r="R33" s="1270"/>
      <c r="S33" s="1270"/>
      <c r="T33" s="1270"/>
      <c r="U33" s="1270"/>
      <c r="V33" s="1271"/>
      <c r="W33" s="1270"/>
      <c r="X33" s="1272"/>
      <c r="Y33" s="380"/>
      <c r="Z33" s="380"/>
      <c r="AA33" s="380"/>
      <c r="AB33" s="380"/>
      <c r="AC33" s="380"/>
      <c r="AD33" s="374">
        <v>11</v>
      </c>
    </row>
    <row customHeight="1" ht="11.549999999999999">
      <c r="F34" s="1161"/>
      <c r="G34" s="1161"/>
      <c r="H34" s="538"/>
      <c r="I34" s="1156"/>
      <c r="J34" s="1156"/>
      <c r="K34" s="1156"/>
      <c r="Y34" s="1156"/>
      <c r="Z34" s="1156"/>
      <c r="AA34" s="1156"/>
      <c r="AB34" s="1156"/>
      <c r="AC34" s="1156"/>
      <c r="AD34" s="1156">
        <v>11</v>
      </c>
    </row>
    <row customHeight="1" ht="28.5">
      <c r="H35" s="538"/>
      <c r="L35" s="1289" t="s">
        <v>814</v>
      </c>
      <c r="M35" s="2286" t="s">
        <v>2247</v>
      </c>
      <c r="N35" s="2286"/>
      <c r="O35" s="2286"/>
      <c r="P35" s="2286"/>
      <c r="Q35" s="2286"/>
      <c r="R35" s="2286"/>
      <c r="S35" s="2286"/>
      <c r="T35" s="2286"/>
      <c r="U35" s="2286"/>
      <c r="V35" s="2286"/>
      <c r="W35" s="2286"/>
      <c r="X35" s="2286"/>
      <c r="AD35" s="1156">
        <v>27</v>
      </c>
    </row>
    <row customHeight="1" ht="109.19999999999999">
      <c r="H36" s="538"/>
      <c r="I36" s="1304"/>
      <c r="M36" s="2286" t="s">
        <v>2248</v>
      </c>
      <c r="N36" s="2286"/>
      <c r="O36" s="2286"/>
      <c r="P36" s="2286"/>
      <c r="Q36" s="2286"/>
      <c r="R36" s="2286"/>
      <c r="S36" s="2286"/>
      <c r="T36" s="2286"/>
      <c r="U36" s="2286"/>
      <c r="V36" s="2286"/>
      <c r="W36" s="2286"/>
      <c r="X36" s="2286"/>
      <c r="AD36" s="1156">
        <v>104</v>
      </c>
    </row>
    <row customHeight="1" ht="14.699999999999998">
      <c r="H37" s="538"/>
      <c r="AD37" s="1156">
        <v>14</v>
      </c>
    </row>
    <row customHeight="1" ht="14.699999999999998">
      <c r="H38" s="538"/>
      <c r="AD38" s="1156">
        <v>14</v>
      </c>
    </row>
    <row customHeight="1" ht="14.699999999999998">
      <c r="H39" s="538"/>
      <c r="AD39" s="1156">
        <v>14</v>
      </c>
    </row>
    <row customHeight="1" ht="14.699999999999998">
      <c r="H40" s="538"/>
      <c r="AD40" s="1156">
        <v>14</v>
      </c>
    </row>
    <row customHeight="1" ht="22.5" hidden="1">
      <c r="A41" s="1161" t="s">
        <v>84</v>
      </c>
      <c r="B41" s="1161">
        <v>0</v>
      </c>
      <c r="C41" s="1161">
        <v>0</v>
      </c>
      <c r="D41" s="1161">
        <v>0</v>
      </c>
      <c r="E41" s="1161">
        <v>0</v>
      </c>
      <c r="F41" s="1363">
        <v>0</v>
      </c>
      <c r="G41" s="1363">
        <v>0</v>
      </c>
      <c r="H41" s="1363">
        <v>0</v>
      </c>
      <c r="I41" s="1287">
        <v>3</v>
      </c>
      <c r="J41" s="345">
        <v>3</v>
      </c>
      <c r="K41" s="345">
        <v>3</v>
      </c>
      <c r="L41" s="582">
        <v>12</v>
      </c>
      <c r="M41" s="1156">
        <v>31</v>
      </c>
      <c r="N41" s="1156">
        <v>1</v>
      </c>
      <c r="O41" s="1156">
        <v>24</v>
      </c>
      <c r="P41" s="1156">
        <v>24</v>
      </c>
      <c r="Q41" s="1156">
        <v>24</v>
      </c>
      <c r="R41" s="1156">
        <v>24</v>
      </c>
      <c r="S41" s="1156">
        <v>11</v>
      </c>
      <c r="T41" s="1156">
        <v>3</v>
      </c>
      <c r="U41" s="1156">
        <v>11</v>
      </c>
      <c r="V41" s="1156">
        <v>8</v>
      </c>
      <c r="W41" s="1156">
        <v>4</v>
      </c>
      <c r="X41" s="1156">
        <v>115</v>
      </c>
      <c r="Y41" s="512">
        <v>10</v>
      </c>
      <c r="Z41" s="512">
        <v>10</v>
      </c>
      <c r="AA41" s="512">
        <v>10</v>
      </c>
      <c r="AB41" s="512">
        <v>10</v>
      </c>
      <c r="AC41" s="512">
        <v>10</v>
      </c>
      <c r="AD41" s="1156">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8D2EE3-A7D5-14D5-64FB-0.F6BF75D2}"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6E2A0C4-A5C3-D901-9938-0.018ADE7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F44207B-BC7F-62D3-5298-0.233A60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81DEAC-E4D9-95A6-B93C-0.98ACAAE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323CCB5-46ED-EB5E-E776-0.5C00D70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374859E-E50D-47D1-AFCA-0.4905842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4178252-9648-935A-42B7-0.B9D47B2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3340816-35DC-2BD9-ADCE-0.4201546F}"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67"/>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C83CC0E-A7D5-E81B-D3AD-0.70EB143B}" mc:Ignorable="x14ac xr xr2 xr3">
  <dimension ref="A1:E8"/>
  <sheetViews>
    <sheetView topLeftCell="A1" showGridLines="0" workbookViewId="0">
      <selection activeCell="A1" sqref="A1"/>
    </sheetView>
  </sheetViews>
  <sheetFormatPr customHeight="1" defaultRowHeight="11.25"/>
  <cols>
    <col min="1" max="1" style="65" width="10.57421875" customWidth="1"/>
    <col min="2" max="2" style="65" width="8.7109375" customWidth="1"/>
    <col min="3" max="3" style="65" width="18.140625" customWidth="1"/>
    <col min="4" max="4" style="65" width="12.57421875" customWidth="1"/>
  </cols>
  <sheetData>
    <row customHeight="1" ht="11.25">
      <c r="A1" s="2616" t="s">
        <v>2249</v>
      </c>
      <c r="B1" s="2617" t="s">
        <v>2250</v>
      </c>
      <c r="C1" s="2618" t="s">
        <v>2251</v>
      </c>
      <c r="D1" s="2619"/>
      <c r="E1" s="837" t="s">
        <v>2252</v>
      </c>
    </row>
    <row customHeight="1" ht="11.25">
      <c r="A2" s="2620"/>
      <c r="B2" s="766" t="s">
        <v>26</v>
      </c>
      <c r="C2" s="754"/>
      <c r="D2" s="765"/>
      <c r="E2" s="837"/>
    </row>
    <row customHeight="1" ht="11.25">
      <c r="A3" s="2621"/>
      <c r="B3" s="2622" t="s">
        <v>33</v>
      </c>
      <c r="C3" s="754"/>
      <c r="D3" s="765"/>
      <c r="E3" s="837"/>
    </row>
    <row customHeight="1" ht="11.25">
      <c r="A4" s="2623"/>
      <c r="B4" s="767" t="s">
        <v>1676</v>
      </c>
      <c r="C4" s="754"/>
      <c r="D4" s="765"/>
      <c r="E4" s="837"/>
    </row>
    <row customHeight="1" ht="11.25">
      <c r="A5" s="2624"/>
      <c r="B5" s="767" t="s">
        <v>1670</v>
      </c>
      <c r="C5" s="2625" t="s">
        <v>2016</v>
      </c>
      <c r="D5" s="2626" t="s">
        <v>2253</v>
      </c>
      <c r="E5" s="837"/>
    </row>
    <row s="1851" customFormat="1" customHeight="1" ht="11.25">
      <c r="A6" s="2627"/>
      <c r="B6" s="767" t="s">
        <v>1680</v>
      </c>
      <c r="C6" s="754"/>
      <c r="D6" s="765"/>
      <c r="E6" s="837"/>
    </row>
    <row customHeight="1" ht="11.25">
      <c r="A7" s="2628"/>
      <c r="B7" s="767" t="s">
        <v>1688</v>
      </c>
      <c r="C7" s="754"/>
      <c r="D7" s="765"/>
      <c r="E7" s="837"/>
    </row>
    <row customHeight="1" ht="11.25">
      <c r="A8" s="757"/>
      <c r="B8" s="767" t="s">
        <v>1683</v>
      </c>
      <c r="C8" s="754"/>
      <c r="D8" s="765"/>
      <c r="E8" s="837"/>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2CC5B0F-6868-64E5-4D8E-0.5D596B2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A1E8E83-F71D-B217-3111-0.4D3836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C7D0C19-0F0D-16BA-1D08-0.B0558A9}" mc:Ignorable="x14ac xr xr2 xr3">
  <sheetPr>
    <tabColor rgb="FFFFCC99"/>
  </sheetPr>
  <dimension ref="A1:I56"/>
  <sheetViews>
    <sheetView topLeftCell="A1" showGridLines="0" workbookViewId="0">
      <selection activeCell="A1" sqref="A1"/>
    </sheetView>
  </sheetViews>
  <sheetFormatPr defaultColWidth="9.140625" customHeight="1" defaultRowHeight="11.25"/>
  <cols>
    <col min="1" max="2" style="1851" width="9.140625"/>
    <col min="3" max="3" style="1851" width="20.7109375" customWidth="1"/>
    <col min="4" max="4" style="1851" width="25.140625" customWidth="1"/>
    <col min="5" max="9" style="1851" width="9.140625"/>
  </cols>
  <sheetData>
    <row customHeight="1" ht="11.25">
      <c r="A1" s="69" t="s">
        <v>2254</v>
      </c>
      <c r="B1" s="69" t="s">
        <v>2255</v>
      </c>
      <c r="C1" s="69" t="s">
        <v>2256</v>
      </c>
      <c r="D1" s="69" t="s">
        <v>2257</v>
      </c>
      <c r="E1" s="69" t="s">
        <v>2258</v>
      </c>
      <c r="F1" s="69" t="s">
        <v>2259</v>
      </c>
      <c r="G1" s="69" t="s">
        <v>2260</v>
      </c>
      <c r="H1" s="69" t="s">
        <v>2261</v>
      </c>
      <c r="I1" s="69" t="s">
        <v>2262</v>
      </c>
    </row>
    <row customHeight="1" ht="11.25">
      <c r="A2" s="1851" t="s">
        <v>2263</v>
      </c>
      <c r="B2" s="1851" t="s">
        <v>16</v>
      </c>
      <c r="C2" s="1851" t="s">
        <v>2264</v>
      </c>
      <c r="D2" s="1851" t="s">
        <v>2265</v>
      </c>
      <c r="E2" s="1851" t="s">
        <v>2266</v>
      </c>
      <c r="F2" s="1851" t="s">
        <v>2267</v>
      </c>
      <c r="G2" s="1851" t="s">
        <v>28</v>
      </c>
      <c r="H2" s="1851" t="s">
        <v>28</v>
      </c>
      <c r="I2" s="1851" t="s">
        <v>818</v>
      </c>
    </row>
    <row customHeight="1" ht="11.25">
      <c r="A3" s="1851" t="s">
        <v>2263</v>
      </c>
      <c r="B3" s="1851" t="s">
        <v>16</v>
      </c>
      <c r="C3" s="1851" t="s">
        <v>2268</v>
      </c>
      <c r="D3" s="1851" t="s">
        <v>2269</v>
      </c>
      <c r="E3" s="1851" t="s">
        <v>2270</v>
      </c>
      <c r="F3" s="1851" t="s">
        <v>54</v>
      </c>
      <c r="G3" s="1851" t="s">
        <v>28</v>
      </c>
      <c r="H3" s="1851" t="s">
        <v>28</v>
      </c>
      <c r="I3" s="1851" t="s">
        <v>818</v>
      </c>
    </row>
    <row customHeight="1" ht="11.25">
      <c r="A4" s="1851" t="s">
        <v>2263</v>
      </c>
      <c r="B4" s="1851" t="s">
        <v>16</v>
      </c>
      <c r="C4" s="1851" t="s">
        <v>2271</v>
      </c>
      <c r="D4" s="1851" t="s">
        <v>2272</v>
      </c>
      <c r="E4" s="1851" t="s">
        <v>2273</v>
      </c>
      <c r="F4" s="1851" t="s">
        <v>54</v>
      </c>
      <c r="G4" s="1851" t="s">
        <v>28</v>
      </c>
      <c r="H4" s="1851" t="s">
        <v>28</v>
      </c>
      <c r="I4" s="1851" t="s">
        <v>818</v>
      </c>
    </row>
    <row customHeight="1" ht="11.25">
      <c r="A5" s="1851" t="s">
        <v>2263</v>
      </c>
      <c r="B5" s="1851" t="s">
        <v>16</v>
      </c>
      <c r="C5" s="1851" t="s">
        <v>13</v>
      </c>
      <c r="D5" s="1851" t="s">
        <v>49</v>
      </c>
      <c r="E5" s="1851" t="s">
        <v>52</v>
      </c>
      <c r="F5" s="1851" t="s">
        <v>54</v>
      </c>
      <c r="G5" s="1851" t="s">
        <v>28</v>
      </c>
      <c r="H5" s="1851" t="s">
        <v>28</v>
      </c>
      <c r="I5" s="1851" t="s">
        <v>818</v>
      </c>
    </row>
    <row customHeight="1" ht="11.25">
      <c r="A6" s="1851" t="s">
        <v>2263</v>
      </c>
      <c r="B6" s="1851" t="s">
        <v>16</v>
      </c>
      <c r="C6" s="1851" t="s">
        <v>2274</v>
      </c>
      <c r="D6" s="1851" t="s">
        <v>2275</v>
      </c>
      <c r="E6" s="1851" t="s">
        <v>2276</v>
      </c>
      <c r="F6" s="1851" t="s">
        <v>54</v>
      </c>
      <c r="G6" s="1851" t="s">
        <v>28</v>
      </c>
      <c r="H6" s="1851" t="s">
        <v>28</v>
      </c>
      <c r="I6" s="1851" t="s">
        <v>818</v>
      </c>
    </row>
    <row customHeight="1" ht="11.25">
      <c r="A7" s="1851" t="s">
        <v>2263</v>
      </c>
      <c r="B7" s="1851" t="s">
        <v>16</v>
      </c>
      <c r="C7" s="1851" t="s">
        <v>2277</v>
      </c>
      <c r="D7" s="1851" t="s">
        <v>2278</v>
      </c>
      <c r="E7" s="1851" t="s">
        <v>2279</v>
      </c>
      <c r="F7" s="1851" t="s">
        <v>54</v>
      </c>
      <c r="G7" s="1851" t="s">
        <v>28</v>
      </c>
      <c r="H7" s="1851" t="s">
        <v>28</v>
      </c>
      <c r="I7" s="1851" t="s">
        <v>818</v>
      </c>
    </row>
    <row customHeight="1" ht="11.25">
      <c r="A8" s="1851" t="s">
        <v>2263</v>
      </c>
      <c r="B8" s="1851" t="s">
        <v>16</v>
      </c>
      <c r="C8" s="1851" t="s">
        <v>2280</v>
      </c>
      <c r="D8" s="1851" t="s">
        <v>2281</v>
      </c>
      <c r="E8" s="1851" t="s">
        <v>2282</v>
      </c>
      <c r="F8" s="1851" t="s">
        <v>54</v>
      </c>
      <c r="G8" s="1851" t="s">
        <v>28</v>
      </c>
      <c r="H8" s="1851" t="s">
        <v>28</v>
      </c>
      <c r="I8" s="1851" t="s">
        <v>818</v>
      </c>
    </row>
    <row customHeight="1" ht="11.25">
      <c r="A9" s="1851" t="s">
        <v>2263</v>
      </c>
      <c r="B9" s="1851" t="s">
        <v>16</v>
      </c>
      <c r="C9" s="1851" t="s">
        <v>2283</v>
      </c>
      <c r="D9" s="1851" t="s">
        <v>2284</v>
      </c>
      <c r="E9" s="1851" t="s">
        <v>2285</v>
      </c>
      <c r="F9" s="1851" t="s">
        <v>54</v>
      </c>
      <c r="G9" s="1851" t="s">
        <v>2286</v>
      </c>
      <c r="H9" s="1851" t="s">
        <v>28</v>
      </c>
      <c r="I9" s="1851" t="s">
        <v>818</v>
      </c>
    </row>
    <row customHeight="1" ht="11.25">
      <c r="A10" s="1851" t="s">
        <v>2263</v>
      </c>
      <c r="B10" s="1851" t="s">
        <v>16</v>
      </c>
      <c r="C10" s="1851" t="s">
        <v>2287</v>
      </c>
      <c r="D10" s="1851" t="s">
        <v>2288</v>
      </c>
      <c r="E10" s="1851" t="s">
        <v>2289</v>
      </c>
      <c r="F10" s="1851" t="s">
        <v>2290</v>
      </c>
      <c r="G10" s="1851" t="s">
        <v>28</v>
      </c>
      <c r="H10" s="1851" t="s">
        <v>28</v>
      </c>
      <c r="I10" s="1851" t="s">
        <v>818</v>
      </c>
    </row>
    <row customHeight="1" ht="11.25">
      <c r="A11" s="1851" t="s">
        <v>2263</v>
      </c>
      <c r="B11" s="1851" t="s">
        <v>16</v>
      </c>
      <c r="C11" s="1851" t="s">
        <v>2291</v>
      </c>
      <c r="D11" s="1851" t="s">
        <v>2292</v>
      </c>
      <c r="E11" s="1851" t="s">
        <v>2293</v>
      </c>
      <c r="F11" s="1851" t="s">
        <v>2294</v>
      </c>
      <c r="G11" s="1851" t="s">
        <v>28</v>
      </c>
      <c r="H11" s="1851" t="s">
        <v>28</v>
      </c>
      <c r="I11" s="1851" t="s">
        <v>818</v>
      </c>
    </row>
    <row customHeight="1" ht="11.25">
      <c r="A12" s="1851" t="s">
        <v>2263</v>
      </c>
      <c r="B12" s="1851" t="s">
        <v>16</v>
      </c>
      <c r="C12" s="1851" t="s">
        <v>2295</v>
      </c>
      <c r="D12" s="1851" t="s">
        <v>2296</v>
      </c>
      <c r="E12" s="1851" t="s">
        <v>2297</v>
      </c>
      <c r="F12" s="1851" t="s">
        <v>54</v>
      </c>
      <c r="G12" s="1851" t="s">
        <v>28</v>
      </c>
      <c r="H12" s="1851" t="s">
        <v>28</v>
      </c>
      <c r="I12" s="1851" t="s">
        <v>818</v>
      </c>
    </row>
    <row customHeight="1" ht="11.25">
      <c r="A13" s="1851" t="s">
        <v>2263</v>
      </c>
      <c r="B13" s="1851" t="s">
        <v>16</v>
      </c>
      <c r="C13" s="1851" t="s">
        <v>2298</v>
      </c>
      <c r="D13" s="1851" t="s">
        <v>2299</v>
      </c>
      <c r="E13" s="1851" t="s">
        <v>2266</v>
      </c>
      <c r="F13" s="1851" t="s">
        <v>2300</v>
      </c>
      <c r="G13" s="1851" t="s">
        <v>2301</v>
      </c>
      <c r="H13" s="1851" t="s">
        <v>28</v>
      </c>
      <c r="I13" s="1851" t="s">
        <v>818</v>
      </c>
    </row>
    <row customHeight="1" ht="11.25">
      <c r="A14" s="1851" t="s">
        <v>2263</v>
      </c>
      <c r="B14" s="1851" t="s">
        <v>16</v>
      </c>
      <c r="C14" s="1851" t="s">
        <v>28</v>
      </c>
      <c r="D14" s="1851" t="s">
        <v>2302</v>
      </c>
      <c r="E14" s="1851" t="s">
        <v>2303</v>
      </c>
      <c r="F14" s="1851" t="s">
        <v>54</v>
      </c>
      <c r="G14" s="1851" t="s">
        <v>28</v>
      </c>
      <c r="H14" s="1851" t="s">
        <v>28</v>
      </c>
      <c r="I14" s="1851" t="s">
        <v>818</v>
      </c>
    </row>
    <row customHeight="1" ht="11.25">
      <c r="A15" s="1851" t="s">
        <v>2263</v>
      </c>
      <c r="B15" s="1851" t="s">
        <v>16</v>
      </c>
      <c r="C15" s="1851" t="s">
        <v>2304</v>
      </c>
      <c r="D15" s="1851" t="s">
        <v>2305</v>
      </c>
      <c r="E15" s="1851" t="s">
        <v>2306</v>
      </c>
      <c r="F15" s="1851" t="s">
        <v>2307</v>
      </c>
      <c r="G15" s="1851" t="s">
        <v>28</v>
      </c>
      <c r="H15" s="1851" t="s">
        <v>28</v>
      </c>
      <c r="I15" s="1851" t="s">
        <v>818</v>
      </c>
    </row>
    <row customHeight="1" ht="11.25">
      <c r="A16" s="1851" t="s">
        <v>2263</v>
      </c>
      <c r="B16" s="1851" t="s">
        <v>16</v>
      </c>
      <c r="C16" s="1851" t="s">
        <v>2308</v>
      </c>
      <c r="D16" s="1851" t="s">
        <v>2309</v>
      </c>
      <c r="E16" s="1851" t="s">
        <v>2306</v>
      </c>
      <c r="F16" s="1851" t="s">
        <v>2310</v>
      </c>
      <c r="G16" s="1851" t="s">
        <v>2311</v>
      </c>
      <c r="H16" s="1851" t="s">
        <v>28</v>
      </c>
      <c r="I16" s="1851" t="s">
        <v>818</v>
      </c>
    </row>
    <row customHeight="1" ht="11.25">
      <c r="A17" s="1851" t="s">
        <v>2263</v>
      </c>
      <c r="B17" s="1851" t="s">
        <v>16</v>
      </c>
      <c r="C17" s="1851" t="s">
        <v>2264</v>
      </c>
      <c r="D17" s="1851" t="s">
        <v>2265</v>
      </c>
      <c r="E17" s="1851" t="s">
        <v>2266</v>
      </c>
      <c r="F17" s="1851" t="s">
        <v>2267</v>
      </c>
      <c r="G17" s="1851" t="s">
        <v>28</v>
      </c>
      <c r="H17" s="1851" t="s">
        <v>28</v>
      </c>
      <c r="I17" s="1851" t="s">
        <v>904</v>
      </c>
    </row>
    <row customHeight="1" ht="11.25">
      <c r="A18" s="1851" t="s">
        <v>2263</v>
      </c>
      <c r="B18" s="1851" t="s">
        <v>16</v>
      </c>
      <c r="C18" s="1851" t="s">
        <v>2268</v>
      </c>
      <c r="D18" s="1851" t="s">
        <v>2269</v>
      </c>
      <c r="E18" s="1851" t="s">
        <v>2270</v>
      </c>
      <c r="F18" s="1851" t="s">
        <v>54</v>
      </c>
      <c r="G18" s="1851" t="s">
        <v>28</v>
      </c>
      <c r="H18" s="1851" t="s">
        <v>28</v>
      </c>
      <c r="I18" s="1851" t="s">
        <v>904</v>
      </c>
    </row>
    <row customHeight="1" ht="11.25">
      <c r="A19" s="1851" t="s">
        <v>2263</v>
      </c>
      <c r="B19" s="1851" t="s">
        <v>16</v>
      </c>
      <c r="C19" s="1851" t="s">
        <v>2271</v>
      </c>
      <c r="D19" s="1851" t="s">
        <v>2272</v>
      </c>
      <c r="E19" s="1851" t="s">
        <v>2273</v>
      </c>
      <c r="F19" s="1851" t="s">
        <v>54</v>
      </c>
      <c r="G19" s="1851" t="s">
        <v>28</v>
      </c>
      <c r="H19" s="1851" t="s">
        <v>28</v>
      </c>
      <c r="I19" s="1851" t="s">
        <v>904</v>
      </c>
    </row>
    <row customHeight="1" ht="11.25">
      <c r="A20" s="1851" t="s">
        <v>2263</v>
      </c>
      <c r="B20" s="1851" t="s">
        <v>16</v>
      </c>
      <c r="C20" s="1851" t="s">
        <v>13</v>
      </c>
      <c r="D20" s="1851" t="s">
        <v>49</v>
      </c>
      <c r="E20" s="1851" t="s">
        <v>52</v>
      </c>
      <c r="F20" s="1851" t="s">
        <v>54</v>
      </c>
      <c r="G20" s="1851" t="s">
        <v>28</v>
      </c>
      <c r="H20" s="1851" t="s">
        <v>28</v>
      </c>
      <c r="I20" s="1851" t="s">
        <v>904</v>
      </c>
    </row>
    <row customHeight="1" ht="11.25">
      <c r="A21" s="1851" t="s">
        <v>2263</v>
      </c>
      <c r="B21" s="1851" t="s">
        <v>16</v>
      </c>
      <c r="C21" s="1851" t="s">
        <v>2274</v>
      </c>
      <c r="D21" s="1851" t="s">
        <v>2275</v>
      </c>
      <c r="E21" s="1851" t="s">
        <v>2276</v>
      </c>
      <c r="F21" s="1851" t="s">
        <v>54</v>
      </c>
      <c r="G21" s="1851" t="s">
        <v>28</v>
      </c>
      <c r="H21" s="1851" t="s">
        <v>28</v>
      </c>
      <c r="I21" s="1851" t="s">
        <v>904</v>
      </c>
    </row>
    <row customHeight="1" ht="11.25">
      <c r="A22" s="1851" t="s">
        <v>2263</v>
      </c>
      <c r="B22" s="1851" t="s">
        <v>16</v>
      </c>
      <c r="C22" s="1851" t="s">
        <v>2280</v>
      </c>
      <c r="D22" s="1851" t="s">
        <v>2281</v>
      </c>
      <c r="E22" s="1851" t="s">
        <v>2282</v>
      </c>
      <c r="F22" s="1851" t="s">
        <v>54</v>
      </c>
      <c r="G22" s="1851" t="s">
        <v>28</v>
      </c>
      <c r="H22" s="1851" t="s">
        <v>28</v>
      </c>
      <c r="I22" s="1851" t="s">
        <v>904</v>
      </c>
    </row>
    <row customHeight="1" ht="11.25">
      <c r="A23" s="1851" t="s">
        <v>2263</v>
      </c>
      <c r="B23" s="1851" t="s">
        <v>16</v>
      </c>
      <c r="C23" s="1851" t="s">
        <v>2283</v>
      </c>
      <c r="D23" s="1851" t="s">
        <v>2284</v>
      </c>
      <c r="E23" s="1851" t="s">
        <v>2285</v>
      </c>
      <c r="F23" s="1851" t="s">
        <v>54</v>
      </c>
      <c r="G23" s="1851" t="s">
        <v>2286</v>
      </c>
      <c r="H23" s="1851" t="s">
        <v>28</v>
      </c>
      <c r="I23" s="1851" t="s">
        <v>904</v>
      </c>
    </row>
    <row customHeight="1" ht="11.25">
      <c r="A24" s="1851" t="s">
        <v>2263</v>
      </c>
      <c r="B24" s="1851" t="s">
        <v>16</v>
      </c>
      <c r="C24" s="1851" t="s">
        <v>2287</v>
      </c>
      <c r="D24" s="1851" t="s">
        <v>2288</v>
      </c>
      <c r="E24" s="1851" t="s">
        <v>2289</v>
      </c>
      <c r="F24" s="1851" t="s">
        <v>2290</v>
      </c>
      <c r="G24" s="1851" t="s">
        <v>28</v>
      </c>
      <c r="H24" s="1851" t="s">
        <v>28</v>
      </c>
      <c r="I24" s="1851" t="s">
        <v>904</v>
      </c>
    </row>
    <row customHeight="1" ht="11.25">
      <c r="A25" s="1851" t="s">
        <v>2263</v>
      </c>
      <c r="B25" s="1851" t="s">
        <v>16</v>
      </c>
      <c r="C25" s="1851" t="s">
        <v>2298</v>
      </c>
      <c r="D25" s="1851" t="s">
        <v>2299</v>
      </c>
      <c r="E25" s="1851" t="s">
        <v>2266</v>
      </c>
      <c r="F25" s="1851" t="s">
        <v>2300</v>
      </c>
      <c r="G25" s="1851" t="s">
        <v>2301</v>
      </c>
      <c r="H25" s="1851" t="s">
        <v>28</v>
      </c>
      <c r="I25" s="1851" t="s">
        <v>904</v>
      </c>
    </row>
    <row customHeight="1" ht="11.25">
      <c r="A26" s="1851" t="s">
        <v>2263</v>
      </c>
      <c r="B26" s="1851" t="s">
        <v>16</v>
      </c>
      <c r="C26" s="1851" t="s">
        <v>28</v>
      </c>
      <c r="D26" s="1851" t="s">
        <v>2302</v>
      </c>
      <c r="E26" s="1851" t="s">
        <v>2303</v>
      </c>
      <c r="F26" s="1851" t="s">
        <v>54</v>
      </c>
      <c r="G26" s="1851" t="s">
        <v>28</v>
      </c>
      <c r="H26" s="1851" t="s">
        <v>28</v>
      </c>
      <c r="I26" s="1851" t="s">
        <v>904</v>
      </c>
    </row>
    <row customHeight="1" ht="11.25">
      <c r="A27" s="1851" t="s">
        <v>2263</v>
      </c>
      <c r="B27" s="1851" t="s">
        <v>16</v>
      </c>
      <c r="C27" s="1851" t="s">
        <v>2308</v>
      </c>
      <c r="D27" s="1851" t="s">
        <v>2309</v>
      </c>
      <c r="E27" s="1851" t="s">
        <v>2306</v>
      </c>
      <c r="F27" s="1851" t="s">
        <v>2310</v>
      </c>
      <c r="G27" s="1851" t="s">
        <v>2311</v>
      </c>
      <c r="H27" s="1851" t="s">
        <v>28</v>
      </c>
      <c r="I27" s="1851" t="s">
        <v>904</v>
      </c>
    </row>
    <row customHeight="1" ht="11.25">
      <c r="A28" s="1851" t="s">
        <v>2263</v>
      </c>
      <c r="B28" s="1851" t="s">
        <v>16</v>
      </c>
      <c r="C28" s="1851" t="s">
        <v>2264</v>
      </c>
      <c r="D28" s="1851" t="s">
        <v>2265</v>
      </c>
      <c r="E28" s="1851" t="s">
        <v>2266</v>
      </c>
      <c r="F28" s="1851" t="s">
        <v>2267</v>
      </c>
      <c r="G28" s="1851" t="s">
        <v>28</v>
      </c>
      <c r="H28" s="1851" t="s">
        <v>28</v>
      </c>
      <c r="I28" s="1851" t="s">
        <v>864</v>
      </c>
    </row>
    <row customHeight="1" ht="11.25">
      <c r="A29" s="1851" t="s">
        <v>2263</v>
      </c>
      <c r="B29" s="1851" t="s">
        <v>16</v>
      </c>
      <c r="C29" s="1851" t="s">
        <v>2271</v>
      </c>
      <c r="D29" s="1851" t="s">
        <v>2272</v>
      </c>
      <c r="E29" s="1851" t="s">
        <v>2273</v>
      </c>
      <c r="F29" s="1851" t="s">
        <v>54</v>
      </c>
      <c r="G29" s="1851" t="s">
        <v>28</v>
      </c>
      <c r="H29" s="1851" t="s">
        <v>28</v>
      </c>
      <c r="I29" s="1851" t="s">
        <v>864</v>
      </c>
    </row>
    <row customHeight="1" ht="11.25">
      <c r="A30" s="1851" t="s">
        <v>2263</v>
      </c>
      <c r="B30" s="1851" t="s">
        <v>16</v>
      </c>
      <c r="C30" s="1851" t="s">
        <v>13</v>
      </c>
      <c r="D30" s="1851" t="s">
        <v>49</v>
      </c>
      <c r="E30" s="1851" t="s">
        <v>52</v>
      </c>
      <c r="F30" s="1851" t="s">
        <v>54</v>
      </c>
      <c r="G30" s="1851" t="s">
        <v>28</v>
      </c>
      <c r="H30" s="1851" t="s">
        <v>28</v>
      </c>
      <c r="I30" s="1851" t="s">
        <v>864</v>
      </c>
    </row>
    <row customHeight="1" ht="11.25">
      <c r="A31" s="1851" t="s">
        <v>2263</v>
      </c>
      <c r="B31" s="1851" t="s">
        <v>16</v>
      </c>
      <c r="C31" s="1851" t="s">
        <v>2312</v>
      </c>
      <c r="D31" s="1851" t="s">
        <v>2313</v>
      </c>
      <c r="E31" s="1851" t="s">
        <v>2314</v>
      </c>
      <c r="F31" s="1851" t="s">
        <v>54</v>
      </c>
      <c r="G31" s="1851" t="s">
        <v>28</v>
      </c>
      <c r="H31" s="1851" t="s">
        <v>28</v>
      </c>
      <c r="I31" s="1851" t="s">
        <v>864</v>
      </c>
    </row>
    <row customHeight="1" ht="11.25">
      <c r="A32" s="1851" t="s">
        <v>2263</v>
      </c>
      <c r="B32" s="1851" t="s">
        <v>16</v>
      </c>
      <c r="C32" s="1851" t="s">
        <v>2315</v>
      </c>
      <c r="D32" s="1851" t="s">
        <v>2316</v>
      </c>
      <c r="E32" s="1851" t="s">
        <v>2317</v>
      </c>
      <c r="F32" s="1851" t="s">
        <v>54</v>
      </c>
      <c r="G32" s="1851" t="s">
        <v>2318</v>
      </c>
      <c r="H32" s="1851" t="s">
        <v>28</v>
      </c>
      <c r="I32" s="1851" t="s">
        <v>864</v>
      </c>
    </row>
    <row customHeight="1" ht="11.25">
      <c r="A33" s="1851" t="s">
        <v>2263</v>
      </c>
      <c r="B33" s="1851" t="s">
        <v>16</v>
      </c>
      <c r="C33" s="1851" t="s">
        <v>2319</v>
      </c>
      <c r="D33" s="1851" t="s">
        <v>2320</v>
      </c>
      <c r="E33" s="1851" t="s">
        <v>2321</v>
      </c>
      <c r="F33" s="1851" t="s">
        <v>54</v>
      </c>
      <c r="G33" s="1851" t="s">
        <v>28</v>
      </c>
      <c r="H33" s="1851" t="s">
        <v>28</v>
      </c>
      <c r="I33" s="1851" t="s">
        <v>864</v>
      </c>
    </row>
    <row customHeight="1" ht="11.25">
      <c r="A34" s="1851" t="s">
        <v>2263</v>
      </c>
      <c r="B34" s="1851" t="s">
        <v>16</v>
      </c>
      <c r="C34" s="1851" t="s">
        <v>2322</v>
      </c>
      <c r="D34" s="1851" t="s">
        <v>2323</v>
      </c>
      <c r="E34" s="1851" t="s">
        <v>2324</v>
      </c>
      <c r="F34" s="1851" t="s">
        <v>54</v>
      </c>
      <c r="G34" s="1851" t="s">
        <v>2325</v>
      </c>
      <c r="H34" s="1851" t="s">
        <v>28</v>
      </c>
      <c r="I34" s="1851" t="s">
        <v>864</v>
      </c>
    </row>
    <row customHeight="1" ht="11.25">
      <c r="A35" s="1851" t="s">
        <v>2263</v>
      </c>
      <c r="B35" s="1851" t="s">
        <v>16</v>
      </c>
      <c r="C35" s="1851" t="s">
        <v>2274</v>
      </c>
      <c r="D35" s="1851" t="s">
        <v>2275</v>
      </c>
      <c r="E35" s="1851" t="s">
        <v>2276</v>
      </c>
      <c r="F35" s="1851" t="s">
        <v>54</v>
      </c>
      <c r="G35" s="1851" t="s">
        <v>28</v>
      </c>
      <c r="H35" s="1851" t="s">
        <v>28</v>
      </c>
      <c r="I35" s="1851" t="s">
        <v>864</v>
      </c>
    </row>
    <row customHeight="1" ht="11.25">
      <c r="A36" s="1851" t="s">
        <v>2263</v>
      </c>
      <c r="B36" s="1851" t="s">
        <v>16</v>
      </c>
      <c r="C36" s="1851" t="s">
        <v>2277</v>
      </c>
      <c r="D36" s="1851" t="s">
        <v>2278</v>
      </c>
      <c r="E36" s="1851" t="s">
        <v>2279</v>
      </c>
      <c r="F36" s="1851" t="s">
        <v>54</v>
      </c>
      <c r="G36" s="1851" t="s">
        <v>28</v>
      </c>
      <c r="H36" s="1851" t="s">
        <v>28</v>
      </c>
      <c r="I36" s="1851" t="s">
        <v>864</v>
      </c>
    </row>
    <row customHeight="1" ht="11.25">
      <c r="A37" s="1851" t="s">
        <v>2263</v>
      </c>
      <c r="B37" s="1851" t="s">
        <v>16</v>
      </c>
      <c r="C37" s="1851" t="s">
        <v>2280</v>
      </c>
      <c r="D37" s="1851" t="s">
        <v>2281</v>
      </c>
      <c r="E37" s="1851" t="s">
        <v>2282</v>
      </c>
      <c r="F37" s="1851" t="s">
        <v>54</v>
      </c>
      <c r="G37" s="1851" t="s">
        <v>28</v>
      </c>
      <c r="H37" s="1851" t="s">
        <v>28</v>
      </c>
      <c r="I37" s="1851" t="s">
        <v>864</v>
      </c>
    </row>
    <row customHeight="1" ht="11.25">
      <c r="A38" s="1851" t="s">
        <v>2263</v>
      </c>
      <c r="B38" s="1851" t="s">
        <v>16</v>
      </c>
      <c r="C38" s="1851" t="s">
        <v>2287</v>
      </c>
      <c r="D38" s="1851" t="s">
        <v>2288</v>
      </c>
      <c r="E38" s="1851" t="s">
        <v>2289</v>
      </c>
      <c r="F38" s="1851" t="s">
        <v>2290</v>
      </c>
      <c r="G38" s="1851" t="s">
        <v>28</v>
      </c>
      <c r="H38" s="1851" t="s">
        <v>28</v>
      </c>
      <c r="I38" s="1851" t="s">
        <v>864</v>
      </c>
    </row>
    <row customHeight="1" ht="11.25">
      <c r="A39" s="1851" t="s">
        <v>2263</v>
      </c>
      <c r="B39" s="1851" t="s">
        <v>16</v>
      </c>
      <c r="C39" s="1851" t="s">
        <v>2295</v>
      </c>
      <c r="D39" s="1851" t="s">
        <v>2296</v>
      </c>
      <c r="E39" s="1851" t="s">
        <v>2297</v>
      </c>
      <c r="F39" s="1851" t="s">
        <v>54</v>
      </c>
      <c r="G39" s="1851" t="s">
        <v>28</v>
      </c>
      <c r="H39" s="1851" t="s">
        <v>28</v>
      </c>
      <c r="I39" s="1851" t="s">
        <v>864</v>
      </c>
    </row>
    <row customHeight="1" ht="11.25">
      <c r="A40" s="1851" t="s">
        <v>2263</v>
      </c>
      <c r="B40" s="1851" t="s">
        <v>16</v>
      </c>
      <c r="C40" s="1851" t="s">
        <v>2298</v>
      </c>
      <c r="D40" s="1851" t="s">
        <v>2299</v>
      </c>
      <c r="E40" s="1851" t="s">
        <v>2266</v>
      </c>
      <c r="F40" s="1851" t="s">
        <v>2300</v>
      </c>
      <c r="G40" s="1851" t="s">
        <v>2301</v>
      </c>
      <c r="H40" s="1851" t="s">
        <v>28</v>
      </c>
      <c r="I40" s="1851" t="s">
        <v>864</v>
      </c>
    </row>
    <row customHeight="1" ht="11.25">
      <c r="A41" s="1851" t="s">
        <v>2263</v>
      </c>
      <c r="B41" s="1851" t="s">
        <v>16</v>
      </c>
      <c r="C41" s="1851" t="s">
        <v>28</v>
      </c>
      <c r="D41" s="1851" t="s">
        <v>2302</v>
      </c>
      <c r="E41" s="1851" t="s">
        <v>2303</v>
      </c>
      <c r="F41" s="1851" t="s">
        <v>54</v>
      </c>
      <c r="G41" s="1851" t="s">
        <v>28</v>
      </c>
      <c r="H41" s="1851" t="s">
        <v>28</v>
      </c>
      <c r="I41" s="1851" t="s">
        <v>864</v>
      </c>
    </row>
    <row customHeight="1" ht="11.25">
      <c r="A42" s="1851" t="s">
        <v>2263</v>
      </c>
      <c r="B42" s="1851" t="s">
        <v>16</v>
      </c>
      <c r="C42" s="1851" t="s">
        <v>2304</v>
      </c>
      <c r="D42" s="1851" t="s">
        <v>2305</v>
      </c>
      <c r="E42" s="1851" t="s">
        <v>2306</v>
      </c>
      <c r="F42" s="1851" t="s">
        <v>2307</v>
      </c>
      <c r="G42" s="1851" t="s">
        <v>28</v>
      </c>
      <c r="H42" s="1851" t="s">
        <v>28</v>
      </c>
      <c r="I42" s="1851" t="s">
        <v>864</v>
      </c>
    </row>
    <row customHeight="1" ht="11.25">
      <c r="A43" s="1851" t="s">
        <v>2263</v>
      </c>
      <c r="B43" s="1851" t="s">
        <v>16</v>
      </c>
      <c r="C43" s="1851" t="s">
        <v>2308</v>
      </c>
      <c r="D43" s="1851" t="s">
        <v>2309</v>
      </c>
      <c r="E43" s="1851" t="s">
        <v>2306</v>
      </c>
      <c r="F43" s="1851" t="s">
        <v>2310</v>
      </c>
      <c r="G43" s="1851" t="s">
        <v>2311</v>
      </c>
      <c r="H43" s="1851" t="s">
        <v>28</v>
      </c>
      <c r="I43" s="1851" t="s">
        <v>864</v>
      </c>
    </row>
    <row customHeight="1" ht="11.25">
      <c r="A44" s="1851" t="s">
        <v>2263</v>
      </c>
      <c r="B44" s="1851" t="s">
        <v>16</v>
      </c>
      <c r="C44" s="1851" t="s">
        <v>2264</v>
      </c>
      <c r="D44" s="1851" t="s">
        <v>2265</v>
      </c>
      <c r="E44" s="1851" t="s">
        <v>2266</v>
      </c>
      <c r="F44" s="1851" t="s">
        <v>2267</v>
      </c>
      <c r="G44" s="1851" t="s">
        <v>28</v>
      </c>
      <c r="H44" s="1851" t="s">
        <v>28</v>
      </c>
      <c r="I44" s="1851" t="s">
        <v>917</v>
      </c>
    </row>
    <row customHeight="1" ht="11.25">
      <c r="A45" s="1851" t="s">
        <v>2263</v>
      </c>
      <c r="B45" s="1851" t="s">
        <v>16</v>
      </c>
      <c r="C45" s="1851" t="s">
        <v>2322</v>
      </c>
      <c r="D45" s="1851" t="s">
        <v>2323</v>
      </c>
      <c r="E45" s="1851" t="s">
        <v>2324</v>
      </c>
      <c r="F45" s="1851" t="s">
        <v>54</v>
      </c>
      <c r="G45" s="1851" t="s">
        <v>2325</v>
      </c>
      <c r="H45" s="1851" t="s">
        <v>28</v>
      </c>
      <c r="I45" s="1851" t="s">
        <v>917</v>
      </c>
    </row>
    <row customHeight="1" ht="11.25">
      <c r="A46" s="1851" t="s">
        <v>2263</v>
      </c>
      <c r="B46" s="1851" t="s">
        <v>16</v>
      </c>
      <c r="C46" s="1851" t="s">
        <v>2274</v>
      </c>
      <c r="D46" s="1851" t="s">
        <v>2275</v>
      </c>
      <c r="E46" s="1851" t="s">
        <v>2276</v>
      </c>
      <c r="F46" s="1851" t="s">
        <v>54</v>
      </c>
      <c r="G46" s="1851" t="s">
        <v>28</v>
      </c>
      <c r="H46" s="1851" t="s">
        <v>28</v>
      </c>
      <c r="I46" s="1851" t="s">
        <v>917</v>
      </c>
    </row>
    <row customHeight="1" ht="11.25">
      <c r="A47" s="1851" t="s">
        <v>2263</v>
      </c>
      <c r="B47" s="1851" t="s">
        <v>16</v>
      </c>
      <c r="C47" s="1851" t="s">
        <v>2280</v>
      </c>
      <c r="D47" s="1851" t="s">
        <v>2281</v>
      </c>
      <c r="E47" s="1851" t="s">
        <v>2282</v>
      </c>
      <c r="F47" s="1851" t="s">
        <v>54</v>
      </c>
      <c r="G47" s="1851" t="s">
        <v>28</v>
      </c>
      <c r="H47" s="1851" t="s">
        <v>28</v>
      </c>
      <c r="I47" s="1851" t="s">
        <v>917</v>
      </c>
    </row>
    <row customHeight="1" ht="11.25">
      <c r="A48" s="1851" t="s">
        <v>2263</v>
      </c>
      <c r="B48" s="1851" t="s">
        <v>16</v>
      </c>
      <c r="C48" s="1851" t="s">
        <v>2287</v>
      </c>
      <c r="D48" s="1851" t="s">
        <v>2288</v>
      </c>
      <c r="E48" s="1851" t="s">
        <v>2289</v>
      </c>
      <c r="F48" s="1851" t="s">
        <v>2290</v>
      </c>
      <c r="G48" s="1851" t="s">
        <v>28</v>
      </c>
      <c r="H48" s="1851" t="s">
        <v>28</v>
      </c>
      <c r="I48" s="1851" t="s">
        <v>917</v>
      </c>
    </row>
    <row customHeight="1" ht="11.25">
      <c r="A49" s="1851" t="s">
        <v>2263</v>
      </c>
      <c r="B49" s="1851" t="s">
        <v>16</v>
      </c>
      <c r="C49" s="1851" t="s">
        <v>2298</v>
      </c>
      <c r="D49" s="1851" t="s">
        <v>2299</v>
      </c>
      <c r="E49" s="1851" t="s">
        <v>2266</v>
      </c>
      <c r="F49" s="1851" t="s">
        <v>2300</v>
      </c>
      <c r="G49" s="1851" t="s">
        <v>2301</v>
      </c>
      <c r="H49" s="1851" t="s">
        <v>28</v>
      </c>
      <c r="I49" s="1851" t="s">
        <v>917</v>
      </c>
    </row>
    <row customHeight="1" ht="11.25">
      <c r="A50" s="1851" t="s">
        <v>2263</v>
      </c>
      <c r="B50" s="1851" t="s">
        <v>16</v>
      </c>
      <c r="C50" s="1851" t="s">
        <v>28</v>
      </c>
      <c r="D50" s="1851" t="s">
        <v>2302</v>
      </c>
      <c r="E50" s="1851" t="s">
        <v>2303</v>
      </c>
      <c r="F50" s="1851" t="s">
        <v>54</v>
      </c>
      <c r="G50" s="1851" t="s">
        <v>28</v>
      </c>
      <c r="H50" s="1851" t="s">
        <v>28</v>
      </c>
      <c r="I50" s="1851" t="s">
        <v>917</v>
      </c>
    </row>
    <row customHeight="1" ht="11.25">
      <c r="A51" s="1851" t="s">
        <v>2263</v>
      </c>
      <c r="B51" s="1851" t="s">
        <v>16</v>
      </c>
      <c r="C51" s="1851" t="s">
        <v>2326</v>
      </c>
      <c r="D51" s="1851" t="s">
        <v>2327</v>
      </c>
      <c r="E51" s="1851" t="s">
        <v>2328</v>
      </c>
      <c r="F51" s="1851" t="s">
        <v>2329</v>
      </c>
      <c r="G51" s="1851" t="s">
        <v>28</v>
      </c>
      <c r="H51" s="1851" t="s">
        <v>28</v>
      </c>
      <c r="I51" s="1851" t="s">
        <v>1635</v>
      </c>
    </row>
    <row customHeight="1" ht="11.25">
      <c r="A52" s="1851" t="s">
        <v>2263</v>
      </c>
      <c r="B52" s="1851" t="s">
        <v>16</v>
      </c>
      <c r="C52" s="1851" t="s">
        <v>2330</v>
      </c>
      <c r="D52" s="1851" t="s">
        <v>2331</v>
      </c>
      <c r="E52" s="1851" t="s">
        <v>2332</v>
      </c>
      <c r="F52" s="1851" t="s">
        <v>586</v>
      </c>
      <c r="G52" s="1851" t="s">
        <v>2333</v>
      </c>
      <c r="H52" s="1851" t="s">
        <v>28</v>
      </c>
      <c r="I52" s="1851" t="s">
        <v>1635</v>
      </c>
    </row>
    <row customHeight="1" ht="11.25">
      <c r="A53" s="1851" t="s">
        <v>2263</v>
      </c>
      <c r="B53" s="1851" t="s">
        <v>16</v>
      </c>
      <c r="C53" s="1851" t="s">
        <v>2274</v>
      </c>
      <c r="D53" s="1851" t="s">
        <v>2275</v>
      </c>
      <c r="E53" s="1851" t="s">
        <v>2276</v>
      </c>
      <c r="F53" s="1851" t="s">
        <v>54</v>
      </c>
      <c r="G53" s="1851" t="s">
        <v>28</v>
      </c>
      <c r="H53" s="1851" t="s">
        <v>28</v>
      </c>
      <c r="I53" s="1851" t="s">
        <v>1635</v>
      </c>
    </row>
    <row customHeight="1" ht="11.25">
      <c r="A54" s="1851" t="s">
        <v>2263</v>
      </c>
      <c r="B54" s="1851" t="s">
        <v>16</v>
      </c>
      <c r="C54" s="1851" t="s">
        <v>2334</v>
      </c>
      <c r="D54" s="1851" t="s">
        <v>2335</v>
      </c>
      <c r="E54" s="1851" t="s">
        <v>2336</v>
      </c>
      <c r="F54" s="1851" t="s">
        <v>54</v>
      </c>
      <c r="G54" s="1851" t="s">
        <v>2337</v>
      </c>
      <c r="H54" s="1851" t="s">
        <v>28</v>
      </c>
      <c r="I54" s="1851" t="s">
        <v>1635</v>
      </c>
    </row>
    <row customHeight="1" ht="11.25">
      <c r="A55" s="1851" t="s">
        <v>2263</v>
      </c>
      <c r="B55" s="1851" t="s">
        <v>16</v>
      </c>
      <c r="C55" s="1851" t="s">
        <v>2338</v>
      </c>
      <c r="D55" s="1851" t="s">
        <v>2339</v>
      </c>
      <c r="E55" s="1851" t="s">
        <v>2340</v>
      </c>
      <c r="F55" s="1851" t="s">
        <v>54</v>
      </c>
      <c r="G55" s="1851" t="s">
        <v>28</v>
      </c>
      <c r="H55" s="1851" t="s">
        <v>28</v>
      </c>
      <c r="I55" s="1851" t="s">
        <v>1635</v>
      </c>
    </row>
    <row customHeight="1" ht="11.25">
      <c r="A56" s="1851" t="s">
        <v>2263</v>
      </c>
      <c r="B56" s="1851" t="s">
        <v>16</v>
      </c>
      <c r="C56" s="1851" t="s">
        <v>28</v>
      </c>
      <c r="D56" s="1851" t="s">
        <v>2302</v>
      </c>
      <c r="E56" s="1851" t="s">
        <v>2303</v>
      </c>
      <c r="F56" s="1851" t="s">
        <v>54</v>
      </c>
      <c r="G56" s="1851" t="s">
        <v>28</v>
      </c>
      <c r="H56" s="1851" t="s">
        <v>28</v>
      </c>
      <c r="I56" s="1851" t="s">
        <v>1635</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78F5E74-E08F-57A6-7D16-0.5B5F809D}" mc:Ignorable="x14ac xr xr2 xr3">
  <sheetPr>
    <tabColor rgb="FFFFCC99"/>
  </sheetPr>
  <dimension ref="A1:G23"/>
  <sheetViews>
    <sheetView topLeftCell="A1" showGridLines="0" workbookViewId="0">
      <selection activeCell="A1" sqref="A1"/>
    </sheetView>
  </sheetViews>
  <sheetFormatPr customHeight="1" defaultRowHeight="11.25"/>
  <cols>
    <col min="1" max="1" style="1851" width="9.140625"/>
  </cols>
  <sheetData>
    <row customHeight="1" ht="11.25">
      <c r="A1" s="374" t="s">
        <v>2341</v>
      </c>
      <c r="B1" s="65" t="s">
        <v>2342</v>
      </c>
      <c r="C1" s="65" t="s">
        <v>2343</v>
      </c>
      <c r="D1" s="65" t="s">
        <v>2344</v>
      </c>
      <c r="E1" s="61" t="s">
        <v>2345</v>
      </c>
      <c r="F1" s="61" t="s">
        <v>2346</v>
      </c>
      <c r="G1" s="61" t="s">
        <v>2347</v>
      </c>
    </row>
    <row customHeight="1" ht="11.25">
      <c r="A2" s="374" t="s">
        <v>16</v>
      </c>
      <c r="B2" s="0" t="s">
        <v>102</v>
      </c>
      <c r="C2" s="0" t="s">
        <v>2348</v>
      </c>
      <c r="D2" s="0" t="s">
        <v>102</v>
      </c>
      <c r="E2" s="0" t="s">
        <v>2348</v>
      </c>
      <c r="F2" s="0" t="s">
        <v>2349</v>
      </c>
      <c r="G2" s="0" t="s">
        <v>112</v>
      </c>
    </row>
    <row customHeight="1" ht="11.25">
      <c r="A3" s="374" t="s">
        <v>16</v>
      </c>
      <c r="B3" s="0" t="s">
        <v>102</v>
      </c>
      <c r="C3" s="0" t="s">
        <v>2348</v>
      </c>
      <c r="D3" s="0" t="s">
        <v>2350</v>
      </c>
      <c r="E3" s="0" t="s">
        <v>2351</v>
      </c>
      <c r="F3" s="0" t="s">
        <v>2352</v>
      </c>
      <c r="G3" s="0" t="s">
        <v>113</v>
      </c>
    </row>
    <row customHeight="1" ht="11.25">
      <c r="A4" s="374" t="s">
        <v>16</v>
      </c>
      <c r="B4" s="0" t="s">
        <v>102</v>
      </c>
      <c r="C4" s="0" t="s">
        <v>2348</v>
      </c>
      <c r="D4" s="0" t="s">
        <v>2353</v>
      </c>
      <c r="E4" s="0" t="s">
        <v>2354</v>
      </c>
      <c r="F4" s="0" t="s">
        <v>2352</v>
      </c>
      <c r="G4" s="0" t="s">
        <v>92</v>
      </c>
    </row>
    <row customHeight="1" ht="11.25">
      <c r="A5" s="374" t="s">
        <v>16</v>
      </c>
      <c r="B5" s="0" t="s">
        <v>102</v>
      </c>
      <c r="C5" s="0" t="s">
        <v>2348</v>
      </c>
      <c r="D5" s="0" t="s">
        <v>2355</v>
      </c>
      <c r="E5" s="0" t="s">
        <v>2356</v>
      </c>
      <c r="F5" s="0" t="s">
        <v>2352</v>
      </c>
      <c r="G5" s="0" t="s">
        <v>93</v>
      </c>
    </row>
    <row customHeight="1" ht="11.25">
      <c r="A6" s="374" t="s">
        <v>16</v>
      </c>
      <c r="B6" s="0" t="s">
        <v>102</v>
      </c>
      <c r="C6" s="0" t="s">
        <v>2348</v>
      </c>
      <c r="D6" s="0" t="s">
        <v>2357</v>
      </c>
      <c r="E6" s="0" t="s">
        <v>2358</v>
      </c>
      <c r="F6" s="0" t="s">
        <v>2352</v>
      </c>
      <c r="G6" s="0" t="s">
        <v>114</v>
      </c>
    </row>
    <row customHeight="1" ht="11.25">
      <c r="A7" s="374" t="s">
        <v>16</v>
      </c>
      <c r="B7" s="0" t="s">
        <v>102</v>
      </c>
      <c r="C7" s="0" t="s">
        <v>2348</v>
      </c>
      <c r="D7" s="0" t="s">
        <v>2359</v>
      </c>
      <c r="E7" s="0" t="s">
        <v>2360</v>
      </c>
      <c r="F7" s="0" t="s">
        <v>2352</v>
      </c>
      <c r="G7" s="0" t="s">
        <v>94</v>
      </c>
    </row>
    <row customHeight="1" ht="11.25">
      <c r="A8" s="374" t="s">
        <v>16</v>
      </c>
      <c r="B8" s="0" t="s">
        <v>102</v>
      </c>
      <c r="C8" s="0" t="s">
        <v>2348</v>
      </c>
      <c r="D8" s="0" t="s">
        <v>2361</v>
      </c>
      <c r="E8" s="0" t="s">
        <v>2362</v>
      </c>
      <c r="F8" s="0" t="s">
        <v>2352</v>
      </c>
      <c r="G8" s="0" t="s">
        <v>95</v>
      </c>
    </row>
    <row customHeight="1" ht="11.25">
      <c r="A9" s="374" t="s">
        <v>16</v>
      </c>
      <c r="B9" s="0" t="s">
        <v>102</v>
      </c>
      <c r="C9" s="0" t="s">
        <v>2348</v>
      </c>
      <c r="D9" s="0" t="s">
        <v>2363</v>
      </c>
      <c r="E9" s="0" t="s">
        <v>2364</v>
      </c>
      <c r="F9" s="0" t="s">
        <v>2352</v>
      </c>
      <c r="G9" s="0" t="s">
        <v>115</v>
      </c>
    </row>
    <row customHeight="1" ht="11.25">
      <c r="A10" s="374" t="s">
        <v>16</v>
      </c>
      <c r="B10" s="0" t="s">
        <v>102</v>
      </c>
      <c r="C10" s="0" t="s">
        <v>2348</v>
      </c>
      <c r="D10" s="0" t="s">
        <v>2365</v>
      </c>
      <c r="E10" s="0" t="s">
        <v>2366</v>
      </c>
      <c r="F10" s="0" t="s">
        <v>2367</v>
      </c>
      <c r="G10" s="0" t="s">
        <v>151</v>
      </c>
    </row>
    <row customHeight="1" ht="11.25">
      <c r="A11" s="374" t="s">
        <v>16</v>
      </c>
      <c r="B11" s="0" t="s">
        <v>102</v>
      </c>
      <c r="C11" s="0" t="s">
        <v>2348</v>
      </c>
      <c r="D11" s="0" t="s">
        <v>2368</v>
      </c>
      <c r="E11" s="0" t="s">
        <v>2369</v>
      </c>
      <c r="F11" s="0" t="s">
        <v>2352</v>
      </c>
      <c r="G11" s="0" t="s">
        <v>152</v>
      </c>
    </row>
    <row customHeight="1" ht="11.25">
      <c r="A12" s="374" t="s">
        <v>16</v>
      </c>
      <c r="B12" s="0" t="s">
        <v>102</v>
      </c>
      <c r="C12" s="0" t="s">
        <v>2348</v>
      </c>
      <c r="D12" s="0" t="s">
        <v>2370</v>
      </c>
      <c r="E12" s="0" t="s">
        <v>2371</v>
      </c>
      <c r="F12" s="0" t="s">
        <v>2352</v>
      </c>
      <c r="G12" s="0" t="s">
        <v>153</v>
      </c>
    </row>
    <row customHeight="1" ht="11.25">
      <c r="A13" s="374" t="s">
        <v>16</v>
      </c>
      <c r="B13" s="0" t="s">
        <v>102</v>
      </c>
      <c r="C13" s="0" t="s">
        <v>2348</v>
      </c>
      <c r="D13" s="0" t="s">
        <v>2372</v>
      </c>
      <c r="E13" s="0" t="s">
        <v>2373</v>
      </c>
      <c r="F13" s="0" t="s">
        <v>2352</v>
      </c>
      <c r="G13" s="0" t="s">
        <v>154</v>
      </c>
    </row>
    <row customHeight="1" ht="11.25">
      <c r="A14" s="374" t="s">
        <v>16</v>
      </c>
      <c r="B14" s="0" t="s">
        <v>102</v>
      </c>
      <c r="C14" s="0" t="s">
        <v>2348</v>
      </c>
      <c r="D14" s="0" t="s">
        <v>2374</v>
      </c>
      <c r="E14" s="0" t="s">
        <v>2375</v>
      </c>
      <c r="F14" s="0" t="s">
        <v>2352</v>
      </c>
      <c r="G14" s="0" t="s">
        <v>155</v>
      </c>
    </row>
    <row customHeight="1" ht="11.25">
      <c r="A15" s="374" t="s">
        <v>16</v>
      </c>
      <c r="B15" s="0" t="s">
        <v>102</v>
      </c>
      <c r="C15" s="0" t="s">
        <v>2348</v>
      </c>
      <c r="D15" s="0" t="s">
        <v>2376</v>
      </c>
      <c r="E15" s="0" t="s">
        <v>2377</v>
      </c>
      <c r="F15" s="0" t="s">
        <v>2352</v>
      </c>
      <c r="G15" s="0" t="s">
        <v>156</v>
      </c>
    </row>
    <row customHeight="1" ht="11.25">
      <c r="A16" s="374" t="s">
        <v>16</v>
      </c>
      <c r="B16" s="0" t="s">
        <v>102</v>
      </c>
      <c r="C16" s="0" t="s">
        <v>2348</v>
      </c>
      <c r="D16" s="0" t="s">
        <v>103</v>
      </c>
      <c r="E16" s="0" t="s">
        <v>104</v>
      </c>
      <c r="F16" s="0" t="s">
        <v>2378</v>
      </c>
      <c r="G16" s="0" t="s">
        <v>101</v>
      </c>
    </row>
    <row customHeight="1" ht="11.25">
      <c r="A17" s="374" t="s">
        <v>16</v>
      </c>
      <c r="B17" s="0" t="s">
        <v>102</v>
      </c>
      <c r="C17" s="0" t="s">
        <v>2348</v>
      </c>
      <c r="D17" s="0" t="s">
        <v>2379</v>
      </c>
      <c r="E17" s="0" t="s">
        <v>2380</v>
      </c>
      <c r="F17" s="0" t="s">
        <v>2352</v>
      </c>
      <c r="G17" s="0" t="s">
        <v>1486</v>
      </c>
    </row>
    <row customHeight="1" ht="11.25">
      <c r="A18" s="374" t="s">
        <v>16</v>
      </c>
      <c r="B18" s="0" t="s">
        <v>102</v>
      </c>
      <c r="C18" s="0" t="s">
        <v>2348</v>
      </c>
      <c r="D18" s="0" t="s">
        <v>2381</v>
      </c>
      <c r="E18" s="0" t="s">
        <v>2382</v>
      </c>
      <c r="F18" s="0" t="s">
        <v>2352</v>
      </c>
      <c r="G18" s="0" t="s">
        <v>1498</v>
      </c>
    </row>
    <row customHeight="1" ht="11.25">
      <c r="A19" s="374" t="s">
        <v>16</v>
      </c>
      <c r="B19" s="0" t="s">
        <v>102</v>
      </c>
      <c r="C19" s="0" t="s">
        <v>2348</v>
      </c>
      <c r="D19" s="0" t="s">
        <v>2383</v>
      </c>
      <c r="E19" s="0" t="s">
        <v>2384</v>
      </c>
      <c r="F19" s="0" t="s">
        <v>2352</v>
      </c>
      <c r="G19" s="0" t="s">
        <v>1512</v>
      </c>
    </row>
    <row customHeight="1" ht="11.25">
      <c r="A20" s="374" t="s">
        <v>16</v>
      </c>
      <c r="B20" s="0" t="s">
        <v>102</v>
      </c>
      <c r="C20" s="0" t="s">
        <v>2348</v>
      </c>
      <c r="D20" s="0" t="s">
        <v>2385</v>
      </c>
      <c r="E20" s="0" t="s">
        <v>2386</v>
      </c>
      <c r="F20" s="0" t="s">
        <v>2352</v>
      </c>
      <c r="G20" s="0" t="s">
        <v>1524</v>
      </c>
    </row>
    <row customHeight="1" ht="11.25">
      <c r="A21" s="374" t="s">
        <v>16</v>
      </c>
      <c r="B21" s="0" t="s">
        <v>102</v>
      </c>
      <c r="C21" s="0" t="s">
        <v>2348</v>
      </c>
      <c r="D21" s="0" t="s">
        <v>2387</v>
      </c>
      <c r="E21" s="0" t="s">
        <v>2388</v>
      </c>
      <c r="F21" s="0" t="s">
        <v>2352</v>
      </c>
      <c r="G21" s="0" t="s">
        <v>1533</v>
      </c>
    </row>
    <row customHeight="1" ht="11.25">
      <c r="A22" s="374" t="s">
        <v>16</v>
      </c>
      <c r="B22" s="0" t="s">
        <v>102</v>
      </c>
      <c r="C22" s="0" t="s">
        <v>2348</v>
      </c>
      <c r="D22" s="0" t="s">
        <v>2389</v>
      </c>
      <c r="E22" s="0" t="s">
        <v>2390</v>
      </c>
      <c r="F22" s="0" t="s">
        <v>2352</v>
      </c>
      <c r="G22" s="0" t="s">
        <v>1549</v>
      </c>
    </row>
    <row customHeight="1" ht="11.25">
      <c r="A23" s="374" t="s">
        <v>16</v>
      </c>
      <c r="B23" s="0" t="s">
        <v>2391</v>
      </c>
      <c r="C23" s="0" t="s">
        <v>2392</v>
      </c>
      <c r="D23" s="0" t="s">
        <v>2391</v>
      </c>
      <c r="E23" s="0" t="s">
        <v>2392</v>
      </c>
      <c r="F23" s="0" t="s">
        <v>2393</v>
      </c>
      <c r="G23" s="0" t="s">
        <v>1556</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16469B2-A401-50B3-066F-0.22C7D983}" mc:Ignorable="x14ac xr xr2 xr3">
  <sheetPr>
    <tabColor rgb="FFFFCC99"/>
  </sheetPr>
  <dimension ref="A1:I5"/>
  <sheetViews>
    <sheetView topLeftCell="A1" showGridLines="0" workbookViewId="0">
      <selection activeCell="A1" sqref="A1"/>
    </sheetView>
  </sheetViews>
  <sheetFormatPr defaultColWidth="9.140625" customHeight="1" defaultRowHeight="11.25"/>
  <cols>
    <col min="1" max="1" style="1692" width="13.8515625" customWidth="1"/>
    <col min="2" max="2" style="1692" width="10.421875" customWidth="1"/>
    <col min="3" max="3" style="1692" width="7.57421875" customWidth="1"/>
    <col min="4" max="4" style="1692" width="13.8515625" customWidth="1"/>
    <col min="5" max="5" style="1692" width="11.57421875" customWidth="1"/>
    <col min="6" max="6" style="1692" width="16.28125" customWidth="1"/>
    <col min="7" max="7" style="1692" width="16.00390625" customWidth="1"/>
    <col min="8" max="9" style="1692" width="16.140625" customWidth="1"/>
  </cols>
  <sheetData>
    <row customHeight="1" ht="11.25">
      <c r="A1" s="836" t="s">
        <v>2394</v>
      </c>
      <c r="B1" s="836" t="s">
        <v>2395</v>
      </c>
      <c r="C1" s="1160" t="s">
        <v>2396</v>
      </c>
      <c r="D1" s="836" t="s">
        <v>2397</v>
      </c>
      <c r="E1" s="836" t="s">
        <v>2398</v>
      </c>
      <c r="F1" s="1160" t="s">
        <v>2399</v>
      </c>
      <c r="G1" s="1160" t="s">
        <v>2400</v>
      </c>
      <c r="H1" s="1160" t="s">
        <v>2401</v>
      </c>
      <c r="I1" s="1160" t="s">
        <v>2402</v>
      </c>
    </row>
    <row customHeight="1" ht="11.25">
      <c r="A2" s="1692" t="s">
        <v>112</v>
      </c>
      <c r="B2" s="1692" t="s">
        <v>2403</v>
      </c>
      <c r="C2" s="1692" t="s">
        <v>28</v>
      </c>
      <c r="D2" s="1692" t="s">
        <v>2404</v>
      </c>
      <c r="E2" s="1692" t="s">
        <v>2405</v>
      </c>
      <c r="F2" s="1692" t="s">
        <v>28</v>
      </c>
      <c r="G2" s="1692" t="s">
        <v>28</v>
      </c>
      <c r="H2" s="1692" t="s">
        <v>28</v>
      </c>
      <c r="I2" s="1692" t="s">
        <v>28</v>
      </c>
    </row>
    <row customHeight="1" ht="11.25">
      <c r="A3" s="1692" t="s">
        <v>113</v>
      </c>
      <c r="B3" s="1692" t="s">
        <v>2406</v>
      </c>
      <c r="C3" s="1692" t="s">
        <v>28</v>
      </c>
      <c r="D3" s="1692" t="s">
        <v>2407</v>
      </c>
      <c r="E3" s="1692" t="s">
        <v>2405</v>
      </c>
      <c r="F3" s="1692" t="s">
        <v>28</v>
      </c>
      <c r="G3" s="1692" t="s">
        <v>28</v>
      </c>
      <c r="H3" s="1692" t="s">
        <v>28</v>
      </c>
      <c r="I3" s="1692" t="s">
        <v>28</v>
      </c>
    </row>
    <row customHeight="1" ht="11.25">
      <c r="A4" s="1692" t="s">
        <v>92</v>
      </c>
      <c r="B4" s="1692" t="s">
        <v>2408</v>
      </c>
      <c r="C4" s="1692" t="s">
        <v>28</v>
      </c>
      <c r="D4" s="1692" t="s">
        <v>2409</v>
      </c>
      <c r="E4" s="1692" t="s">
        <v>2405</v>
      </c>
      <c r="F4" s="1692" t="s">
        <v>28</v>
      </c>
      <c r="G4" s="1692" t="s">
        <v>28</v>
      </c>
      <c r="H4" s="1692" t="s">
        <v>28</v>
      </c>
      <c r="I4" s="1692" t="s">
        <v>28</v>
      </c>
    </row>
    <row customHeight="1" ht="11.25">
      <c r="A5" s="1692" t="s">
        <v>93</v>
      </c>
      <c r="B5" s="1692" t="s">
        <v>2410</v>
      </c>
      <c r="C5" s="1692" t="s">
        <v>28</v>
      </c>
      <c r="D5" s="1692" t="s">
        <v>2411</v>
      </c>
      <c r="E5" s="1692" t="s">
        <v>2412</v>
      </c>
      <c r="F5" s="1692" t="s">
        <v>28</v>
      </c>
      <c r="G5" s="1692" t="s">
        <v>28</v>
      </c>
      <c r="H5" s="1692" t="s">
        <v>28</v>
      </c>
      <c r="I5" s="1692" t="s">
        <v>28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29427D9-A068-4BBD-37CB-0.45788991}"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471C4A6-3BD6-3BE8-5C23-0.C06CF155}"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84" width="9.140625"/>
  </cols>
  <sheetData>
    <row customHeight="1" ht="11.25">
      <c r="A1" s="184" t="s">
        <v>133</v>
      </c>
      <c r="B1" s="184" t="s">
        <v>2413</v>
      </c>
    </row>
    <row customHeight="1" ht="11.25">
      <c r="A2" s="184" t="s">
        <v>100</v>
      </c>
      <c r="B2" s="184" t="s">
        <v>2414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4D6BE83-CD9E-1FD1-2F28-0.EAE15412}"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2" width="9.140625"/>
    <col min="2" max="2" style="1692" width="65.28125" customWidth="1"/>
  </cols>
  <sheetData>
    <row customHeight="1" ht="11.25">
      <c r="A1" s="836" t="s">
        <v>2415</v>
      </c>
      <c r="B1" s="836" t="s">
        <v>2416</v>
      </c>
    </row>
    <row customHeight="1" ht="11.25">
      <c r="A2" s="836">
        <v>4213775</v>
      </c>
      <c r="B2" s="836" t="s">
        <v>1239</v>
      </c>
    </row>
    <row customHeight="1" ht="11.25">
      <c r="A3" s="836">
        <v>4213784</v>
      </c>
      <c r="B3" s="836" t="s">
        <v>1273</v>
      </c>
    </row>
    <row customHeight="1" ht="11.25">
      <c r="A4" s="836">
        <v>4213781</v>
      </c>
      <c r="B4" s="836" t="s">
        <v>1266</v>
      </c>
    </row>
    <row customHeight="1" ht="11.25">
      <c r="A5" s="836">
        <v>4213776</v>
      </c>
      <c r="B5" s="836" t="s">
        <v>169</v>
      </c>
    </row>
    <row customHeight="1" ht="11.25">
      <c r="A6" s="836">
        <v>4213777</v>
      </c>
      <c r="B6" s="836" t="s">
        <v>175</v>
      </c>
    </row>
    <row customHeight="1" ht="11.25">
      <c r="A7" s="836">
        <v>4213778</v>
      </c>
      <c r="B7" s="836" t="s">
        <v>181</v>
      </c>
    </row>
    <row customHeight="1" ht="11.25">
      <c r="A8" s="836">
        <v>4213780</v>
      </c>
      <c r="B8" s="836" t="s">
        <v>187</v>
      </c>
    </row>
    <row customHeight="1" ht="11.25">
      <c r="A9" s="836">
        <v>4213779</v>
      </c>
      <c r="B9" s="836" t="s">
        <v>1406</v>
      </c>
    </row>
    <row customHeight="1" ht="11.25">
      <c r="A10" s="836">
        <v>4213783</v>
      </c>
      <c r="B10" s="836" t="s">
        <v>1421</v>
      </c>
    </row>
    <row customHeight="1" ht="11.25">
      <c r="A11" s="836">
        <v>4213782</v>
      </c>
      <c r="B11" s="836" t="s">
        <v>193</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988E80A-5F65-45CD-A325-0.4D6E9DB4}" mc:Ignorable="x14ac xr xr2 xr3">
  <sheetPr>
    <tabColor rgb="FFFFCC99"/>
  </sheetPr>
  <dimension ref="A1:B8"/>
  <sheetViews>
    <sheetView topLeftCell="A1" showGridLines="0" workbookViewId="0">
      <selection activeCell="A1" sqref="A1"/>
    </sheetView>
  </sheetViews>
  <sheetFormatPr defaultColWidth="9.140625" customHeight="1" defaultRowHeight="11.25"/>
  <cols>
    <col min="1" max="1" style="1692" width="9.140625"/>
    <col min="2" max="2" style="1692" width="65.28125" customWidth="1"/>
  </cols>
  <sheetData>
    <row customHeight="1" ht="11.25">
      <c r="A1" s="836" t="s">
        <v>2415</v>
      </c>
      <c r="B1" s="836" t="s">
        <v>2417</v>
      </c>
    </row>
    <row customHeight="1" ht="11.25">
      <c r="A2" s="836" t="s">
        <v>2418</v>
      </c>
      <c r="B2" s="836" t="s">
        <v>1519</v>
      </c>
    </row>
    <row customHeight="1" ht="11.25">
      <c r="A3" s="836" t="s">
        <v>2419</v>
      </c>
      <c r="B3" s="836" t="s">
        <v>1529</v>
      </c>
    </row>
    <row customHeight="1" ht="11.25">
      <c r="A4" s="836" t="s">
        <v>2420</v>
      </c>
      <c r="B4" s="836" t="s">
        <v>1538</v>
      </c>
    </row>
    <row customHeight="1" ht="11.25">
      <c r="A5" s="836" t="s">
        <v>2421</v>
      </c>
      <c r="B5" s="836" t="s">
        <v>1547</v>
      </c>
    </row>
    <row customHeight="1" ht="11.25">
      <c r="A6" s="836" t="s">
        <v>2422</v>
      </c>
      <c r="B6" s="836" t="s">
        <v>1553</v>
      </c>
    </row>
    <row customHeight="1" ht="11.25">
      <c r="A7" s="836" t="s">
        <v>2423</v>
      </c>
      <c r="B7" s="836" t="s">
        <v>1561</v>
      </c>
    </row>
    <row customHeight="1" ht="11.25">
      <c r="A8" s="836" t="s">
        <v>2424</v>
      </c>
      <c r="B8" s="836" t="s">
        <v>1568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29FCBC8-55E4-2B9E-8449-0.E52F16E4}" mc:Ignorable="x14ac xr xr2 xr3">
  <sheetPr>
    <tabColor rgb="FFFFCC99"/>
  </sheetPr>
  <dimension ref="A1:G23"/>
  <sheetViews>
    <sheetView topLeftCell="A1" showGridLines="0" workbookViewId="0">
      <selection activeCell="A1" sqref="A1"/>
    </sheetView>
  </sheetViews>
  <sheetFormatPr customHeight="1" defaultRowHeight="11.25"/>
  <sheetData>
    <row customHeight="1" ht="11.25">
      <c r="A1" s="374" t="s">
        <v>2341</v>
      </c>
      <c r="B1" s="374" t="s">
        <v>2342</v>
      </c>
      <c r="C1" s="374" t="s">
        <v>2343</v>
      </c>
      <c r="D1" s="374" t="s">
        <v>2344</v>
      </c>
      <c r="E1" s="0" t="s">
        <v>2345</v>
      </c>
      <c r="F1" s="0" t="s">
        <v>2346</v>
      </c>
      <c r="G1" s="0" t="s">
        <v>2347</v>
      </c>
    </row>
    <row customHeight="1" ht="11.25">
      <c r="A2" s="0" t="s">
        <v>16</v>
      </c>
      <c r="B2" s="0" t="s">
        <v>102</v>
      </c>
      <c r="C2" s="0" t="s">
        <v>2348</v>
      </c>
      <c r="D2" s="0" t="s">
        <v>102</v>
      </c>
      <c r="E2" s="0" t="s">
        <v>2348</v>
      </c>
      <c r="F2" s="0" t="s">
        <v>2349</v>
      </c>
      <c r="G2" s="0" t="s">
        <v>112</v>
      </c>
    </row>
    <row customHeight="1" ht="11.25">
      <c r="A3" s="0" t="s">
        <v>16</v>
      </c>
      <c r="B3" s="0" t="s">
        <v>102</v>
      </c>
      <c r="C3" s="0" t="s">
        <v>2348</v>
      </c>
      <c r="D3" s="0" t="s">
        <v>2350</v>
      </c>
      <c r="E3" s="0" t="s">
        <v>2351</v>
      </c>
      <c r="F3" s="0" t="s">
        <v>2352</v>
      </c>
      <c r="G3" s="0" t="s">
        <v>113</v>
      </c>
    </row>
    <row customHeight="1" ht="11.25">
      <c r="A4" s="0" t="s">
        <v>16</v>
      </c>
      <c r="B4" s="0" t="s">
        <v>102</v>
      </c>
      <c r="C4" s="0" t="s">
        <v>2348</v>
      </c>
      <c r="D4" s="0" t="s">
        <v>2353</v>
      </c>
      <c r="E4" s="0" t="s">
        <v>2354</v>
      </c>
      <c r="F4" s="0" t="s">
        <v>2352</v>
      </c>
      <c r="G4" s="0" t="s">
        <v>92</v>
      </c>
    </row>
    <row customHeight="1" ht="11.25">
      <c r="A5" s="0" t="s">
        <v>16</v>
      </c>
      <c r="B5" s="0" t="s">
        <v>102</v>
      </c>
      <c r="C5" s="0" t="s">
        <v>2348</v>
      </c>
      <c r="D5" s="0" t="s">
        <v>2355</v>
      </c>
      <c r="E5" s="0" t="s">
        <v>2356</v>
      </c>
      <c r="F5" s="0" t="s">
        <v>2352</v>
      </c>
      <c r="G5" s="0" t="s">
        <v>93</v>
      </c>
    </row>
    <row customHeight="1" ht="11.25">
      <c r="A6" s="0" t="s">
        <v>16</v>
      </c>
      <c r="B6" s="0" t="s">
        <v>102</v>
      </c>
      <c r="C6" s="0" t="s">
        <v>2348</v>
      </c>
      <c r="D6" s="0" t="s">
        <v>2357</v>
      </c>
      <c r="E6" s="0" t="s">
        <v>2358</v>
      </c>
      <c r="F6" s="0" t="s">
        <v>2352</v>
      </c>
      <c r="G6" s="0" t="s">
        <v>114</v>
      </c>
    </row>
    <row customHeight="1" ht="11.25">
      <c r="A7" s="0" t="s">
        <v>16</v>
      </c>
      <c r="B7" s="0" t="s">
        <v>102</v>
      </c>
      <c r="C7" s="0" t="s">
        <v>2348</v>
      </c>
      <c r="D7" s="0" t="s">
        <v>2359</v>
      </c>
      <c r="E7" s="0" t="s">
        <v>2360</v>
      </c>
      <c r="F7" s="0" t="s">
        <v>2352</v>
      </c>
      <c r="G7" s="0" t="s">
        <v>94</v>
      </c>
    </row>
    <row customHeight="1" ht="11.25">
      <c r="A8" s="0" t="s">
        <v>16</v>
      </c>
      <c r="B8" s="0" t="s">
        <v>102</v>
      </c>
      <c r="C8" s="0" t="s">
        <v>2348</v>
      </c>
      <c r="D8" s="0" t="s">
        <v>2361</v>
      </c>
      <c r="E8" s="0" t="s">
        <v>2362</v>
      </c>
      <c r="F8" s="0" t="s">
        <v>2352</v>
      </c>
      <c r="G8" s="0" t="s">
        <v>95</v>
      </c>
    </row>
    <row customHeight="1" ht="11.25">
      <c r="A9" s="0" t="s">
        <v>16</v>
      </c>
      <c r="B9" s="0" t="s">
        <v>102</v>
      </c>
      <c r="C9" s="0" t="s">
        <v>2348</v>
      </c>
      <c r="D9" s="0" t="s">
        <v>2363</v>
      </c>
      <c r="E9" s="0" t="s">
        <v>2364</v>
      </c>
      <c r="F9" s="0" t="s">
        <v>2352</v>
      </c>
      <c r="G9" s="0" t="s">
        <v>115</v>
      </c>
    </row>
    <row customHeight="1" ht="11.25">
      <c r="A10" s="0" t="s">
        <v>16</v>
      </c>
      <c r="B10" s="0" t="s">
        <v>102</v>
      </c>
      <c r="C10" s="0" t="s">
        <v>2348</v>
      </c>
      <c r="D10" s="0" t="s">
        <v>2365</v>
      </c>
      <c r="E10" s="0" t="s">
        <v>2366</v>
      </c>
      <c r="F10" s="0" t="s">
        <v>2367</v>
      </c>
      <c r="G10" s="0" t="s">
        <v>151</v>
      </c>
    </row>
    <row customHeight="1" ht="11.25">
      <c r="A11" s="0" t="s">
        <v>16</v>
      </c>
      <c r="B11" s="0" t="s">
        <v>102</v>
      </c>
      <c r="C11" s="0" t="s">
        <v>2348</v>
      </c>
      <c r="D11" s="0" t="s">
        <v>2368</v>
      </c>
      <c r="E11" s="0" t="s">
        <v>2369</v>
      </c>
      <c r="F11" s="0" t="s">
        <v>2352</v>
      </c>
      <c r="G11" s="0" t="s">
        <v>152</v>
      </c>
    </row>
    <row customHeight="1" ht="11.25">
      <c r="A12" s="0" t="s">
        <v>16</v>
      </c>
      <c r="B12" s="0" t="s">
        <v>102</v>
      </c>
      <c r="C12" s="0" t="s">
        <v>2348</v>
      </c>
      <c r="D12" s="0" t="s">
        <v>2370</v>
      </c>
      <c r="E12" s="0" t="s">
        <v>2371</v>
      </c>
      <c r="F12" s="0" t="s">
        <v>2352</v>
      </c>
      <c r="G12" s="0" t="s">
        <v>153</v>
      </c>
    </row>
    <row customHeight="1" ht="11.25">
      <c r="A13" s="0" t="s">
        <v>16</v>
      </c>
      <c r="B13" s="0" t="s">
        <v>102</v>
      </c>
      <c r="C13" s="0" t="s">
        <v>2348</v>
      </c>
      <c r="D13" s="0" t="s">
        <v>2372</v>
      </c>
      <c r="E13" s="0" t="s">
        <v>2373</v>
      </c>
      <c r="F13" s="0" t="s">
        <v>2352</v>
      </c>
      <c r="G13" s="0" t="s">
        <v>154</v>
      </c>
    </row>
    <row customHeight="1" ht="11.25">
      <c r="A14" s="0" t="s">
        <v>16</v>
      </c>
      <c r="B14" s="0" t="s">
        <v>102</v>
      </c>
      <c r="C14" s="0" t="s">
        <v>2348</v>
      </c>
      <c r="D14" s="0" t="s">
        <v>2374</v>
      </c>
      <c r="E14" s="0" t="s">
        <v>2375</v>
      </c>
      <c r="F14" s="0" t="s">
        <v>2352</v>
      </c>
      <c r="G14" s="0" t="s">
        <v>155</v>
      </c>
    </row>
    <row customHeight="1" ht="11.25">
      <c r="A15" s="0" t="s">
        <v>16</v>
      </c>
      <c r="B15" s="0" t="s">
        <v>102</v>
      </c>
      <c r="C15" s="0" t="s">
        <v>2348</v>
      </c>
      <c r="D15" s="0" t="s">
        <v>2376</v>
      </c>
      <c r="E15" s="0" t="s">
        <v>2377</v>
      </c>
      <c r="F15" s="0" t="s">
        <v>2352</v>
      </c>
      <c r="G15" s="0" t="s">
        <v>156</v>
      </c>
    </row>
    <row customHeight="1" ht="11.25">
      <c r="A16" s="0" t="s">
        <v>16</v>
      </c>
      <c r="B16" s="0" t="s">
        <v>102</v>
      </c>
      <c r="C16" s="0" t="s">
        <v>2348</v>
      </c>
      <c r="D16" s="0" t="s">
        <v>103</v>
      </c>
      <c r="E16" s="0" t="s">
        <v>104</v>
      </c>
      <c r="F16" s="0" t="s">
        <v>2378</v>
      </c>
      <c r="G16" s="0" t="s">
        <v>101</v>
      </c>
    </row>
    <row customHeight="1" ht="11.25">
      <c r="A17" s="0" t="s">
        <v>16</v>
      </c>
      <c r="B17" s="0" t="s">
        <v>102</v>
      </c>
      <c r="C17" s="0" t="s">
        <v>2348</v>
      </c>
      <c r="D17" s="0" t="s">
        <v>2379</v>
      </c>
      <c r="E17" s="0" t="s">
        <v>2380</v>
      </c>
      <c r="F17" s="0" t="s">
        <v>2352</v>
      </c>
      <c r="G17" s="0" t="s">
        <v>1486</v>
      </c>
    </row>
    <row customHeight="1" ht="11.25">
      <c r="A18" s="0" t="s">
        <v>16</v>
      </c>
      <c r="B18" s="0" t="s">
        <v>102</v>
      </c>
      <c r="C18" s="0" t="s">
        <v>2348</v>
      </c>
      <c r="D18" s="0" t="s">
        <v>2381</v>
      </c>
      <c r="E18" s="0" t="s">
        <v>2382</v>
      </c>
      <c r="F18" s="0" t="s">
        <v>2352</v>
      </c>
      <c r="G18" s="0" t="s">
        <v>1498</v>
      </c>
    </row>
    <row customHeight="1" ht="11.25">
      <c r="A19" s="0" t="s">
        <v>16</v>
      </c>
      <c r="B19" s="0" t="s">
        <v>102</v>
      </c>
      <c r="C19" s="0" t="s">
        <v>2348</v>
      </c>
      <c r="D19" s="0" t="s">
        <v>2383</v>
      </c>
      <c r="E19" s="0" t="s">
        <v>2384</v>
      </c>
      <c r="F19" s="0" t="s">
        <v>2352</v>
      </c>
      <c r="G19" s="0" t="s">
        <v>1512</v>
      </c>
    </row>
    <row customHeight="1" ht="11.25">
      <c r="A20" s="0" t="s">
        <v>16</v>
      </c>
      <c r="B20" s="0" t="s">
        <v>102</v>
      </c>
      <c r="C20" s="0" t="s">
        <v>2348</v>
      </c>
      <c r="D20" s="0" t="s">
        <v>2385</v>
      </c>
      <c r="E20" s="0" t="s">
        <v>2386</v>
      </c>
      <c r="F20" s="0" t="s">
        <v>2352</v>
      </c>
      <c r="G20" s="0" t="s">
        <v>1524</v>
      </c>
    </row>
    <row customHeight="1" ht="11.25">
      <c r="A21" s="0" t="s">
        <v>16</v>
      </c>
      <c r="B21" s="0" t="s">
        <v>102</v>
      </c>
      <c r="C21" s="0" t="s">
        <v>2348</v>
      </c>
      <c r="D21" s="0" t="s">
        <v>2387</v>
      </c>
      <c r="E21" s="0" t="s">
        <v>2388</v>
      </c>
      <c r="F21" s="0" t="s">
        <v>2352</v>
      </c>
      <c r="G21" s="0" t="s">
        <v>1533</v>
      </c>
    </row>
    <row customHeight="1" ht="11.25">
      <c r="A22" s="0" t="s">
        <v>16</v>
      </c>
      <c r="B22" s="0" t="s">
        <v>102</v>
      </c>
      <c r="C22" s="0" t="s">
        <v>2348</v>
      </c>
      <c r="D22" s="0" t="s">
        <v>2389</v>
      </c>
      <c r="E22" s="0" t="s">
        <v>2390</v>
      </c>
      <c r="F22" s="0" t="s">
        <v>2352</v>
      </c>
      <c r="G22" s="0" t="s">
        <v>1549</v>
      </c>
    </row>
    <row customHeight="1" ht="11.25">
      <c r="A23" s="0" t="s">
        <v>16</v>
      </c>
      <c r="B23" s="0" t="s">
        <v>2391</v>
      </c>
      <c r="C23" s="0" t="s">
        <v>2392</v>
      </c>
      <c r="D23" s="0" t="s">
        <v>2391</v>
      </c>
      <c r="E23" s="0" t="s">
        <v>2392</v>
      </c>
      <c r="F23" s="0" t="s">
        <v>2393</v>
      </c>
      <c r="G23" s="0" t="s">
        <v>1556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32F7035-1EC7-71F5-0229-0.073578E6}"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2" width="9.140625"/>
    <col min="2" max="2" style="1692" width="84.28125" customWidth="1"/>
    <col min="3" max="3" style="1692" width="9.140625"/>
  </cols>
  <sheetData>
    <row customHeight="1" ht="11.25">
      <c r="A1" s="836" t="s">
        <v>2425</v>
      </c>
      <c r="B1" s="836" t="s">
        <v>2426</v>
      </c>
      <c r="C1" s="836" t="s">
        <v>1183</v>
      </c>
    </row>
    <row customHeight="1" ht="11.25">
      <c r="A2" s="836">
        <v>4189678</v>
      </c>
      <c r="B2" s="836" t="s">
        <v>2427</v>
      </c>
      <c r="C2" s="836" t="s">
        <v>2428</v>
      </c>
    </row>
    <row customHeight="1" ht="11.25">
      <c r="A3" s="836">
        <v>4190415</v>
      </c>
      <c r="B3" s="836" t="s">
        <v>2429</v>
      </c>
      <c r="C3" s="836" t="s">
        <v>2428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B196C31-5EBF-6985-E486-0.03445BC7}"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3" width="38.421875" customWidth="1"/>
    <col min="2" max="5" style="163" width="9.140625"/>
  </cols>
  <sheetData>
    <row customHeight="1" ht="15">
      <c r="A1" s="164" t="s">
        <v>2430</v>
      </c>
      <c r="B1" s="164" t="s">
        <v>2431</v>
      </c>
      <c r="C1" s="164"/>
      <c r="D1" s="164"/>
      <c r="E1" s="164"/>
    </row>
    <row customHeight="1" ht="15">
      <c r="A2" s="164"/>
      <c r="B2" s="164"/>
      <c r="C2" s="164"/>
      <c r="D2" s="164"/>
      <c r="E2" s="164"/>
    </row>
    <row customHeight="1" ht="15">
      <c r="A3" s="164"/>
      <c r="B3" s="164"/>
      <c r="C3" s="164"/>
      <c r="D3" s="164"/>
      <c r="E3" s="164"/>
    </row>
    <row customHeight="1" ht="15">
      <c r="A4" s="164"/>
      <c r="B4" s="164"/>
      <c r="C4" s="164"/>
      <c r="D4" s="164"/>
      <c r="E4" s="164"/>
    </row>
    <row customHeight="1" ht="15">
      <c r="A5" s="164"/>
      <c r="B5" s="164"/>
      <c r="C5" s="164"/>
      <c r="D5" s="164"/>
      <c r="E5" s="164"/>
    </row>
    <row customHeight="1" ht="15">
      <c r="A6" s="164"/>
      <c r="B6" s="164"/>
      <c r="C6" s="164"/>
      <c r="D6" s="164"/>
      <c r="E6" s="164"/>
    </row>
    <row customHeight="1" ht="15">
      <c r="A7" s="164"/>
      <c r="B7" s="164"/>
      <c r="C7" s="164"/>
      <c r="D7" s="164"/>
      <c r="E7" s="164"/>
    </row>
    <row customHeight="1" ht="15">
      <c r="A8" s="164"/>
      <c r="B8" s="164"/>
      <c r="C8" s="164"/>
      <c r="D8" s="164"/>
      <c r="E8" s="164"/>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834CD87-7CE9-44AA-E607-0.7863AFAB}"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2432</v>
      </c>
      <c r="B1" s="0" t="b">
        <v>1</v>
      </c>
    </row>
    <row customHeight="1" ht="11.25">
      <c r="A2" s="0" t="s">
        <v>2433</v>
      </c>
      <c r="B2" s="0" t="b">
        <v>0</v>
      </c>
    </row>
    <row customHeight="1" ht="11.25">
      <c r="A3" s="0" t="s">
        <v>2434</v>
      </c>
      <c r="B3" s="0" t="b">
        <v>0</v>
      </c>
    </row>
    <row customHeight="1" ht="11.25">
      <c r="A4" s="0" t="s">
        <v>2435</v>
      </c>
      <c r="B4" s="0" t="b">
        <v>1</v>
      </c>
    </row>
    <row customHeight="1" ht="11.25">
      <c r="A5" s="0" t="s">
        <v>2436</v>
      </c>
      <c r="B5" s="0" t="b">
        <v>0</v>
      </c>
    </row>
    <row customHeight="1" ht="11.25">
      <c r="A6" s="0" t="s">
        <v>2437</v>
      </c>
      <c r="B6" s="0" t="b">
        <v>0</v>
      </c>
    </row>
    <row customHeight="1" ht="11.25">
      <c r="A7" s="0" t="s">
        <v>2438</v>
      </c>
      <c r="B7" s="0" t="b">
        <v>0</v>
      </c>
    </row>
    <row customHeight="1" ht="11.25">
      <c r="A8" s="0" t="s">
        <v>2439</v>
      </c>
      <c r="B8" s="0" t="b">
        <v>0</v>
      </c>
    </row>
    <row customHeight="1" ht="11.25">
      <c r="A9" s="0" t="s">
        <v>2440</v>
      </c>
      <c r="B9" s="0" t="b">
        <v>1</v>
      </c>
    </row>
    <row customHeight="1" ht="11.25">
      <c r="A10" s="0" t="s">
        <v>2441</v>
      </c>
      <c r="B10" s="0" t="b">
        <v>0</v>
      </c>
    </row>
    <row customHeight="1" ht="11.25">
      <c r="A11" s="0" t="s">
        <v>2442</v>
      </c>
      <c r="B11" s="0" t="b">
        <v>0</v>
      </c>
    </row>
    <row customHeight="1" ht="11.25">
      <c r="A12" s="0" t="s">
        <v>2443</v>
      </c>
      <c r="B12" s="0" t="b">
        <v>0</v>
      </c>
    </row>
    <row customHeight="1" ht="11.25">
      <c r="A13" s="0" t="s">
        <v>2444</v>
      </c>
      <c r="B13" s="0" t="b">
        <v>0</v>
      </c>
    </row>
    <row customHeight="1" ht="11.25">
      <c r="A14" s="0" t="s">
        <v>2445</v>
      </c>
      <c r="B14" s="0" t="b">
        <v>0</v>
      </c>
    </row>
    <row customHeight="1" ht="11.25">
      <c r="A15" s="0" t="s">
        <v>2446</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7256886-E129-BE6A-FB1C-0.BB4B24}"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2629"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CDB98E-B39A-E1FB-08AF-0.0EA5804E}"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1" width="36.28125" customWidth="1"/>
    <col min="2" max="2" style="1851" width="21.140625" customWidth="1"/>
  </cols>
  <sheetData>
    <row customHeight="1" ht="11.25">
      <c r="A1" s="68" t="s">
        <v>2447</v>
      </c>
      <c r="B1" s="68" t="s">
        <v>2448</v>
      </c>
    </row>
    <row customHeight="1" ht="11.25">
      <c r="A2" s="65" t="s">
        <v>2449</v>
      </c>
      <c r="B2" s="65" t="s">
        <v>2450</v>
      </c>
    </row>
    <row customHeight="1" ht="11.25">
      <c r="A3" s="65" t="s">
        <v>2451</v>
      </c>
      <c r="B3" s="65" t="s">
        <v>2452</v>
      </c>
    </row>
    <row customHeight="1" ht="11.25">
      <c r="A4" s="65" t="s">
        <v>2453</v>
      </c>
      <c r="B4" s="65" t="s">
        <v>2454</v>
      </c>
    </row>
    <row customHeight="1" ht="11.25">
      <c r="A5" s="65" t="s">
        <v>2455</v>
      </c>
      <c r="B5" s="65" t="s">
        <v>2456</v>
      </c>
    </row>
    <row customHeight="1" ht="11.25">
      <c r="A6" s="65" t="s">
        <v>2457</v>
      </c>
      <c r="B6" s="65" t="s">
        <v>2458</v>
      </c>
    </row>
    <row customHeight="1" ht="11.25">
      <c r="A7" s="65" t="s">
        <v>2459</v>
      </c>
      <c r="B7" s="65" t="s">
        <v>2460</v>
      </c>
    </row>
    <row customHeight="1" ht="11.25">
      <c r="A8" s="65" t="s">
        <v>2461</v>
      </c>
      <c r="B8" s="65" t="s">
        <v>2462</v>
      </c>
    </row>
    <row customHeight="1" ht="11.25">
      <c r="A9" s="65" t="s">
        <v>2463</v>
      </c>
      <c r="B9" s="65" t="s">
        <v>2464</v>
      </c>
    </row>
    <row customHeight="1" ht="11.25">
      <c r="A10" s="65" t="s">
        <v>2465</v>
      </c>
      <c r="B10" s="65" t="s">
        <v>2466</v>
      </c>
    </row>
    <row customHeight="1" ht="11.25">
      <c r="A11" s="65" t="s">
        <v>2467</v>
      </c>
      <c r="B11" s="65" t="s">
        <v>2468</v>
      </c>
    </row>
    <row customHeight="1" ht="11.25">
      <c r="A12" s="65" t="s">
        <v>2469</v>
      </c>
      <c r="B12" s="65" t="s">
        <v>2470</v>
      </c>
    </row>
    <row customHeight="1" ht="11.25">
      <c r="A13" s="65" t="s">
        <v>2471</v>
      </c>
      <c r="B13" s="65" t="s">
        <v>2472</v>
      </c>
    </row>
    <row customHeight="1" ht="11.25">
      <c r="A14" s="65" t="s">
        <v>2473</v>
      </c>
      <c r="B14" s="65" t="s">
        <v>2474</v>
      </c>
    </row>
    <row customHeight="1" ht="11.25">
      <c r="A15" s="65" t="s">
        <v>2475</v>
      </c>
      <c r="B15" s="65" t="s">
        <v>2476</v>
      </c>
    </row>
    <row customHeight="1" ht="11.25">
      <c r="A16" s="65" t="s">
        <v>2477</v>
      </c>
      <c r="B16" s="65" t="s">
        <v>2478</v>
      </c>
    </row>
    <row customHeight="1" ht="11.25">
      <c r="A17" s="65" t="s">
        <v>2479</v>
      </c>
      <c r="B17" s="65" t="s">
        <v>2480</v>
      </c>
    </row>
    <row customHeight="1" ht="11.25">
      <c r="A18" s="65" t="s">
        <v>2481</v>
      </c>
      <c r="B18" s="65" t="s">
        <v>2482</v>
      </c>
    </row>
    <row customHeight="1" ht="11.25">
      <c r="A19" s="65" t="s">
        <v>2483</v>
      </c>
      <c r="B19" s="65" t="s">
        <v>2484</v>
      </c>
    </row>
    <row customHeight="1" ht="11.25">
      <c r="A20" s="65" t="s">
        <v>2485</v>
      </c>
      <c r="B20" s="65" t="s">
        <v>2486</v>
      </c>
    </row>
    <row customHeight="1" ht="11.25">
      <c r="A21" s="65" t="s">
        <v>2487</v>
      </c>
      <c r="B21" s="65" t="s">
        <v>2488</v>
      </c>
    </row>
    <row customHeight="1" ht="11.25">
      <c r="A22" s="65" t="s">
        <v>2489</v>
      </c>
      <c r="B22" s="65" t="s">
        <v>2490</v>
      </c>
    </row>
    <row customHeight="1" ht="11.25">
      <c r="A23" s="65" t="s">
        <v>2491</v>
      </c>
      <c r="B23" s="65" t="s">
        <v>2492</v>
      </c>
    </row>
    <row customHeight="1" ht="11.25">
      <c r="A24" s="65" t="s">
        <v>2493</v>
      </c>
      <c r="B24" s="65" t="s">
        <v>2494</v>
      </c>
    </row>
    <row customHeight="1" ht="11.25">
      <c r="A25" s="65" t="s">
        <v>2495</v>
      </c>
      <c r="B25" s="65" t="s">
        <v>2496</v>
      </c>
    </row>
    <row customHeight="1" ht="11.25">
      <c r="A26" s="65" t="s">
        <v>2497</v>
      </c>
      <c r="B26" s="65" t="s">
        <v>2498</v>
      </c>
    </row>
    <row customHeight="1" ht="11.25">
      <c r="A27" s="65" t="s">
        <v>2499</v>
      </c>
      <c r="B27" s="65" t="s">
        <v>2500</v>
      </c>
    </row>
    <row customHeight="1" ht="11.25">
      <c r="A28" s="65" t="s">
        <v>2501</v>
      </c>
      <c r="B28" s="65" t="s">
        <v>2502</v>
      </c>
    </row>
    <row customHeight="1" ht="11.25">
      <c r="A29" s="65" t="s">
        <v>2503</v>
      </c>
      <c r="B29" s="65" t="s">
        <v>2504</v>
      </c>
    </row>
    <row customHeight="1" ht="11.25">
      <c r="A30" s="65" t="s">
        <v>2505</v>
      </c>
      <c r="B30" s="65" t="s">
        <v>2506</v>
      </c>
    </row>
    <row customHeight="1" ht="11.25">
      <c r="A31" s="65" t="s">
        <v>2507</v>
      </c>
      <c r="B31" s="65" t="s">
        <v>2508</v>
      </c>
    </row>
    <row customHeight="1" ht="11.25">
      <c r="A32" s="65" t="s">
        <v>2509</v>
      </c>
      <c r="B32" s="65" t="s">
        <v>2510</v>
      </c>
    </row>
    <row customHeight="1" ht="11.25">
      <c r="A33" s="65" t="s">
        <v>2511</v>
      </c>
      <c r="B33" s="65" t="s">
        <v>2512</v>
      </c>
    </row>
    <row customHeight="1" ht="11.25">
      <c r="A34" s="65" t="s">
        <v>2513</v>
      </c>
      <c r="B34" s="65" t="s">
        <v>2514</v>
      </c>
    </row>
    <row customHeight="1" ht="11.25">
      <c r="A35" s="65" t="s">
        <v>2515</v>
      </c>
      <c r="B35" s="65" t="s">
        <v>2516</v>
      </c>
    </row>
    <row customHeight="1" ht="11.25">
      <c r="A36" s="65" t="s">
        <v>2517</v>
      </c>
      <c r="B36" s="65" t="s">
        <v>2518</v>
      </c>
    </row>
    <row customHeight="1" ht="11.25">
      <c r="A37" s="65" t="s">
        <v>2519</v>
      </c>
      <c r="B37" s="65" t="s">
        <v>2520</v>
      </c>
    </row>
    <row customHeight="1" ht="11.25">
      <c r="A38" s="65" t="s">
        <v>2521</v>
      </c>
      <c r="B38" s="65" t="s">
        <v>2522</v>
      </c>
    </row>
    <row customHeight="1" ht="11.25">
      <c r="A39" s="65" t="s">
        <v>2523</v>
      </c>
      <c r="B39" s="65" t="s">
        <v>2524</v>
      </c>
    </row>
    <row customHeight="1" ht="11.25">
      <c r="A40" s="65" t="s">
        <v>2525</v>
      </c>
      <c r="B40" s="65" t="s">
        <v>2526</v>
      </c>
    </row>
    <row customHeight="1" ht="11.25">
      <c r="A41" s="65" t="s">
        <v>2527</v>
      </c>
      <c r="B41" s="65" t="s">
        <v>2528</v>
      </c>
    </row>
    <row customHeight="1" ht="11.25">
      <c r="A42" s="65" t="s">
        <v>2529</v>
      </c>
      <c r="B42" s="65" t="s">
        <v>2530</v>
      </c>
    </row>
    <row customHeight="1" ht="11.25">
      <c r="A43" s="65" t="s">
        <v>2531</v>
      </c>
      <c r="B43" s="65" t="s">
        <v>2532</v>
      </c>
    </row>
    <row customHeight="1" ht="11.25">
      <c r="A44" s="65" t="s">
        <v>2533</v>
      </c>
      <c r="B44" s="65" t="s">
        <v>2534</v>
      </c>
    </row>
    <row customHeight="1" ht="11.25">
      <c r="A45" s="65" t="s">
        <v>2535</v>
      </c>
      <c r="B45" s="65" t="s">
        <v>2536</v>
      </c>
    </row>
    <row customHeight="1" ht="11.25">
      <c r="A46" s="65" t="s">
        <v>2537</v>
      </c>
      <c r="B46" s="65" t="s">
        <v>2538</v>
      </c>
    </row>
    <row customHeight="1" ht="11.25">
      <c r="A47" s="65" t="s">
        <v>2539</v>
      </c>
      <c r="B47" s="65" t="s">
        <v>2540</v>
      </c>
    </row>
    <row customHeight="1" ht="11.25">
      <c r="A48" s="65" t="s">
        <v>2541</v>
      </c>
      <c r="B48" s="65" t="s">
        <v>2542</v>
      </c>
    </row>
    <row customHeight="1" ht="11.25">
      <c r="A49" s="65" t="s">
        <v>2543</v>
      </c>
      <c r="B49" s="65" t="s">
        <v>2544</v>
      </c>
    </row>
    <row customHeight="1" ht="11.25">
      <c r="A50" s="65" t="s">
        <v>2545</v>
      </c>
      <c r="B50" s="65" t="s">
        <v>2546</v>
      </c>
    </row>
    <row customHeight="1" ht="11.25">
      <c r="A51" s="65" t="s">
        <v>2547</v>
      </c>
      <c r="B51" s="65" t="s">
        <v>2548</v>
      </c>
    </row>
    <row customHeight="1" ht="11.25">
      <c r="A52" s="65" t="s">
        <v>2549</v>
      </c>
      <c r="B52" s="65" t="s">
        <v>2550</v>
      </c>
    </row>
    <row customHeight="1" ht="11.25">
      <c r="A53" s="65" t="s">
        <v>2551</v>
      </c>
      <c r="B53" s="65" t="s">
        <v>2552</v>
      </c>
    </row>
    <row customHeight="1" ht="11.25">
      <c r="A54" s="65" t="s">
        <v>2553</v>
      </c>
      <c r="B54" s="65" t="s">
        <v>2554</v>
      </c>
    </row>
    <row customHeight="1" ht="11.25">
      <c r="A55" s="65" t="s">
        <v>2555</v>
      </c>
      <c r="B55" s="65" t="s">
        <v>2556</v>
      </c>
    </row>
    <row customHeight="1" ht="11.25">
      <c r="A56" s="65" t="s">
        <v>2557</v>
      </c>
      <c r="B56" s="65" t="s">
        <v>2558</v>
      </c>
    </row>
    <row customHeight="1" ht="11.25">
      <c r="A57" s="65" t="s">
        <v>2559</v>
      </c>
      <c r="B57" s="65" t="s">
        <v>2560</v>
      </c>
    </row>
    <row customHeight="1" ht="11.25">
      <c r="A58" s="65" t="s">
        <v>2561</v>
      </c>
      <c r="B58" s="65" t="s">
        <v>2562</v>
      </c>
    </row>
    <row customHeight="1" ht="11.25">
      <c r="A59" s="65" t="s">
        <v>2563</v>
      </c>
      <c r="B59" s="65" t="s">
        <v>2564</v>
      </c>
    </row>
    <row customHeight="1" ht="11.25">
      <c r="A60" s="65" t="s">
        <v>2565</v>
      </c>
      <c r="B60" s="65" t="s">
        <v>2566</v>
      </c>
    </row>
    <row customHeight="1" ht="11.25">
      <c r="A61" s="65"/>
      <c r="B61" s="65" t="s">
        <v>2567</v>
      </c>
    </row>
    <row customHeight="1" ht="11.25">
      <c r="A62" s="65"/>
      <c r="B62" s="65" t="s">
        <v>2568</v>
      </c>
    </row>
    <row customHeight="1" ht="11.25">
      <c r="A63" s="65"/>
      <c r="B63" s="65" t="s">
        <v>2569</v>
      </c>
    </row>
    <row customHeight="1" ht="11.25">
      <c r="A64" s="65"/>
      <c r="B64" s="65" t="s">
        <v>2570</v>
      </c>
    </row>
    <row customHeight="1" ht="11.25">
      <c r="A65" s="65"/>
      <c r="B65" s="65" t="s">
        <v>2571</v>
      </c>
    </row>
    <row customHeight="1" ht="11.25">
      <c r="A66" s="65"/>
      <c r="B66" s="65" t="s">
        <v>2572</v>
      </c>
    </row>
    <row customHeight="1" ht="11.25">
      <c r="A67" s="65"/>
      <c r="B67" s="65" t="s">
        <v>2573</v>
      </c>
    </row>
    <row customHeight="1" ht="11.25">
      <c r="A68" s="65"/>
      <c r="B68" s="65" t="s">
        <v>2574</v>
      </c>
    </row>
    <row customHeight="1" ht="11.25">
      <c r="A69" s="65"/>
      <c r="B69" s="65" t="s">
        <v>2575</v>
      </c>
    </row>
    <row customHeight="1" ht="11.25">
      <c r="A70" s="65"/>
      <c r="B70" s="65" t="s">
        <v>2576</v>
      </c>
    </row>
    <row customHeight="1" ht="11.25">
      <c r="A71" s="65"/>
      <c r="B71" s="65"/>
    </row>
    <row customHeight="1" ht="11.25">
      <c r="A72" s="65"/>
      <c r="B72" s="65"/>
    </row>
    <row customHeight="1" ht="11.25">
      <c r="A73" s="65"/>
      <c r="B73" s="65"/>
    </row>
    <row customHeight="1" ht="11.25">
      <c r="A74" s="65"/>
      <c r="B74" s="65"/>
    </row>
    <row customHeight="1" ht="11.25">
      <c r="A75" s="65"/>
      <c r="B75" s="65"/>
    </row>
    <row customHeight="1" ht="11.25">
      <c r="A76" s="65"/>
      <c r="B76" s="65"/>
    </row>
    <row customHeight="1" ht="11.25">
      <c r="A77" s="65"/>
      <c r="B77" s="65"/>
    </row>
    <row customHeight="1" ht="11.25">
      <c r="A78" s="65"/>
      <c r="B78" s="65"/>
    </row>
    <row customHeight="1" ht="11.25">
      <c r="A79" s="65"/>
      <c r="B79" s="65"/>
    </row>
    <row customHeight="1" ht="11.25">
      <c r="A80" s="65"/>
      <c r="B80" s="65"/>
    </row>
    <row customHeight="1" ht="11.25">
      <c r="A81" s="65"/>
      <c r="B81" s="65"/>
    </row>
    <row customHeight="1" ht="11.25">
      <c r="A82" s="65"/>
      <c r="B82" s="65"/>
    </row>
    <row customHeight="1" ht="11.25">
      <c r="A83" s="65"/>
      <c r="B83" s="65"/>
    </row>
    <row customHeight="1" ht="11.25">
      <c r="A84" s="65"/>
      <c r="B84" s="65"/>
    </row>
    <row customHeight="1" ht="11.25">
      <c r="A85" s="65"/>
      <c r="B85" s="65"/>
    </row>
    <row customHeight="1" ht="11.25">
      <c r="A86" s="65"/>
      <c r="B86" s="65"/>
    </row>
    <row customHeight="1" ht="11.25">
      <c r="A87" s="65"/>
      <c r="B87" s="65"/>
    </row>
    <row customHeight="1" ht="11.25">
      <c r="A88" s="65"/>
      <c r="B88" s="65"/>
    </row>
    <row customHeight="1" ht="11.25">
      <c r="A89" s="65"/>
      <c r="B89" s="65"/>
    </row>
    <row customHeight="1" ht="11.25">
      <c r="A90" s="65"/>
      <c r="B90" s="65"/>
    </row>
    <row customHeight="1" ht="11.25">
      <c r="A91" s="65"/>
      <c r="B91" s="65"/>
    </row>
    <row customHeight="1" ht="11.25">
      <c r="A92" s="65"/>
      <c r="B92" s="65"/>
    </row>
    <row customHeight="1" ht="11.25">
      <c r="A93" s="65"/>
      <c r="B93" s="65"/>
    </row>
    <row customHeight="1" ht="11.25">
      <c r="A94" s="65"/>
      <c r="B94" s="65"/>
    </row>
    <row customHeight="1" ht="11.25">
      <c r="A95" s="65"/>
      <c r="B95" s="65"/>
    </row>
    <row customHeight="1" ht="11.25">
      <c r="A96" s="65"/>
      <c r="B96" s="65"/>
    </row>
    <row customHeight="1" ht="11.25">
      <c r="A97" s="65"/>
      <c r="B97" s="65"/>
    </row>
    <row customHeight="1" ht="11.25">
      <c r="A98" s="65"/>
      <c r="B98" s="65"/>
    </row>
    <row customHeight="1" ht="11.25">
      <c r="A99" s="65"/>
      <c r="B99" s="65"/>
    </row>
    <row customHeight="1" ht="11.25">
      <c r="A100" s="65"/>
      <c r="B100" s="65"/>
    </row>
    <row customHeight="1" ht="11.25">
      <c r="A101" s="65"/>
      <c r="B101" s="65"/>
    </row>
    <row customHeight="1" ht="11.25">
      <c r="A102" s="65"/>
      <c r="B102" s="65"/>
    </row>
    <row customHeight="1" ht="11.25">
      <c r="A103" s="65"/>
      <c r="B103" s="65"/>
    </row>
    <row customHeight="1" ht="11.25">
      <c r="A104" s="65"/>
      <c r="B104" s="65"/>
    </row>
    <row customHeight="1" ht="11.25">
      <c r="A105" s="65"/>
      <c r="B105" s="65"/>
    </row>
    <row customHeight="1" ht="11.25">
      <c r="A106" s="65"/>
      <c r="B106" s="65"/>
    </row>
    <row customHeight="1" ht="11.25">
      <c r="A107" s="65"/>
      <c r="B107" s="65"/>
    </row>
    <row customHeight="1" ht="11.25">
      <c r="A108" s="65"/>
      <c r="B108" s="65"/>
    </row>
    <row customHeight="1" ht="11.25">
      <c r="A109" s="65"/>
      <c r="B109" s="65"/>
    </row>
    <row customHeight="1" ht="11.25">
      <c r="A110" s="65"/>
      <c r="B110" s="65"/>
    </row>
    <row customHeight="1" ht="11.25">
      <c r="A111" s="65"/>
      <c r="B111" s="65"/>
    </row>
    <row customHeight="1" ht="11.25">
      <c r="A112" s="65"/>
      <c r="B112" s="65"/>
    </row>
    <row customHeight="1" ht="11.25">
      <c r="A113" s="65"/>
      <c r="B113" s="65"/>
    </row>
    <row customHeight="1" ht="11.25">
      <c r="A114" s="65"/>
      <c r="B114" s="65"/>
    </row>
    <row customHeight="1" ht="11.25">
      <c r="A115" s="65"/>
      <c r="B115" s="65"/>
    </row>
    <row customHeight="1" ht="11.25">
      <c r="A116" s="65"/>
      <c r="B116" s="65"/>
    </row>
    <row customHeight="1" ht="11.25">
      <c r="A117" s="65"/>
      <c r="B117" s="65"/>
    </row>
    <row customHeight="1" ht="11.25">
      <c r="A118" s="65"/>
      <c r="B118" s="65"/>
    </row>
    <row customHeight="1" ht="11.25">
      <c r="A119" s="65"/>
      <c r="B119" s="65"/>
    </row>
    <row customHeight="1" ht="11.25">
      <c r="A120" s="65"/>
      <c r="B120" s="65"/>
    </row>
    <row customHeight="1" ht="11.25">
      <c r="A121" s="65"/>
      <c r="B121" s="65"/>
    </row>
    <row customHeight="1" ht="11.25">
      <c r="A122" s="65"/>
      <c r="B122" s="65"/>
    </row>
    <row customHeight="1" ht="11.25">
      <c r="A123" s="65"/>
      <c r="B123" s="65"/>
    </row>
    <row customHeight="1" ht="11.25">
      <c r="A124" s="65"/>
      <c r="B124" s="65"/>
    </row>
    <row customHeight="1" ht="11.25">
      <c r="A125" s="65"/>
      <c r="B125" s="65"/>
    </row>
    <row customHeight="1" ht="11.25">
      <c r="A126" s="65"/>
      <c r="B126" s="65"/>
    </row>
    <row customHeight="1" ht="11.25">
      <c r="A127" s="65"/>
      <c r="B127" s="65"/>
    </row>
    <row customHeight="1" ht="11.25">
      <c r="A128" s="65"/>
      <c r="B128" s="65"/>
    </row>
    <row customHeight="1" ht="11.25">
      <c r="A129" s="65"/>
      <c r="B129" s="65"/>
    </row>
    <row customHeight="1" ht="11.25">
      <c r="A130" s="65"/>
      <c r="B130" s="65"/>
    </row>
    <row customHeight="1" ht="11.25">
      <c r="A131" s="65"/>
      <c r="B131" s="65"/>
    </row>
    <row customHeight="1" ht="11.25">
      <c r="A132" s="65"/>
      <c r="B132" s="65"/>
    </row>
    <row customHeight="1" ht="11.25">
      <c r="A133" s="65"/>
      <c r="B133" s="65"/>
    </row>
    <row customHeight="1" ht="11.25">
      <c r="A134" s="65"/>
      <c r="B134" s="65"/>
    </row>
    <row customHeight="1" ht="11.25">
      <c r="A135" s="65"/>
      <c r="B135" s="65"/>
    </row>
    <row customHeight="1" ht="11.25">
      <c r="A136" s="65"/>
      <c r="B136" s="65"/>
    </row>
    <row customHeight="1" ht="11.25">
      <c r="A137" s="65"/>
      <c r="B137" s="65"/>
    </row>
    <row customHeight="1" ht="11.25">
      <c r="A138" s="65"/>
      <c r="B138" s="65"/>
    </row>
    <row customHeight="1" ht="11.25">
      <c r="A139" s="65"/>
      <c r="B139" s="65"/>
    </row>
    <row customHeight="1" ht="11.25">
      <c r="A140" s="65"/>
      <c r="B140" s="65"/>
    </row>
    <row customHeight="1" ht="11.25">
      <c r="A141" s="65"/>
      <c r="B141" s="65"/>
    </row>
    <row customHeight="1" ht="11.25">
      <c r="A142" s="65"/>
      <c r="B142" s="65"/>
    </row>
    <row customHeight="1" ht="11.25">
      <c r="A143" s="65"/>
      <c r="B143" s="65"/>
    </row>
    <row customHeight="1" ht="11.25">
      <c r="A144" s="65"/>
      <c r="B144" s="65"/>
    </row>
    <row customHeight="1" ht="11.25">
      <c r="A145" s="65"/>
      <c r="B145" s="65"/>
    </row>
    <row customHeight="1" ht="11.25">
      <c r="A146" s="65"/>
      <c r="B146" s="65"/>
    </row>
    <row customHeight="1" ht="11.25">
      <c r="A147" s="65"/>
      <c r="B147" s="65"/>
    </row>
    <row customHeight="1" ht="11.25">
      <c r="A148" s="65"/>
      <c r="B148" s="65"/>
    </row>
    <row customHeight="1" ht="11.25">
      <c r="A149" s="65"/>
      <c r="B149" s="65"/>
    </row>
    <row customHeight="1" ht="11.25">
      <c r="A150" s="65"/>
      <c r="B150" s="65"/>
    </row>
    <row customHeight="1" ht="11.25">
      <c r="A151" s="65"/>
      <c r="B151" s="65"/>
    </row>
    <row customHeight="1" ht="11.25">
      <c r="A152" s="65"/>
      <c r="B152" s="65"/>
    </row>
    <row customHeight="1" ht="11.25">
      <c r="A153" s="65"/>
      <c r="B153" s="65"/>
    </row>
    <row customHeight="1" ht="11.25">
      <c r="A154" s="65"/>
      <c r="B154" s="65"/>
    </row>
    <row customHeight="1" ht="11.25">
      <c r="A155" s="65"/>
      <c r="B155" s="65"/>
    </row>
    <row customHeight="1" ht="11.25">
      <c r="A156" s="65"/>
      <c r="B156" s="65"/>
    </row>
    <row customHeight="1" ht="11.25">
      <c r="A157" s="65"/>
      <c r="B157" s="65"/>
    </row>
    <row customHeight="1" ht="11.25">
      <c r="A158" s="65"/>
      <c r="B158" s="65"/>
    </row>
    <row customHeight="1" ht="11.25">
      <c r="A159" s="65"/>
      <c r="B159" s="65"/>
    </row>
    <row customHeight="1" ht="11.25">
      <c r="A160" s="65"/>
      <c r="B160" s="65"/>
    </row>
    <row customHeight="1" ht="11.25">
      <c r="A161" s="65"/>
      <c r="B161" s="65"/>
    </row>
    <row customHeight="1" ht="11.25">
      <c r="A162" s="65"/>
      <c r="B162" s="65"/>
    </row>
    <row customHeight="1" ht="11.25">
      <c r="A163" s="65"/>
      <c r="B163" s="65"/>
    </row>
    <row customHeight="1" ht="11.25">
      <c r="A164" s="65"/>
      <c r="B164" s="65"/>
    </row>
    <row customHeight="1" ht="11.25">
      <c r="A165" s="65"/>
      <c r="B165" s="65"/>
    </row>
    <row customHeight="1" ht="11.25">
      <c r="A166" s="65"/>
      <c r="B166" s="65"/>
    </row>
    <row customHeight="1" ht="11.25">
      <c r="A167" s="65"/>
      <c r="B167" s="65"/>
    </row>
    <row customHeight="1" ht="11.25">
      <c r="A168" s="65"/>
      <c r="B168" s="65"/>
    </row>
    <row customHeight="1" ht="11.25">
      <c r="A169" s="65"/>
      <c r="B169" s="65"/>
    </row>
    <row customHeight="1" ht="11.25">
      <c r="A170" s="65"/>
      <c r="B170" s="65"/>
    </row>
    <row customHeight="1" ht="11.25">
      <c r="A171" s="65"/>
      <c r="B171" s="65"/>
    </row>
    <row customHeight="1" ht="11.25">
      <c r="A172" s="65"/>
      <c r="B172" s="65"/>
    </row>
    <row customHeight="1" ht="11.25">
      <c r="A173" s="65"/>
      <c r="B173" s="65"/>
    </row>
    <row customHeight="1" ht="11.25">
      <c r="A174" s="65"/>
      <c r="B174" s="65"/>
    </row>
    <row customHeight="1" ht="11.25">
      <c r="A175" s="65"/>
      <c r="B175" s="65"/>
    </row>
    <row customHeight="1" ht="11.25">
      <c r="A176" s="65"/>
      <c r="B176" s="65"/>
    </row>
    <row customHeight="1" ht="11.25">
      <c r="A177" s="65"/>
      <c r="B177" s="65"/>
    </row>
    <row customHeight="1" ht="11.25">
      <c r="A178" s="65"/>
      <c r="B178" s="65"/>
    </row>
    <row customHeight="1" ht="11.25">
      <c r="A179" s="65"/>
      <c r="B179" s="65"/>
    </row>
    <row customHeight="1" ht="11.25">
      <c r="A180" s="65"/>
      <c r="B180" s="65"/>
    </row>
    <row customHeight="1" ht="11.25">
      <c r="A181" s="65"/>
      <c r="B181" s="65"/>
    </row>
    <row customHeight="1" ht="11.25">
      <c r="A182" s="65"/>
      <c r="B182" s="65"/>
    </row>
    <row customHeight="1" ht="11.25">
      <c r="A183" s="65"/>
      <c r="B183" s="65"/>
    </row>
    <row customHeight="1" ht="11.25">
      <c r="A184" s="65"/>
      <c r="B184" s="65"/>
    </row>
    <row customHeight="1" ht="11.25">
      <c r="A185" s="65"/>
      <c r="B185" s="65"/>
    </row>
    <row customHeight="1" ht="11.25">
      <c r="A186" s="65"/>
      <c r="B186" s="65"/>
    </row>
    <row customHeight="1" ht="11.25">
      <c r="A187" s="65"/>
      <c r="B187" s="65"/>
    </row>
    <row customHeight="1" ht="11.25">
      <c r="A188" s="65"/>
      <c r="B188" s="65"/>
    </row>
    <row customHeight="1" ht="11.25">
      <c r="A189" s="65"/>
      <c r="B189" s="65"/>
    </row>
    <row customHeight="1" ht="11.25">
      <c r="A190" s="65"/>
      <c r="B190" s="65"/>
    </row>
    <row customHeight="1" ht="11.25">
      <c r="A191" s="65"/>
      <c r="B191" s="65"/>
    </row>
    <row customHeight="1" ht="11.25">
      <c r="A192" s="65"/>
      <c r="B192" s="65"/>
    </row>
    <row customHeight="1" ht="11.25">
      <c r="A193" s="65"/>
      <c r="B193" s="65"/>
    </row>
    <row customHeight="1" ht="11.25">
      <c r="A194" s="65"/>
      <c r="B194" s="65"/>
    </row>
    <row customHeight="1" ht="11.25">
      <c r="A195" s="65"/>
      <c r="B195" s="65"/>
    </row>
    <row customHeight="1" ht="11.25">
      <c r="A196" s="65"/>
      <c r="B196" s="65"/>
    </row>
    <row customHeight="1" ht="11.25">
      <c r="A197" s="65"/>
      <c r="B197" s="65"/>
    </row>
    <row customHeight="1" ht="11.25">
      <c r="A198" s="65"/>
      <c r="B198" s="65"/>
    </row>
    <row customHeight="1" ht="11.25">
      <c r="A199" s="65"/>
      <c r="B199" s="65"/>
    </row>
    <row customHeight="1" ht="11.25">
      <c r="A200" s="65"/>
      <c r="B200" s="65"/>
    </row>
    <row customHeight="1" ht="11.25">
      <c r="A201" s="65"/>
      <c r="B201" s="65"/>
    </row>
    <row customHeight="1" ht="11.25">
      <c r="A202" s="65"/>
      <c r="B202" s="65"/>
    </row>
    <row customHeight="1" ht="11.25">
      <c r="A203" s="65"/>
      <c r="B203" s="65"/>
    </row>
    <row customHeight="1" ht="11.25">
      <c r="A204" s="65"/>
      <c r="B204" s="65"/>
    </row>
    <row customHeight="1" ht="11.25">
      <c r="A205" s="65"/>
      <c r="B205" s="65"/>
    </row>
    <row customHeight="1" ht="11.25">
      <c r="A206" s="65"/>
      <c r="B206" s="65"/>
    </row>
    <row customHeight="1" ht="11.25">
      <c r="A207" s="65"/>
      <c r="B207" s="65"/>
    </row>
    <row customHeight="1" ht="11.25">
      <c r="A208" s="65"/>
      <c r="B208" s="65"/>
    </row>
    <row customHeight="1" ht="11.25">
      <c r="A209" s="65"/>
      <c r="B209" s="65"/>
    </row>
    <row customHeight="1" ht="11.25">
      <c r="A210" s="65"/>
      <c r="B210" s="65"/>
    </row>
    <row customHeight="1" ht="11.25">
      <c r="A211" s="65"/>
      <c r="B211" s="65"/>
    </row>
    <row customHeight="1" ht="11.25">
      <c r="A212" s="65"/>
      <c r="B212" s="65"/>
    </row>
    <row customHeight="1" ht="11.25">
      <c r="A213" s="65"/>
      <c r="B213" s="65"/>
    </row>
    <row customHeight="1" ht="11.25">
      <c r="A214" s="65"/>
      <c r="B214" s="65"/>
    </row>
    <row customHeight="1" ht="11.25">
      <c r="A215" s="65"/>
      <c r="B215" s="65"/>
    </row>
    <row customHeight="1" ht="11.25">
      <c r="A216" s="65"/>
      <c r="B216" s="65"/>
    </row>
    <row customHeight="1" ht="11.25">
      <c r="A217" s="65"/>
      <c r="B217" s="65"/>
    </row>
    <row customHeight="1" ht="11.25">
      <c r="A218" s="65"/>
      <c r="B218" s="65"/>
    </row>
    <row customHeight="1" ht="11.25">
      <c r="A219" s="65"/>
      <c r="B219" s="65"/>
    </row>
    <row customHeight="1" ht="11.25">
      <c r="A220" s="65"/>
      <c r="B220" s="65"/>
    </row>
    <row customHeight="1" ht="11.25">
      <c r="A221" s="65"/>
      <c r="B221" s="65"/>
    </row>
    <row customHeight="1" ht="11.25">
      <c r="A222" s="65"/>
      <c r="B222" s="65"/>
    </row>
    <row customHeight="1" ht="11.25">
      <c r="A223" s="65"/>
      <c r="B223" s="65"/>
    </row>
    <row customHeight="1" ht="11.25">
      <c r="A224" s="65"/>
      <c r="B224" s="65"/>
    </row>
    <row customHeight="1" ht="11.25">
      <c r="A225" s="65"/>
      <c r="B225" s="65"/>
    </row>
    <row customHeight="1" ht="11.25">
      <c r="A226" s="65"/>
      <c r="B226" s="65"/>
    </row>
    <row customHeight="1" ht="11.25">
      <c r="A227" s="65"/>
      <c r="B227" s="65"/>
    </row>
    <row customHeight="1" ht="11.25">
      <c r="A228" s="65"/>
      <c r="B228" s="65"/>
    </row>
    <row customHeight="1" ht="11.25">
      <c r="A229" s="65"/>
      <c r="B229" s="65"/>
    </row>
    <row customHeight="1" ht="11.25">
      <c r="A230" s="65"/>
      <c r="B230" s="65"/>
    </row>
    <row customHeight="1" ht="11.25">
      <c r="A231" s="65"/>
      <c r="B231" s="65"/>
    </row>
    <row customHeight="1" ht="11.25">
      <c r="A232" s="65"/>
      <c r="B232" s="65"/>
    </row>
    <row customHeight="1" ht="11.25">
      <c r="A233" s="65"/>
      <c r="B233" s="65"/>
    </row>
    <row customHeight="1" ht="11.25">
      <c r="A234" s="65"/>
      <c r="B234" s="65"/>
    </row>
    <row customHeight="1" ht="11.25">
      <c r="A235" s="65"/>
      <c r="B235" s="65"/>
    </row>
    <row customHeight="1" ht="11.25">
      <c r="A236" s="65"/>
      <c r="B236" s="65"/>
    </row>
    <row customHeight="1" ht="11.25">
      <c r="A237" s="65"/>
      <c r="B237" s="65"/>
    </row>
    <row customHeight="1" ht="11.25">
      <c r="A238" s="65"/>
      <c r="B238" s="65"/>
    </row>
    <row customHeight="1" ht="11.25">
      <c r="A239" s="65"/>
      <c r="B239" s="65"/>
    </row>
    <row customHeight="1" ht="11.25">
      <c r="A240" s="65"/>
      <c r="B240" s="65"/>
    </row>
    <row customHeight="1" ht="11.25">
      <c r="A241" s="65"/>
      <c r="B241" s="65"/>
    </row>
    <row customHeight="1" ht="11.25">
      <c r="A242" s="65"/>
      <c r="B242" s="65"/>
    </row>
    <row customHeight="1" ht="11.25">
      <c r="A243" s="65"/>
      <c r="B243" s="65"/>
    </row>
    <row customHeight="1" ht="11.25">
      <c r="A244" s="65"/>
      <c r="B244" s="65"/>
    </row>
    <row customHeight="1" ht="11.25">
      <c r="A245" s="65"/>
      <c r="B245" s="65"/>
    </row>
    <row customHeight="1" ht="11.25">
      <c r="A246" s="65"/>
      <c r="B246" s="65"/>
    </row>
    <row customHeight="1" ht="11.25">
      <c r="A247" s="65"/>
      <c r="B247" s="65"/>
    </row>
    <row customHeight="1" ht="11.25">
      <c r="A248" s="65"/>
      <c r="B248" s="65"/>
    </row>
    <row customHeight="1" ht="11.25">
      <c r="A249" s="65"/>
      <c r="B249" s="65"/>
    </row>
    <row customHeight="1" ht="11.25">
      <c r="A250" s="65"/>
      <c r="B250" s="65"/>
    </row>
    <row customHeight="1" ht="11.25">
      <c r="A251" s="65"/>
      <c r="B251" s="65"/>
    </row>
    <row customHeight="1" ht="11.25">
      <c r="A252" s="65"/>
      <c r="B252" s="65"/>
    </row>
    <row customHeight="1" ht="11.25">
      <c r="A253" s="65"/>
      <c r="B253" s="65"/>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B7270D3-7FDD-CEAC-D9F9-0.68357D1A}"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1" width="3.7109375" customWidth="1"/>
    <col min="2" max="2" style="1851" width="90.7109375" customWidth="1"/>
    <col min="3" max="4" style="1851" width="9.140625"/>
  </cols>
  <sheetData>
    <row customHeight="1" ht="11.25">
      <c r="B1" s="94" t="s">
        <v>2577</v>
      </c>
    </row>
    <row customHeight="1" ht="90">
      <c r="B2" s="95" t="s">
        <v>2578</v>
      </c>
    </row>
    <row customHeight="1" ht="67.5">
      <c r="B3" s="95" t="s">
        <v>2579</v>
      </c>
    </row>
    <row customHeight="1" ht="33.75">
      <c r="B4" s="95" t="s">
        <v>2580</v>
      </c>
    </row>
    <row customHeight="1" ht="11.25">
      <c r="B5" s="95" t="s">
        <v>2581</v>
      </c>
    </row>
    <row customHeight="1" ht="22.5">
      <c r="B6" s="95" t="s">
        <v>2582</v>
      </c>
    </row>
    <row customHeight="1" ht="22.5">
      <c r="B7" s="95" t="s">
        <v>2583</v>
      </c>
    </row>
    <row customHeight="1" ht="22.5">
      <c r="B8" s="95" t="s">
        <v>2584</v>
      </c>
    </row>
    <row customHeight="1" ht="22.5">
      <c r="B9" s="95" t="s">
        <v>2585</v>
      </c>
    </row>
    <row customHeight="1" ht="56.25">
      <c r="B10" s="95" t="s">
        <v>2586</v>
      </c>
    </row>
    <row customHeight="1" ht="12.75">
      <c r="B11" s="160" t="s">
        <v>2587</v>
      </c>
    </row>
    <row customHeight="1" ht="11.25">
      <c r="B12" s="94" t="s">
        <v>2588</v>
      </c>
    </row>
    <row customHeight="1" ht="22.5">
      <c r="B13" s="95" t="s">
        <v>2589</v>
      </c>
    </row>
    <row customHeight="1" ht="67.5">
      <c r="B14" s="95" t="s">
        <v>2590</v>
      </c>
    </row>
    <row customHeight="1" ht="22.5">
      <c r="B15" s="95" t="s">
        <v>2591</v>
      </c>
    </row>
    <row customHeight="1" ht="11.25">
      <c r="B16" s="94" t="s">
        <v>2592</v>
      </c>
      <c r="D16" s="101"/>
    </row>
    <row customHeight="1" ht="33.75">
      <c r="B17" s="95" t="s">
        <v>2593</v>
      </c>
    </row>
    <row customHeight="1" ht="33.75">
      <c r="B18" s="95" t="s">
        <v>2594</v>
      </c>
    </row>
    <row customHeight="1" ht="11.25">
      <c r="B19" s="95" t="s">
        <v>2595</v>
      </c>
    </row>
    <row customHeight="1" ht="33.75">
      <c r="B20" s="95" t="s">
        <v>2596</v>
      </c>
    </row>
    <row customHeight="1" ht="11.25">
      <c r="B21" s="94" t="s">
        <v>2597</v>
      </c>
    </row>
    <row customHeight="1" ht="11.25">
      <c r="B22" s="95" t="s">
        <v>2598</v>
      </c>
    </row>
    <row r="24" customHeight="1" ht="22.5">
      <c r="B24" s="162" t="s">
        <v>2599</v>
      </c>
    </row>
    <row r="26" customHeight="1" ht="11.25">
      <c r="B26" s="94" t="s">
        <v>2600</v>
      </c>
    </row>
    <row customHeight="1" ht="22.5">
      <c r="B27" s="161" t="s">
        <v>408</v>
      </c>
    </row>
    <row customHeight="1" ht="56.25">
      <c r="B28" s="161" t="s">
        <v>2601</v>
      </c>
    </row>
    <row customHeight="1" ht="11.25">
      <c r="B29" s="211" t="s">
        <v>2602</v>
      </c>
    </row>
    <row customHeight="1" ht="22.5">
      <c r="B30" s="161" t="s">
        <v>2603</v>
      </c>
    </row>
    <row r="32" customHeight="1" ht="11.25">
      <c r="A32" s="189"/>
      <c r="B32" s="190" t="s">
        <v>2604</v>
      </c>
    </row>
    <row customHeight="1" ht="14.25">
      <c r="A33" s="191">
        <v>1</v>
      </c>
      <c r="B33" s="192" t="s">
        <v>2605</v>
      </c>
    </row>
    <row customHeight="1" ht="14.25">
      <c r="A34" s="191">
        <v>2</v>
      </c>
      <c r="B34" s="192" t="s">
        <v>2606</v>
      </c>
    </row>
    <row customHeight="1" ht="11.25">
      <c r="B35" s="190" t="s">
        <v>2607</v>
      </c>
    </row>
    <row customHeight="1" ht="11.25">
      <c r="B36" s="192" t="s">
        <v>2608</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