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mc:AlternateContent xmlns:mc="http://schemas.openxmlformats.org/markup-compatibility/2006">
    <mc:Choice Requires="x15">
      <x15ac:absPath xmlns:x15ac="http://schemas.microsoft.com/office/spreadsheetml/2010/11/ac" url="C:\Users\Экономист\Desktop\РАСКРЫТИЕ ИНФОРМАЦИИ с 01.09.2023\QUARTER Инф-ция о наличии тех. возмещ. и кол-ве заявок, в теч. 30 дней после квартала\3 квартал 2023\"/>
    </mc:Choice>
  </mc:AlternateContent>
  <xr:revisionPtr revIDLastSave="0" documentId="8_{4FDC7FA6-BC00-49E6-8EA4-C72952AA20E3}" xr6:coauthVersionLast="47" xr6:coauthVersionMax="47" xr10:uidLastSave="{00000000-0000-0000-0000-000000000000}"/>
  <bookViews>
    <workbookView xWindow="-120" yWindow="-120" windowWidth="29040" windowHeight="15840" tabRatio="751" firstSheet="1" activeTab="31" xr2:uid="{00000000-000D-0000-FFFF-FFFF00000000}"/>
  </bookViews>
  <sheets>
    <sheet name="Инструкция" sheetId="1" r:id="rId1"/>
    <sheet name="Титульный" sheetId="2" r:id="rId2"/>
    <sheet name="Список территорий" sheetId="3" r:id="rId3"/>
    <sheet name="Дифференциация" sheetId="4" r:id="rId4"/>
    <sheet name="Перечень тарифов" sheetId="5" state="hidden"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et_union_hor" sheetId="11" state="hidden" r:id="rId11"/>
    <sheet name="Договоры" sheetId="12" state="hidden" r:id="rId12"/>
    <sheet name="ТС. Т-ТЭ | &gt;=25МВт" sheetId="13" state="hidden" r:id="rId13"/>
    <sheet name="ТС. Т-ТЭ | ТСО" sheetId="14" state="hidden" r:id="rId14"/>
    <sheet name="ТС. Резерв мощности" sheetId="15" state="hidden" r:id="rId15"/>
    <sheet name="ТС. Т-ТН" sheetId="16" state="hidden" r:id="rId16"/>
    <sheet name="ТС. Т-передача ТЭ" sheetId="17" state="hidden" r:id="rId17"/>
    <sheet name="ТС. Т-передача ТН" sheetId="18" state="hidden" r:id="rId18"/>
    <sheet name="ТС. Т-гор.вода" sheetId="19" state="hidden" r:id="rId19"/>
    <sheet name="ТС. Т-подкл" sheetId="20" state="hidden" r:id="rId20"/>
    <sheet name="TEHSHEET" sheetId="21" state="hidden" r:id="rId21"/>
    <sheet name="DATA_FORMS" sheetId="22" state="hidden" r:id="rId22"/>
    <sheet name="DATA_NPA" sheetId="23" state="hidden" r:id="rId23"/>
    <sheet name="Т-ТЭ | потр" sheetId="24" state="hidden" r:id="rId24"/>
    <sheet name="Т-ТЭ | предел" sheetId="25" state="hidden" r:id="rId25"/>
    <sheet name="Т-ТЭ | индикат" sheetId="26" state="hidden" r:id="rId26"/>
    <sheet name="Т-подкл(инд)" sheetId="27" state="hidden" r:id="rId27"/>
    <sheet name="Порядок ТП" sheetId="28" state="hidden" r:id="rId28"/>
    <sheet name="Сведения о закупках" sheetId="29" state="hidden" r:id="rId29"/>
    <sheet name="modMainProcedures" sheetId="30" state="hidden" r:id="rId30"/>
    <sheet name="Потребительские характеристики" sheetId="31" state="hidden" r:id="rId31"/>
    <sheet name="ТП" sheetId="32" r:id="rId32"/>
    <sheet name="Ограничения" sheetId="33" state="hidden" r:id="rId33"/>
    <sheet name="Предложение" sheetId="34" state="hidden" r:id="rId34"/>
    <sheet name="ХВС. Т-пит" sheetId="35" state="hidden" r:id="rId35"/>
    <sheet name="ХВС. Т-тех" sheetId="36" state="hidden" r:id="rId36"/>
    <sheet name="ХВС. Т-транс" sheetId="37" state="hidden" r:id="rId37"/>
    <sheet name="ХВС. Т-подвоз" sheetId="38" state="hidden" r:id="rId38"/>
    <sheet name="ХВС. Т-подкл" sheetId="39" state="hidden" r:id="rId39"/>
    <sheet name="Показатели ФХД" sheetId="40" state="hidden" r:id="rId40"/>
    <sheet name="Показатели ФХД &gt;20%" sheetId="41" state="hidden" r:id="rId41"/>
    <sheet name="ТКО. Показатели ФХД" sheetId="42" state="hidden" r:id="rId42"/>
    <sheet name="ТКО. Транс. Показатели ФХД" sheetId="43" state="hidden" r:id="rId43"/>
    <sheet name="Показатели КНЭ" sheetId="44" state="hidden" r:id="rId44"/>
    <sheet name="ИП" sheetId="45" state="hidden" r:id="rId45"/>
    <sheet name="ИП. Детализация" sheetId="46" state="hidden" r:id="rId46"/>
    <sheet name="ИП. Финансовый план" sheetId="47" state="hidden" r:id="rId47"/>
    <sheet name="ИП. КНЭ" sheetId="48" state="hidden" r:id="rId48"/>
    <sheet name="ГВС. Т-гор.вода" sheetId="49" state="hidden" r:id="rId49"/>
    <sheet name="ГВС. Т-транс" sheetId="50" state="hidden" r:id="rId50"/>
    <sheet name="ГВС. Т-подкл" sheetId="51" state="hidden" r:id="rId51"/>
    <sheet name="ВО. Т-во" sheetId="52" state="hidden" r:id="rId52"/>
    <sheet name="ВО. Т-транс" sheetId="53" state="hidden" r:id="rId53"/>
    <sheet name="ВО. Т-подкл" sheetId="54" state="hidden" r:id="rId54"/>
    <sheet name="modB_FHD" sheetId="55" state="hidden" r:id="rId55"/>
    <sheet name="modB_FHD20" sheetId="56" state="hidden" r:id="rId56"/>
    <sheet name="modB_KNE" sheetId="57" state="hidden" r:id="rId57"/>
    <sheet name="modIP_MAIN" sheetId="58" state="hidden" r:id="rId58"/>
    <sheet name="modIP_QRE" sheetId="59" state="hidden" r:id="rId59"/>
    <sheet name="modIP_DETAILED" sheetId="60" state="hidden" r:id="rId60"/>
    <sheet name="ЭД" sheetId="61" state="hidden" r:id="rId61"/>
    <sheet name="Сведения об изменении" sheetId="62" state="hidden" r:id="rId62"/>
    <sheet name="Орган регулирования" sheetId="63" state="hidden" r:id="rId63"/>
    <sheet name="Перечень организаций" sheetId="64" state="hidden" r:id="rId64"/>
    <sheet name="Дела об установлении тарифов" sheetId="65" state="hidden" r:id="rId65"/>
    <sheet name="Привлечение к ответственности" sheetId="66" state="hidden" r:id="rId66"/>
    <sheet name="Комментарии" sheetId="67" r:id="rId67"/>
    <sheet name="Проверка" sheetId="68" state="hidden" r:id="rId68"/>
    <sheet name="et_union_vert" sheetId="69" state="hidden" r:id="rId69"/>
    <sheet name="Легенда" sheetId="70" state="hidden" r:id="rId70"/>
    <sheet name="modfrmListIP" sheetId="71" state="hidden" r:id="rId71"/>
    <sheet name="modfrmActivity" sheetId="72" state="hidden" r:id="rId72"/>
    <sheet name="REESTR_ORG" sheetId="73" state="hidden" r:id="rId73"/>
    <sheet name="REESTR_MO" sheetId="74" state="hidden" r:id="rId74"/>
    <sheet name="REESTR_IP" sheetId="75" state="hidden" r:id="rId75"/>
    <sheet name="REESTR_OBJ_INFR" sheetId="76" state="hidden" r:id="rId76"/>
    <sheet name="REESTR_DS" sheetId="77" state="hidden" r:id="rId77"/>
    <sheet name="REESTR_VT" sheetId="78" state="hidden" r:id="rId78"/>
    <sheet name="REESTR_VED" sheetId="79" state="hidden" r:id="rId79"/>
    <sheet name="REESTR_MO_FILTER" sheetId="80" state="hidden" r:id="rId80"/>
    <sheet name="REESTR_LINK" sheetId="81" state="hidden" r:id="rId81"/>
    <sheet name="modSheetMain" sheetId="82" state="hidden" r:id="rId82"/>
    <sheet name="modfrmReportMode" sheetId="83" state="hidden" r:id="rId83"/>
    <sheet name="modfrmReestrObj" sheetId="84" state="hidden" r:id="rId84"/>
    <sheet name="AllSheetsInThisWorkbook" sheetId="85" state="hidden" r:id="rId85"/>
    <sheet name="modInfo" sheetId="86" state="hidden" r:id="rId86"/>
  </sheets>
  <definedNames>
    <definedName name="_xlnm._FilterDatabase" localSheetId="67">Проверка!$B$4:$E$5</definedName>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et_union_hor!$103:$111</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Титульный!$F$27</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Титульный!$F$26</definedName>
    <definedName name="TITLE_NAME_ROIV">Титульный!#REF!</definedName>
    <definedName name="TITLE_NUMBER_PR">Титульный!$F$22</definedName>
    <definedName name="TITLE_NUMBER_PR_CHANGE">Титульный!$F$28</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_ID_LIST">REESTR_VED!$A$2:$A$8</definedName>
    <definedName name="VD_LIST">REESTR_VED!$A$2:$B$8</definedName>
    <definedName name="VD_NAME_LIST">REESTR_VED!$B$2:$B$8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_xlnm.Print_Titles" localSheetId="31">ТП!$B:$B,ТП!$2:$2</definedName>
    <definedName name="_xlnm.Print_Area" localSheetId="31">ТП!$D$5:$I$22</definedName>
  </definedNames>
  <calcPr calcId="181029"/>
  <fileRecoveryPr repairLoad="1"/>
</workbook>
</file>

<file path=xl/calcChain.xml><?xml version="1.0" encoding="utf-8"?>
<calcChain xmlns="http://schemas.openxmlformats.org/spreadsheetml/2006/main">
  <c r="S11" i="66" l="1" a="1"/>
  <c r="S11" i="66" s="1"/>
  <c r="P11" i="66"/>
  <c r="G11" i="66"/>
  <c r="S2" i="66" a="1"/>
  <c r="S2" i="66"/>
  <c r="P2" i="66"/>
  <c r="G2" i="66"/>
  <c r="R10" i="65"/>
  <c r="P10" i="65" a="1"/>
  <c r="P10" i="65" s="1"/>
  <c r="M10" i="65"/>
  <c r="K8" i="65"/>
  <c r="R2" i="65"/>
  <c r="P2" i="65" a="1"/>
  <c r="P2" i="65" s="1"/>
  <c r="M2" i="65"/>
  <c r="F2" i="65"/>
  <c r="P9" i="64"/>
  <c r="N9" i="64" a="1"/>
  <c r="N9" i="64" s="1"/>
  <c r="K9" i="64"/>
  <c r="P2" i="64"/>
  <c r="N2" i="64" a="1"/>
  <c r="N2" i="64"/>
  <c r="K2" i="64"/>
  <c r="F12" i="63"/>
  <c r="F10" i="65" s="1"/>
  <c r="D6" i="63"/>
  <c r="BF63" i="54"/>
  <c r="BF62" i="54"/>
  <c r="BF61" i="54"/>
  <c r="BF60" i="54"/>
  <c r="BF59" i="54"/>
  <c r="BF58" i="54"/>
  <c r="BF57" i="54"/>
  <c r="BF56" i="54"/>
  <c r="BB56" i="54"/>
  <c r="AW56" i="54"/>
  <c r="AU56" i="54"/>
  <c r="Y56" i="54"/>
  <c r="W56" i="54"/>
  <c r="BF52" i="54"/>
  <c r="BF51" i="54"/>
  <c r="J51" i="54"/>
  <c r="BF50" i="54"/>
  <c r="I50" i="54"/>
  <c r="BF49" i="54"/>
  <c r="BF48" i="54"/>
  <c r="BF47" i="54"/>
  <c r="BF46" i="54"/>
  <c r="BC46" i="54"/>
  <c r="AX45" i="54"/>
  <c r="AY45" i="54" s="1"/>
  <c r="BA45" i="54" s="1"/>
  <c r="BB45" i="54" s="1"/>
  <c r="BC45" i="54" s="1"/>
  <c r="AW45" i="54"/>
  <c r="U45" i="54"/>
  <c r="V45" i="54" s="1"/>
  <c r="W45" i="54" s="1"/>
  <c r="X45" i="54" s="1"/>
  <c r="Y45" i="54" s="1"/>
  <c r="Z45" i="54" s="1"/>
  <c r="AA45" i="54" s="1"/>
  <c r="AC45" i="54" s="1"/>
  <c r="AD45" i="54" s="1"/>
  <c r="AD37" i="54"/>
  <c r="AD36" i="54"/>
  <c r="AD34" i="54"/>
  <c r="AD33" i="54"/>
  <c r="AD32" i="54"/>
  <c r="AD31" i="54"/>
  <c r="S29" i="54"/>
  <c r="S28" i="54"/>
  <c r="BF18" i="54"/>
  <c r="BF17" i="54"/>
  <c r="BF16" i="54"/>
  <c r="BF15" i="54"/>
  <c r="BF14" i="54"/>
  <c r="BF13" i="54"/>
  <c r="BF12" i="54"/>
  <c r="BB12" i="54"/>
  <c r="AW12" i="54"/>
  <c r="AU12" i="54"/>
  <c r="Y12" i="54"/>
  <c r="W12" i="54"/>
  <c r="BF8" i="54"/>
  <c r="BF7" i="54"/>
  <c r="J7" i="54"/>
  <c r="BF6" i="54"/>
  <c r="I6" i="54"/>
  <c r="BF5" i="54"/>
  <c r="BF4" i="54"/>
  <c r="AD4" i="54"/>
  <c r="S4" i="54"/>
  <c r="K8" i="54" s="1"/>
  <c r="S8" i="54" s="1"/>
  <c r="BF3" i="54"/>
  <c r="AD3" i="54"/>
  <c r="S3" i="54"/>
  <c r="BF2" i="54"/>
  <c r="BC2" i="54"/>
  <c r="AD2" i="54"/>
  <c r="S2" i="54"/>
  <c r="AN53" i="53"/>
  <c r="AN52" i="53"/>
  <c r="AN51" i="53"/>
  <c r="AN50" i="53"/>
  <c r="AN49" i="53"/>
  <c r="AN48" i="53"/>
  <c r="AN47" i="53"/>
  <c r="AE47" i="53"/>
  <c r="X47" i="53"/>
  <c r="AN46" i="53"/>
  <c r="AL46" i="53"/>
  <c r="AK46" i="53"/>
  <c r="AN45" i="53"/>
  <c r="AN44" i="53"/>
  <c r="AN43" i="53"/>
  <c r="AN42" i="53"/>
  <c r="AN41" i="53"/>
  <c r="AK41" i="53"/>
  <c r="Z40" i="53"/>
  <c r="AB40" i="53" s="1"/>
  <c r="AC40" i="53" s="1"/>
  <c r="AD40" i="53" s="1"/>
  <c r="AE40" i="53" s="1"/>
  <c r="AF40" i="53" s="1"/>
  <c r="AG40" i="53" s="1"/>
  <c r="AI40" i="53" s="1"/>
  <c r="AJ40" i="53" s="1"/>
  <c r="AK40" i="53" s="1"/>
  <c r="V40" i="53"/>
  <c r="W40" i="53" s="1"/>
  <c r="X40" i="53" s="1"/>
  <c r="Y40" i="53" s="1"/>
  <c r="U40" i="53"/>
  <c r="AC33" i="53"/>
  <c r="V33" i="53"/>
  <c r="AC32" i="53"/>
  <c r="V32" i="53"/>
  <c r="AC30" i="53"/>
  <c r="V30" i="53"/>
  <c r="AC29" i="53"/>
  <c r="V29" i="53"/>
  <c r="AC28" i="53"/>
  <c r="V28" i="53"/>
  <c r="AC27" i="53"/>
  <c r="V27" i="53"/>
  <c r="S25" i="53"/>
  <c r="S24" i="53"/>
  <c r="AE16" i="53"/>
  <c r="AN13" i="53"/>
  <c r="AN12" i="53"/>
  <c r="AN11" i="53"/>
  <c r="AN10" i="53"/>
  <c r="AN9" i="53"/>
  <c r="AN8" i="53"/>
  <c r="AE8" i="53"/>
  <c r="X8" i="53"/>
  <c r="AN7" i="53"/>
  <c r="AL7" i="53"/>
  <c r="AK7" i="53"/>
  <c r="AN6" i="53"/>
  <c r="J6" i="53"/>
  <c r="AN5" i="53"/>
  <c r="I5" i="53"/>
  <c r="S5" i="53" s="1"/>
  <c r="AN4" i="53"/>
  <c r="AC4" i="53"/>
  <c r="S4" i="53"/>
  <c r="AN3" i="53"/>
  <c r="AC3" i="53"/>
  <c r="S3" i="53"/>
  <c r="AN2" i="53"/>
  <c r="AK2" i="53"/>
  <c r="AC2" i="53"/>
  <c r="S2" i="53"/>
  <c r="AN53" i="52"/>
  <c r="AN52" i="52"/>
  <c r="AN51" i="52"/>
  <c r="AN50" i="52"/>
  <c r="AN49" i="52"/>
  <c r="AN48" i="52"/>
  <c r="AN47" i="52"/>
  <c r="AE47" i="52"/>
  <c r="X47" i="52"/>
  <c r="AN46" i="52"/>
  <c r="AL46" i="52"/>
  <c r="AK46" i="52"/>
  <c r="AN45" i="52"/>
  <c r="AN44" i="52"/>
  <c r="AN43" i="52"/>
  <c r="AN42" i="52"/>
  <c r="AN41" i="52"/>
  <c r="AK41" i="52"/>
  <c r="AK40" i="52"/>
  <c r="AF40" i="52"/>
  <c r="AG40" i="52" s="1"/>
  <c r="AI40" i="52" s="1"/>
  <c r="AJ40" i="52" s="1"/>
  <c r="AB40" i="52"/>
  <c r="AC40" i="52" s="1"/>
  <c r="AD40" i="52" s="1"/>
  <c r="AE40" i="52" s="1"/>
  <c r="W40" i="52"/>
  <c r="X40" i="52" s="1"/>
  <c r="Y40" i="52" s="1"/>
  <c r="Z40" i="52" s="1"/>
  <c r="V40" i="52"/>
  <c r="U40" i="52"/>
  <c r="AC33" i="52"/>
  <c r="V33" i="52"/>
  <c r="AC32" i="52"/>
  <c r="V32" i="52"/>
  <c r="AC30" i="52"/>
  <c r="V30" i="52"/>
  <c r="AC29" i="52"/>
  <c r="V29" i="52"/>
  <c r="AC28" i="52"/>
  <c r="V28" i="52"/>
  <c r="AC27" i="52"/>
  <c r="V27" i="52"/>
  <c r="S25" i="52"/>
  <c r="S24" i="52"/>
  <c r="AE16" i="52"/>
  <c r="AN13" i="52"/>
  <c r="AN12" i="52"/>
  <c r="AN11" i="52"/>
  <c r="AN10" i="52"/>
  <c r="AN9" i="52"/>
  <c r="AN8" i="52"/>
  <c r="AE8" i="52"/>
  <c r="X8" i="52"/>
  <c r="AN7" i="52"/>
  <c r="AL7" i="52"/>
  <c r="AK7" i="52"/>
  <c r="AN6" i="52"/>
  <c r="AN5" i="52"/>
  <c r="I5" i="52"/>
  <c r="AN4" i="52"/>
  <c r="AC4" i="52"/>
  <c r="S4" i="52"/>
  <c r="AN3" i="52"/>
  <c r="AC3" i="52"/>
  <c r="S3" i="52"/>
  <c r="AN2" i="52"/>
  <c r="AK2" i="52"/>
  <c r="AC2" i="52"/>
  <c r="S2" i="52"/>
  <c r="BF63" i="51"/>
  <c r="BF62" i="51"/>
  <c r="BF61" i="51"/>
  <c r="BF60" i="51"/>
  <c r="BF59" i="51"/>
  <c r="BF58" i="51"/>
  <c r="BF57" i="51"/>
  <c r="BF56" i="51"/>
  <c r="BB56" i="51"/>
  <c r="AW56" i="51"/>
  <c r="AU56" i="51"/>
  <c r="Y56" i="51"/>
  <c r="W56" i="51"/>
  <c r="BF52" i="51"/>
  <c r="BF51" i="51"/>
  <c r="J51" i="51"/>
  <c r="BF50" i="51"/>
  <c r="I50" i="51"/>
  <c r="BF49" i="51"/>
  <c r="BF48" i="51"/>
  <c r="BF47" i="51"/>
  <c r="BF46" i="51"/>
  <c r="BC46" i="51"/>
  <c r="AW45" i="51"/>
  <c r="AX45" i="51" s="1"/>
  <c r="AY45" i="51" s="1"/>
  <c r="BA45" i="51" s="1"/>
  <c r="BB45" i="51" s="1"/>
  <c r="BC45" i="51" s="1"/>
  <c r="U45" i="51"/>
  <c r="V45" i="51" s="1"/>
  <c r="W45" i="51" s="1"/>
  <c r="X45" i="51" s="1"/>
  <c r="Y45" i="51" s="1"/>
  <c r="Z45" i="51" s="1"/>
  <c r="AA45" i="51" s="1"/>
  <c r="AC45" i="51" s="1"/>
  <c r="AD45" i="51" s="1"/>
  <c r="AD37" i="51"/>
  <c r="AD36" i="51"/>
  <c r="AD34" i="51"/>
  <c r="AD33" i="51"/>
  <c r="AD32" i="51"/>
  <c r="AD31" i="51"/>
  <c r="S29" i="51"/>
  <c r="S28" i="51"/>
  <c r="BF18" i="51"/>
  <c r="BF17" i="51"/>
  <c r="BF16" i="51"/>
  <c r="BF15" i="51"/>
  <c r="BF14" i="51"/>
  <c r="BF13" i="51"/>
  <c r="BF12" i="51"/>
  <c r="BB12" i="51"/>
  <c r="AW12" i="51"/>
  <c r="AU12" i="51"/>
  <c r="Y12" i="51"/>
  <c r="W12" i="51"/>
  <c r="BF8" i="51"/>
  <c r="BF7" i="51"/>
  <c r="J7" i="51"/>
  <c r="BF6" i="51"/>
  <c r="I6" i="51"/>
  <c r="BF5" i="51"/>
  <c r="BF4" i="51"/>
  <c r="AD4" i="51"/>
  <c r="S4" i="51"/>
  <c r="K8" i="51" s="1"/>
  <c r="S8" i="51" s="1"/>
  <c r="BF3" i="51"/>
  <c r="AD3" i="51"/>
  <c r="S3" i="51"/>
  <c r="BF2" i="51"/>
  <c r="BC2" i="51"/>
  <c r="AD2" i="51"/>
  <c r="S2" i="51"/>
  <c r="AN53" i="50"/>
  <c r="AN52" i="50"/>
  <c r="AN51" i="50"/>
  <c r="AN50" i="50"/>
  <c r="AN49" i="50"/>
  <c r="AN48" i="50"/>
  <c r="AN47" i="50"/>
  <c r="AE47" i="50"/>
  <c r="X47" i="50"/>
  <c r="AN46" i="50"/>
  <c r="AL46" i="50"/>
  <c r="AK46" i="50"/>
  <c r="AN45" i="50"/>
  <c r="AN44" i="50"/>
  <c r="AN43" i="50"/>
  <c r="AN42" i="50"/>
  <c r="AN41" i="50"/>
  <c r="AK41" i="50"/>
  <c r="X40" i="50"/>
  <c r="Y40" i="50" s="1"/>
  <c r="Z40" i="50" s="1"/>
  <c r="AB40" i="50" s="1"/>
  <c r="AC40" i="50" s="1"/>
  <c r="AD40" i="50" s="1"/>
  <c r="AE40" i="50" s="1"/>
  <c r="AF40" i="50" s="1"/>
  <c r="AG40" i="50" s="1"/>
  <c r="AI40" i="50" s="1"/>
  <c r="AJ40" i="50" s="1"/>
  <c r="AK40" i="50" s="1"/>
  <c r="U40" i="50"/>
  <c r="V40" i="50" s="1"/>
  <c r="W40" i="50" s="1"/>
  <c r="AC33" i="50"/>
  <c r="V33" i="50"/>
  <c r="AC32" i="50"/>
  <c r="V32" i="50"/>
  <c r="AC30" i="50"/>
  <c r="V30" i="50"/>
  <c r="AC29" i="50"/>
  <c r="V29" i="50"/>
  <c r="AC28" i="50"/>
  <c r="V28" i="50"/>
  <c r="AC27" i="50"/>
  <c r="V27" i="50"/>
  <c r="S25" i="50"/>
  <c r="S24" i="50"/>
  <c r="AE16" i="50"/>
  <c r="AN13" i="50"/>
  <c r="AN12" i="50"/>
  <c r="AN11" i="50"/>
  <c r="AN10" i="50"/>
  <c r="AN9" i="50"/>
  <c r="AN8" i="50"/>
  <c r="AE8" i="50"/>
  <c r="X8" i="50"/>
  <c r="AN7" i="50"/>
  <c r="AL7" i="50"/>
  <c r="AK7" i="50"/>
  <c r="AN6" i="50"/>
  <c r="AN5" i="50"/>
  <c r="AN4" i="50"/>
  <c r="AC4" i="50"/>
  <c r="S4" i="50"/>
  <c r="I5" i="50" s="1"/>
  <c r="J6" i="50" s="1"/>
  <c r="AN3" i="50"/>
  <c r="AC3" i="50"/>
  <c r="S3" i="50"/>
  <c r="AN2" i="50"/>
  <c r="AK2" i="50"/>
  <c r="AC2" i="50"/>
  <c r="S2" i="50"/>
  <c r="AN53" i="49"/>
  <c r="AN52" i="49"/>
  <c r="AN51" i="49"/>
  <c r="AN50" i="49"/>
  <c r="AN49" i="49"/>
  <c r="AN48" i="49"/>
  <c r="AN47" i="49"/>
  <c r="AE47" i="49"/>
  <c r="X47" i="49"/>
  <c r="AN46" i="49"/>
  <c r="AL46" i="49"/>
  <c r="AK46" i="49"/>
  <c r="AN45" i="49"/>
  <c r="AN44" i="49"/>
  <c r="AN43" i="49"/>
  <c r="AN42" i="49"/>
  <c r="AN41" i="49"/>
  <c r="AK41" i="49"/>
  <c r="AD40" i="49"/>
  <c r="AE40" i="49" s="1"/>
  <c r="AF40" i="49" s="1"/>
  <c r="AG40" i="49" s="1"/>
  <c r="AI40" i="49" s="1"/>
  <c r="AJ40" i="49" s="1"/>
  <c r="AK40" i="49" s="1"/>
  <c r="Y40" i="49"/>
  <c r="Z40" i="49" s="1"/>
  <c r="AB40" i="49" s="1"/>
  <c r="AC40" i="49" s="1"/>
  <c r="U40" i="49"/>
  <c r="V40" i="49" s="1"/>
  <c r="W40" i="49" s="1"/>
  <c r="X40" i="49" s="1"/>
  <c r="AC33" i="49"/>
  <c r="V33" i="49"/>
  <c r="AC32" i="49"/>
  <c r="V32" i="49"/>
  <c r="AC30" i="49"/>
  <c r="V30" i="49"/>
  <c r="AC29" i="49"/>
  <c r="V29" i="49"/>
  <c r="AC28" i="49"/>
  <c r="V28" i="49"/>
  <c r="AC27" i="49"/>
  <c r="V27" i="49"/>
  <c r="S25" i="49"/>
  <c r="S24" i="49"/>
  <c r="AE16" i="49"/>
  <c r="AN13" i="49"/>
  <c r="AN12" i="49"/>
  <c r="AN11" i="49"/>
  <c r="AN10" i="49"/>
  <c r="AN9" i="49"/>
  <c r="AN8" i="49"/>
  <c r="AE8" i="49"/>
  <c r="X8" i="49"/>
  <c r="AN7" i="49"/>
  <c r="AL7" i="49"/>
  <c r="AK7" i="49"/>
  <c r="AN6" i="49"/>
  <c r="AN5" i="49"/>
  <c r="AN4" i="49"/>
  <c r="AC4" i="49"/>
  <c r="S4" i="49"/>
  <c r="I5" i="49" s="1"/>
  <c r="AN3" i="49"/>
  <c r="AC3" i="49"/>
  <c r="S3" i="49"/>
  <c r="AN2" i="49"/>
  <c r="AK2" i="49"/>
  <c r="AC2" i="49"/>
  <c r="S2" i="49"/>
  <c r="F6" i="48"/>
  <c r="H57" i="47"/>
  <c r="H56" i="47"/>
  <c r="H55" i="47"/>
  <c r="I54" i="47"/>
  <c r="H54" i="47" s="1"/>
  <c r="H53" i="47"/>
  <c r="H52" i="47"/>
  <c r="H51" i="47"/>
  <c r="H50" i="47"/>
  <c r="I49" i="47"/>
  <c r="H49" i="47"/>
  <c r="H47" i="47"/>
  <c r="H46" i="47"/>
  <c r="H45" i="47"/>
  <c r="I44" i="47"/>
  <c r="H44" i="47" s="1"/>
  <c r="H43" i="47"/>
  <c r="H42" i="47"/>
  <c r="H41" i="47"/>
  <c r="H40" i="47"/>
  <c r="I39" i="47"/>
  <c r="H39" i="47"/>
  <c r="I38" i="47"/>
  <c r="H38" i="47" s="1"/>
  <c r="H35" i="47"/>
  <c r="H34" i="47"/>
  <c r="H33" i="47"/>
  <c r="I32" i="47"/>
  <c r="H32" i="47" s="1"/>
  <c r="H31" i="47"/>
  <c r="H30" i="47"/>
  <c r="H29" i="47"/>
  <c r="I28" i="47"/>
  <c r="H28" i="47" s="1"/>
  <c r="H27" i="47"/>
  <c r="H26" i="47"/>
  <c r="H25" i="47"/>
  <c r="H24" i="47"/>
  <c r="H23" i="47"/>
  <c r="H22" i="47"/>
  <c r="H21" i="47"/>
  <c r="H20" i="47"/>
  <c r="H19" i="47"/>
  <c r="H18" i="47"/>
  <c r="H17" i="47"/>
  <c r="H16" i="47"/>
  <c r="I15" i="47"/>
  <c r="I36" i="47" s="1"/>
  <c r="H36" i="47" s="1"/>
  <c r="H15" i="47"/>
  <c r="H11" i="47"/>
  <c r="F6" i="47"/>
  <c r="F6" i="46"/>
  <c r="H15" i="45"/>
  <c r="F6" i="45"/>
  <c r="J12" i="44"/>
  <c r="I12" i="44"/>
  <c r="H12" i="44"/>
  <c r="G12" i="44"/>
  <c r="G9" i="44"/>
  <c r="G8" i="44"/>
  <c r="G7" i="44"/>
  <c r="D4" i="44"/>
  <c r="E28" i="43"/>
  <c r="I27" i="43"/>
  <c r="H27" i="43"/>
  <c r="H16" i="43" s="1"/>
  <c r="I16" i="43"/>
  <c r="H12" i="43"/>
  <c r="H11" i="43"/>
  <c r="H10" i="43"/>
  <c r="E7" i="43"/>
  <c r="E33" i="42"/>
  <c r="I32" i="42"/>
  <c r="H32" i="42"/>
  <c r="H16" i="42" s="1"/>
  <c r="I16" i="42"/>
  <c r="H12" i="42"/>
  <c r="H11" i="42"/>
  <c r="H10" i="42"/>
  <c r="E7" i="42"/>
  <c r="V20" i="41"/>
  <c r="Q20" i="41"/>
  <c r="V17" i="41"/>
  <c r="Q17" i="41"/>
  <c r="E6" i="41"/>
  <c r="I87" i="40"/>
  <c r="H87" i="40"/>
  <c r="I69" i="40"/>
  <c r="H69" i="40"/>
  <c r="K40" i="40"/>
  <c r="K39" i="40"/>
  <c r="K38" i="40"/>
  <c r="K37" i="40"/>
  <c r="K36" i="40"/>
  <c r="K35" i="40"/>
  <c r="K34" i="40"/>
  <c r="I33" i="40"/>
  <c r="H33" i="40"/>
  <c r="H27" i="40"/>
  <c r="H26" i="40"/>
  <c r="H25" i="40"/>
  <c r="E22" i="40"/>
  <c r="E7" i="40"/>
  <c r="E6" i="40"/>
  <c r="E5" i="40"/>
  <c r="E4" i="40"/>
  <c r="I3" i="40"/>
  <c r="H3" i="40"/>
  <c r="E2" i="40"/>
  <c r="BF63" i="39"/>
  <c r="BF62" i="39"/>
  <c r="BF61" i="39"/>
  <c r="BF60" i="39"/>
  <c r="BF59" i="39"/>
  <c r="BF58" i="39"/>
  <c r="BF57" i="39"/>
  <c r="BF56" i="39"/>
  <c r="BB56" i="39"/>
  <c r="AW56" i="39"/>
  <c r="AU56" i="39"/>
  <c r="Y56" i="39"/>
  <c r="W56" i="39"/>
  <c r="BF52" i="39"/>
  <c r="BF51" i="39"/>
  <c r="J51" i="39"/>
  <c r="BF50" i="39"/>
  <c r="I50" i="39"/>
  <c r="BF49" i="39"/>
  <c r="BF48" i="39"/>
  <c r="BF47" i="39"/>
  <c r="BF46" i="39"/>
  <c r="BC46" i="39"/>
  <c r="BA45" i="39"/>
  <c r="BB45" i="39" s="1"/>
  <c r="BC45" i="39" s="1"/>
  <c r="AY45" i="39"/>
  <c r="AX45" i="39"/>
  <c r="AW45" i="39"/>
  <c r="X45" i="39"/>
  <c r="Y45" i="39" s="1"/>
  <c r="Z45" i="39" s="1"/>
  <c r="AA45" i="39" s="1"/>
  <c r="AC45" i="39" s="1"/>
  <c r="AD45" i="39" s="1"/>
  <c r="U45" i="39"/>
  <c r="V45" i="39" s="1"/>
  <c r="W45" i="39" s="1"/>
  <c r="AD37" i="39"/>
  <c r="AD36" i="39"/>
  <c r="AD34" i="39"/>
  <c r="AD33" i="39"/>
  <c r="AD32" i="39"/>
  <c r="AD31" i="39"/>
  <c r="S29" i="39"/>
  <c r="S28" i="39"/>
  <c r="BF18" i="39"/>
  <c r="BF17" i="39"/>
  <c r="BF16" i="39"/>
  <c r="BF15" i="39"/>
  <c r="BF14" i="39"/>
  <c r="BF13" i="39"/>
  <c r="BF12" i="39"/>
  <c r="BB12" i="39"/>
  <c r="AW12" i="39"/>
  <c r="AU12" i="39"/>
  <c r="Y12" i="39"/>
  <c r="W12" i="39"/>
  <c r="BF8" i="39"/>
  <c r="BF7" i="39"/>
  <c r="J7" i="39"/>
  <c r="BF6" i="39"/>
  <c r="I6" i="39"/>
  <c r="BF5" i="39"/>
  <c r="BF4" i="39"/>
  <c r="AD4" i="39"/>
  <c r="S4" i="39"/>
  <c r="K8" i="39" s="1"/>
  <c r="S8" i="39" s="1"/>
  <c r="BF3" i="39"/>
  <c r="AD3" i="39"/>
  <c r="S3" i="39"/>
  <c r="BF2" i="39"/>
  <c r="BC2" i="39"/>
  <c r="AD2" i="39"/>
  <c r="S2" i="39"/>
  <c r="AN53" i="38"/>
  <c r="AN52" i="38"/>
  <c r="AN51" i="38"/>
  <c r="AN50" i="38"/>
  <c r="AN49" i="38"/>
  <c r="AN48" i="38"/>
  <c r="AN47" i="38"/>
  <c r="AE47" i="38"/>
  <c r="X47" i="38"/>
  <c r="AN46" i="38"/>
  <c r="AL46" i="38"/>
  <c r="AK46" i="38"/>
  <c r="AN45" i="38"/>
  <c r="AN44" i="38"/>
  <c r="AN43" i="38"/>
  <c r="AN42" i="38"/>
  <c r="AN41" i="38"/>
  <c r="AK41" i="38"/>
  <c r="V40" i="38"/>
  <c r="W40" i="38" s="1"/>
  <c r="X40" i="38" s="1"/>
  <c r="Y40" i="38" s="1"/>
  <c r="Z40" i="38" s="1"/>
  <c r="AB40" i="38" s="1"/>
  <c r="AC40" i="38" s="1"/>
  <c r="AD40" i="38" s="1"/>
  <c r="AE40" i="38" s="1"/>
  <c r="AF40" i="38" s="1"/>
  <c r="AG40" i="38" s="1"/>
  <c r="AI40" i="38" s="1"/>
  <c r="AJ40" i="38" s="1"/>
  <c r="AK40" i="38" s="1"/>
  <c r="U40" i="38"/>
  <c r="AC33" i="38"/>
  <c r="V33" i="38"/>
  <c r="AC32" i="38"/>
  <c r="V32" i="38"/>
  <c r="AC30" i="38"/>
  <c r="V30" i="38"/>
  <c r="AC29" i="38"/>
  <c r="V29" i="38"/>
  <c r="AC28" i="38"/>
  <c r="V28" i="38"/>
  <c r="AC27" i="38"/>
  <c r="V27" i="38"/>
  <c r="S25" i="38"/>
  <c r="S24" i="38"/>
  <c r="AE16" i="38"/>
  <c r="AN13" i="38"/>
  <c r="AN12" i="38"/>
  <c r="AN11" i="38"/>
  <c r="AN10" i="38"/>
  <c r="AN9" i="38"/>
  <c r="AN8" i="38"/>
  <c r="AE8" i="38"/>
  <c r="X8" i="38"/>
  <c r="AN7" i="38"/>
  <c r="AL7" i="38"/>
  <c r="AK7" i="38"/>
  <c r="AN6" i="38"/>
  <c r="AN5" i="38"/>
  <c r="AN4" i="38"/>
  <c r="AC4" i="38"/>
  <c r="S4" i="38"/>
  <c r="I5" i="38" s="1"/>
  <c r="S5" i="38" s="1"/>
  <c r="AN3" i="38"/>
  <c r="AC3" i="38"/>
  <c r="S3" i="38"/>
  <c r="AN2" i="38"/>
  <c r="AK2" i="38"/>
  <c r="AC2" i="38"/>
  <c r="S2" i="38"/>
  <c r="AN53" i="37"/>
  <c r="AN52" i="37"/>
  <c r="AN51" i="37"/>
  <c r="AN50" i="37"/>
  <c r="AN49" i="37"/>
  <c r="AN48" i="37"/>
  <c r="AN47" i="37"/>
  <c r="AE47" i="37"/>
  <c r="X47" i="37"/>
  <c r="AN46" i="37"/>
  <c r="AL46" i="37"/>
  <c r="AK46" i="37"/>
  <c r="AN45" i="37"/>
  <c r="AN44" i="37"/>
  <c r="AN43" i="37"/>
  <c r="AN42" i="37"/>
  <c r="AN41" i="37"/>
  <c r="AK41" i="37"/>
  <c r="AB40" i="37"/>
  <c r="AC40" i="37" s="1"/>
  <c r="AD40" i="37" s="1"/>
  <c r="AE40" i="37" s="1"/>
  <c r="AF40" i="37" s="1"/>
  <c r="AG40" i="37" s="1"/>
  <c r="AI40" i="37" s="1"/>
  <c r="AJ40" i="37" s="1"/>
  <c r="AK40" i="37" s="1"/>
  <c r="W40" i="37"/>
  <c r="X40" i="37" s="1"/>
  <c r="Y40" i="37" s="1"/>
  <c r="Z40" i="37" s="1"/>
  <c r="V40" i="37"/>
  <c r="U40" i="37"/>
  <c r="AC33" i="37"/>
  <c r="V33" i="37"/>
  <c r="AC32" i="37"/>
  <c r="V32" i="37"/>
  <c r="AC30" i="37"/>
  <c r="V30" i="37"/>
  <c r="AC29" i="37"/>
  <c r="V29" i="37"/>
  <c r="AC28" i="37"/>
  <c r="V28" i="37"/>
  <c r="AC27" i="37"/>
  <c r="V27" i="37"/>
  <c r="S25" i="37"/>
  <c r="S24" i="37"/>
  <c r="AE16" i="37"/>
  <c r="AN13" i="37"/>
  <c r="AN12" i="37"/>
  <c r="AN11" i="37"/>
  <c r="AN10" i="37"/>
  <c r="AN9" i="37"/>
  <c r="AN8" i="37"/>
  <c r="AE8" i="37"/>
  <c r="X8" i="37"/>
  <c r="AN7" i="37"/>
  <c r="AL7" i="37"/>
  <c r="AK7" i="37"/>
  <c r="AN6" i="37"/>
  <c r="AN5" i="37"/>
  <c r="I5" i="37"/>
  <c r="AN4" i="37"/>
  <c r="AC4" i="37"/>
  <c r="S4" i="37"/>
  <c r="AN3" i="37"/>
  <c r="AC3" i="37"/>
  <c r="S3" i="37"/>
  <c r="AN2" i="37"/>
  <c r="AK2" i="37"/>
  <c r="AC2" i="37"/>
  <c r="S2" i="37"/>
  <c r="AN53" i="36"/>
  <c r="AN52" i="36"/>
  <c r="AN51" i="36"/>
  <c r="AN50" i="36"/>
  <c r="AN49" i="36"/>
  <c r="AN48" i="36"/>
  <c r="AN47" i="36"/>
  <c r="AE47" i="36"/>
  <c r="X47" i="36"/>
  <c r="AN46" i="36"/>
  <c r="AL46" i="36"/>
  <c r="AK46" i="36"/>
  <c r="AN45" i="36"/>
  <c r="AN44" i="36"/>
  <c r="AN43" i="36"/>
  <c r="AN42" i="36"/>
  <c r="AN41" i="36"/>
  <c r="AK41" i="36"/>
  <c r="X40" i="36"/>
  <c r="Y40" i="36" s="1"/>
  <c r="Z40" i="36" s="1"/>
  <c r="AB40" i="36" s="1"/>
  <c r="AC40" i="36" s="1"/>
  <c r="AD40" i="36" s="1"/>
  <c r="AE40" i="36" s="1"/>
  <c r="AF40" i="36" s="1"/>
  <c r="AG40" i="36" s="1"/>
  <c r="AI40" i="36" s="1"/>
  <c r="AJ40" i="36" s="1"/>
  <c r="AK40" i="36" s="1"/>
  <c r="W40" i="36"/>
  <c r="V40" i="36"/>
  <c r="U40" i="36"/>
  <c r="AC33" i="36"/>
  <c r="V33" i="36"/>
  <c r="AC32" i="36"/>
  <c r="V32" i="36"/>
  <c r="AC30" i="36"/>
  <c r="V30" i="36"/>
  <c r="AC29" i="36"/>
  <c r="V29" i="36"/>
  <c r="AC28" i="36"/>
  <c r="V28" i="36"/>
  <c r="AC27" i="36"/>
  <c r="V27" i="36"/>
  <c r="S25" i="36"/>
  <c r="S24" i="36"/>
  <c r="AE16" i="36"/>
  <c r="AN13" i="36"/>
  <c r="AN12" i="36"/>
  <c r="AN11" i="36"/>
  <c r="AN10" i="36"/>
  <c r="AN9" i="36"/>
  <c r="AN8" i="36"/>
  <c r="AE8" i="36"/>
  <c r="X8" i="36"/>
  <c r="AN7" i="36"/>
  <c r="AL7" i="36"/>
  <c r="AK7" i="36"/>
  <c r="AN6" i="36"/>
  <c r="AN5" i="36"/>
  <c r="S5" i="36"/>
  <c r="AN4" i="36"/>
  <c r="AC4" i="36"/>
  <c r="S4" i="36"/>
  <c r="I5" i="36" s="1"/>
  <c r="J6" i="36" s="1"/>
  <c r="AN3" i="36"/>
  <c r="AC3" i="36"/>
  <c r="S3" i="36"/>
  <c r="AN2" i="36"/>
  <c r="AK2" i="36"/>
  <c r="AC2" i="36"/>
  <c r="S2" i="36"/>
  <c r="AN53" i="35"/>
  <c r="AN52" i="35"/>
  <c r="AN51" i="35"/>
  <c r="AN50" i="35"/>
  <c r="AN49" i="35"/>
  <c r="AN48" i="35"/>
  <c r="AN47" i="35"/>
  <c r="AE47" i="35"/>
  <c r="X47" i="35"/>
  <c r="AN46" i="35"/>
  <c r="AL46" i="35"/>
  <c r="AK46" i="35"/>
  <c r="AN45" i="35"/>
  <c r="AN44" i="35"/>
  <c r="AN43" i="35"/>
  <c r="AN42" i="35"/>
  <c r="AN41" i="35"/>
  <c r="AK41" i="35"/>
  <c r="U40" i="35"/>
  <c r="V40" i="35" s="1"/>
  <c r="W40" i="35" s="1"/>
  <c r="X40" i="35" s="1"/>
  <c r="Y40" i="35" s="1"/>
  <c r="Z40" i="35" s="1"/>
  <c r="AB40" i="35" s="1"/>
  <c r="AC40" i="35" s="1"/>
  <c r="AD40" i="35" s="1"/>
  <c r="AE40" i="35" s="1"/>
  <c r="AF40" i="35" s="1"/>
  <c r="AG40" i="35" s="1"/>
  <c r="AI40" i="35" s="1"/>
  <c r="AJ40" i="35" s="1"/>
  <c r="AK40" i="35" s="1"/>
  <c r="AC33" i="35"/>
  <c r="V33" i="35"/>
  <c r="AC32" i="35"/>
  <c r="V32" i="35"/>
  <c r="AC30" i="35"/>
  <c r="V30" i="35"/>
  <c r="AC29" i="35"/>
  <c r="V29" i="35"/>
  <c r="AC28" i="35"/>
  <c r="V28" i="35"/>
  <c r="AC27" i="35"/>
  <c r="V27" i="35"/>
  <c r="S25" i="35"/>
  <c r="S24" i="35"/>
  <c r="AE16" i="35"/>
  <c r="AN13" i="35"/>
  <c r="AN12" i="35"/>
  <c r="AN11" i="35"/>
  <c r="AN10" i="35"/>
  <c r="AN9" i="35"/>
  <c r="AN8" i="35"/>
  <c r="AE8" i="35"/>
  <c r="X8" i="35"/>
  <c r="AN7" i="35"/>
  <c r="AL7" i="35"/>
  <c r="AK7" i="35"/>
  <c r="AN6" i="35"/>
  <c r="AN5" i="35"/>
  <c r="AN4" i="35"/>
  <c r="AC4" i="35"/>
  <c r="S4" i="35"/>
  <c r="I5" i="35" s="1"/>
  <c r="AN3" i="35"/>
  <c r="AC3" i="35"/>
  <c r="S3" i="35"/>
  <c r="AN2" i="35"/>
  <c r="AK2" i="35"/>
  <c r="AC2" i="35"/>
  <c r="S2" i="35"/>
  <c r="E175" i="34"/>
  <c r="E136" i="34"/>
  <c r="E97" i="34"/>
  <c r="E81" i="34"/>
  <c r="E65" i="34"/>
  <c r="E56" i="34"/>
  <c r="E52" i="34"/>
  <c r="E48" i="34"/>
  <c r="E32" i="34"/>
  <c r="E17" i="34"/>
  <c r="F11" i="34"/>
  <c r="E11" i="34"/>
  <c r="F10" i="34"/>
  <c r="E10" i="34"/>
  <c r="G28" i="33"/>
  <c r="G27" i="33"/>
  <c r="G26" i="33"/>
  <c r="D23" i="33"/>
  <c r="D14" i="33"/>
  <c r="D13" i="33"/>
  <c r="D11" i="33"/>
  <c r="D10" i="33"/>
  <c r="D9" i="33"/>
  <c r="D7" i="33"/>
  <c r="D6" i="33"/>
  <c r="D4" i="33"/>
  <c r="D3" i="33"/>
  <c r="F21" i="32"/>
  <c r="I19" i="32"/>
  <c r="H19" i="32"/>
  <c r="G19" i="32"/>
  <c r="F19" i="32"/>
  <c r="E17" i="32"/>
  <c r="H14" i="32"/>
  <c r="G14" i="32"/>
  <c r="G11" i="32"/>
  <c r="G10" i="32"/>
  <c r="G9" i="32"/>
  <c r="D6" i="32"/>
  <c r="F2" i="32"/>
  <c r="I14" i="31"/>
  <c r="G14" i="31"/>
  <c r="G11" i="31"/>
  <c r="G10" i="31"/>
  <c r="G9" i="31"/>
  <c r="D6" i="31"/>
  <c r="E13" i="29"/>
  <c r="H12" i="29"/>
  <c r="E12" i="29"/>
  <c r="E11" i="29"/>
  <c r="D6" i="29"/>
  <c r="E42" i="28"/>
  <c r="E31" i="28"/>
  <c r="D15" i="28"/>
  <c r="R24" i="27"/>
  <c r="Y23" i="27"/>
  <c r="L23" i="27"/>
  <c r="L22" i="27"/>
  <c r="L21" i="27"/>
  <c r="L20" i="27"/>
  <c r="L19" i="27"/>
  <c r="S18" i="27"/>
  <c r="T18" i="27" s="1"/>
  <c r="V18" i="27" s="1"/>
  <c r="X18" i="27" s="1"/>
  <c r="O18" i="27"/>
  <c r="P18" i="27" s="1"/>
  <c r="Q18" i="27" s="1"/>
  <c r="R18" i="27" s="1"/>
  <c r="O10" i="27"/>
  <c r="O9" i="27"/>
  <c r="O8" i="27"/>
  <c r="O7" i="27"/>
  <c r="AA32" i="26"/>
  <c r="AA31" i="26"/>
  <c r="AA30" i="26"/>
  <c r="AA29" i="26"/>
  <c r="AA28" i="26"/>
  <c r="AA27" i="26"/>
  <c r="AA26" i="26"/>
  <c r="R26" i="26"/>
  <c r="AA25" i="26"/>
  <c r="Y25" i="26"/>
  <c r="AA24" i="26"/>
  <c r="AA23" i="26"/>
  <c r="AA22" i="26"/>
  <c r="O22" i="26"/>
  <c r="L22" i="26"/>
  <c r="F23" i="26" s="1"/>
  <c r="AA21" i="26"/>
  <c r="O21" i="26"/>
  <c r="L21" i="26"/>
  <c r="AA20" i="26"/>
  <c r="O20" i="26"/>
  <c r="L20" i="26"/>
  <c r="AA19" i="26"/>
  <c r="O19" i="26"/>
  <c r="L19" i="26"/>
  <c r="R18" i="26"/>
  <c r="S18" i="26" s="1"/>
  <c r="T18" i="26" s="1"/>
  <c r="V18" i="26" s="1"/>
  <c r="W18" i="26" s="1"/>
  <c r="X18" i="26" s="1"/>
  <c r="Q18" i="26"/>
  <c r="N18" i="26"/>
  <c r="O18" i="26" s="1"/>
  <c r="O11" i="26"/>
  <c r="O10" i="26"/>
  <c r="O9" i="26"/>
  <c r="O8" i="26"/>
  <c r="L6" i="26"/>
  <c r="AA32" i="25"/>
  <c r="AA31" i="25"/>
  <c r="AA30" i="25"/>
  <c r="AA29" i="25"/>
  <c r="AA28" i="25"/>
  <c r="AA27" i="25"/>
  <c r="AA26" i="25"/>
  <c r="R26" i="25"/>
  <c r="AA25" i="25"/>
  <c r="Y25" i="25"/>
  <c r="AA24" i="25"/>
  <c r="AA23" i="25"/>
  <c r="AA22" i="25"/>
  <c r="O22" i="25"/>
  <c r="L22" i="25"/>
  <c r="F23" i="25" s="1"/>
  <c r="AA21" i="25"/>
  <c r="O21" i="25"/>
  <c r="L21" i="25"/>
  <c r="AA20" i="25"/>
  <c r="O20" i="25"/>
  <c r="L20" i="25"/>
  <c r="AA19" i="25"/>
  <c r="O19" i="25"/>
  <c r="L19" i="25"/>
  <c r="R18" i="25"/>
  <c r="S18" i="25" s="1"/>
  <c r="T18" i="25" s="1"/>
  <c r="V18" i="25" s="1"/>
  <c r="W18" i="25" s="1"/>
  <c r="X18" i="25" s="1"/>
  <c r="Q18" i="25"/>
  <c r="N18" i="25"/>
  <c r="O18" i="25" s="1"/>
  <c r="O11" i="25"/>
  <c r="O10" i="25"/>
  <c r="O9" i="25"/>
  <c r="O8" i="25"/>
  <c r="L6" i="25"/>
  <c r="AA32" i="24"/>
  <c r="AA31" i="24"/>
  <c r="AA30" i="24"/>
  <c r="AA29" i="24"/>
  <c r="AA28" i="24"/>
  <c r="AA27" i="24"/>
  <c r="AA26" i="24"/>
  <c r="R26" i="24"/>
  <c r="AA25" i="24"/>
  <c r="Y25" i="24"/>
  <c r="AA24" i="24"/>
  <c r="AA23" i="24"/>
  <c r="AA22" i="24"/>
  <c r="O22" i="24"/>
  <c r="AA21" i="24"/>
  <c r="AA20" i="24"/>
  <c r="AA19" i="24"/>
  <c r="R18" i="24"/>
  <c r="S18" i="24" s="1"/>
  <c r="T18" i="24" s="1"/>
  <c r="V18" i="24" s="1"/>
  <c r="W18" i="24" s="1"/>
  <c r="X18" i="24" s="1"/>
  <c r="Q18" i="24"/>
  <c r="N18" i="24"/>
  <c r="O18" i="24" s="1"/>
  <c r="O11" i="24"/>
  <c r="O10" i="24"/>
  <c r="O9" i="24"/>
  <c r="O8" i="24"/>
  <c r="L6" i="24"/>
  <c r="N101" i="23"/>
  <c r="J130" i="40" s="1"/>
  <c r="M101" i="23"/>
  <c r="F130" i="40" s="1"/>
  <c r="K101" i="23"/>
  <c r="J101" i="23"/>
  <c r="I101" i="23"/>
  <c r="L101" i="23" s="1"/>
  <c r="E130" i="40" s="1"/>
  <c r="L100" i="23"/>
  <c r="E129" i="40" s="1"/>
  <c r="K100" i="23"/>
  <c r="N100" i="23" s="1"/>
  <c r="J129" i="40" s="1"/>
  <c r="J100" i="23"/>
  <c r="M100" i="23" s="1"/>
  <c r="F129" i="40" s="1"/>
  <c r="I100" i="23"/>
  <c r="N99" i="23"/>
  <c r="J128" i="40" s="1"/>
  <c r="M99" i="23"/>
  <c r="F128" i="40" s="1"/>
  <c r="K99" i="23"/>
  <c r="J99" i="23"/>
  <c r="I99" i="23"/>
  <c r="L99" i="23" s="1"/>
  <c r="E128" i="40" s="1"/>
  <c r="L98" i="23"/>
  <c r="E127" i="40" s="1"/>
  <c r="K98" i="23"/>
  <c r="N98" i="23" s="1"/>
  <c r="J127" i="40" s="1"/>
  <c r="J98" i="23"/>
  <c r="M98" i="23" s="1"/>
  <c r="F127" i="40" s="1"/>
  <c r="I98" i="23"/>
  <c r="N97" i="23"/>
  <c r="J126" i="40" s="1"/>
  <c r="M97" i="23"/>
  <c r="F126" i="40" s="1"/>
  <c r="K97" i="23"/>
  <c r="J97" i="23"/>
  <c r="I97" i="23"/>
  <c r="L97" i="23" s="1"/>
  <c r="E126" i="40" s="1"/>
  <c r="L96" i="23"/>
  <c r="E123" i="40" s="1"/>
  <c r="E124" i="40" s="1"/>
  <c r="K96" i="23"/>
  <c r="N96" i="23" s="1"/>
  <c r="J123" i="40" s="1"/>
  <c r="J96" i="23"/>
  <c r="M96" i="23" s="1"/>
  <c r="F123" i="40" s="1"/>
  <c r="I96" i="23"/>
  <c r="N95" i="23"/>
  <c r="J120" i="40" s="1"/>
  <c r="M95" i="23"/>
  <c r="F120" i="40" s="1"/>
  <c r="K95" i="23"/>
  <c r="J95" i="23"/>
  <c r="I95" i="23"/>
  <c r="L95" i="23" s="1"/>
  <c r="E120" i="40" s="1"/>
  <c r="E121" i="40" s="1"/>
  <c r="L94" i="23"/>
  <c r="E117" i="40" s="1"/>
  <c r="E118" i="40" s="1"/>
  <c r="K94" i="23"/>
  <c r="N94" i="23" s="1"/>
  <c r="J117" i="40" s="1"/>
  <c r="J94" i="23"/>
  <c r="M94" i="23" s="1"/>
  <c r="F117" i="40" s="1"/>
  <c r="I94" i="23"/>
  <c r="N93" i="23"/>
  <c r="J116" i="40" s="1"/>
  <c r="M93" i="23"/>
  <c r="F116" i="40" s="1"/>
  <c r="K93" i="23"/>
  <c r="J93" i="23"/>
  <c r="I93" i="23"/>
  <c r="L93" i="23" s="1"/>
  <c r="E116" i="40" s="1"/>
  <c r="L92" i="23"/>
  <c r="E115" i="40" s="1"/>
  <c r="K92" i="23"/>
  <c r="N92" i="23" s="1"/>
  <c r="J115" i="40" s="1"/>
  <c r="J92" i="23"/>
  <c r="M92" i="23" s="1"/>
  <c r="F115" i="40" s="1"/>
  <c r="I92" i="23"/>
  <c r="N91" i="23"/>
  <c r="J114" i="40" s="1"/>
  <c r="M91" i="23"/>
  <c r="F114" i="40" s="1"/>
  <c r="K91" i="23"/>
  <c r="J91" i="23"/>
  <c r="I91" i="23"/>
  <c r="L91" i="23" s="1"/>
  <c r="E114" i="40" s="1"/>
  <c r="L90" i="23"/>
  <c r="E113" i="40" s="1"/>
  <c r="K90" i="23"/>
  <c r="N90" i="23" s="1"/>
  <c r="J113" i="40" s="1"/>
  <c r="J90" i="23"/>
  <c r="M90" i="23" s="1"/>
  <c r="F113" i="40" s="1"/>
  <c r="I90" i="23"/>
  <c r="N89" i="23"/>
  <c r="J112" i="40" s="1"/>
  <c r="M89" i="23"/>
  <c r="F112" i="40" s="1"/>
  <c r="K89" i="23"/>
  <c r="J89" i="23"/>
  <c r="I89" i="23"/>
  <c r="L89" i="23" s="1"/>
  <c r="E112" i="40" s="1"/>
  <c r="L88" i="23"/>
  <c r="E111" i="40" s="1"/>
  <c r="K88" i="23"/>
  <c r="N88" i="23" s="1"/>
  <c r="J111" i="40" s="1"/>
  <c r="J88" i="23"/>
  <c r="M88" i="23" s="1"/>
  <c r="F111" i="40" s="1"/>
  <c r="I88" i="23"/>
  <c r="N87" i="23"/>
  <c r="J110" i="40" s="1"/>
  <c r="M87" i="23"/>
  <c r="F110" i="40" s="1"/>
  <c r="K87" i="23"/>
  <c r="J87" i="23"/>
  <c r="I87" i="23"/>
  <c r="L87" i="23" s="1"/>
  <c r="E110" i="40" s="1"/>
  <c r="L86" i="23"/>
  <c r="E109" i="40" s="1"/>
  <c r="K86" i="23"/>
  <c r="N86" i="23" s="1"/>
  <c r="J109" i="40" s="1"/>
  <c r="J86" i="23"/>
  <c r="M86" i="23" s="1"/>
  <c r="F109" i="40" s="1"/>
  <c r="I86" i="23"/>
  <c r="N85" i="23"/>
  <c r="J108" i="40" s="1"/>
  <c r="M85" i="23"/>
  <c r="F108" i="40" s="1"/>
  <c r="K85" i="23"/>
  <c r="J85" i="23"/>
  <c r="I85" i="23"/>
  <c r="L85" i="23" s="1"/>
  <c r="E108" i="40" s="1"/>
  <c r="L84" i="23"/>
  <c r="E107" i="40" s="1"/>
  <c r="K84" i="23"/>
  <c r="N84" i="23" s="1"/>
  <c r="J107" i="40" s="1"/>
  <c r="J84" i="23"/>
  <c r="M84" i="23" s="1"/>
  <c r="F107" i="40" s="1"/>
  <c r="I84" i="23"/>
  <c r="N83" i="23"/>
  <c r="J106" i="40" s="1"/>
  <c r="M83" i="23"/>
  <c r="F106" i="40" s="1"/>
  <c r="K83" i="23"/>
  <c r="J83" i="23"/>
  <c r="I83" i="23"/>
  <c r="L83" i="23" s="1"/>
  <c r="E106" i="40" s="1"/>
  <c r="L82" i="23"/>
  <c r="E105" i="40" s="1"/>
  <c r="K82" i="23"/>
  <c r="N82" i="23" s="1"/>
  <c r="J105" i="40" s="1"/>
  <c r="J82" i="23"/>
  <c r="M82" i="23" s="1"/>
  <c r="F105" i="40" s="1"/>
  <c r="I82" i="23"/>
  <c r="N81" i="23"/>
  <c r="J104" i="40" s="1"/>
  <c r="M81" i="23"/>
  <c r="F104" i="40" s="1"/>
  <c r="K81" i="23"/>
  <c r="J81" i="23"/>
  <c r="I81" i="23"/>
  <c r="L81" i="23" s="1"/>
  <c r="E104" i="40" s="1"/>
  <c r="L80" i="23"/>
  <c r="E103" i="40" s="1"/>
  <c r="K80" i="23"/>
  <c r="N80" i="23" s="1"/>
  <c r="J103" i="40" s="1"/>
  <c r="J80" i="23"/>
  <c r="M80" i="23" s="1"/>
  <c r="F103" i="40" s="1"/>
  <c r="I80" i="23"/>
  <c r="N79" i="23"/>
  <c r="J102" i="40" s="1"/>
  <c r="M79" i="23"/>
  <c r="F102" i="40" s="1"/>
  <c r="K79" i="23"/>
  <c r="J79" i="23"/>
  <c r="I79" i="23"/>
  <c r="L79" i="23" s="1"/>
  <c r="E102" i="40" s="1"/>
  <c r="L78" i="23"/>
  <c r="E99" i="40" s="1"/>
  <c r="E100" i="40" s="1"/>
  <c r="K78" i="23"/>
  <c r="N78" i="23" s="1"/>
  <c r="J99" i="40" s="1"/>
  <c r="J78" i="23"/>
  <c r="M78" i="23" s="1"/>
  <c r="F99" i="40" s="1"/>
  <c r="I78" i="23"/>
  <c r="N77" i="23"/>
  <c r="J98" i="40" s="1"/>
  <c r="M77" i="23"/>
  <c r="F98" i="40" s="1"/>
  <c r="K77" i="23"/>
  <c r="J77" i="23"/>
  <c r="I77" i="23"/>
  <c r="L77" i="23" s="1"/>
  <c r="E98" i="40" s="1"/>
  <c r="L76" i="23"/>
  <c r="E97" i="40" s="1"/>
  <c r="K76" i="23"/>
  <c r="N76" i="23" s="1"/>
  <c r="J97" i="40" s="1"/>
  <c r="J76" i="23"/>
  <c r="M76" i="23" s="1"/>
  <c r="F97" i="40" s="1"/>
  <c r="I76" i="23"/>
  <c r="N75" i="23"/>
  <c r="J96" i="40" s="1"/>
  <c r="M75" i="23"/>
  <c r="F96" i="40" s="1"/>
  <c r="K75" i="23"/>
  <c r="J75" i="23"/>
  <c r="I75" i="23"/>
  <c r="L75" i="23" s="1"/>
  <c r="E96" i="40" s="1"/>
  <c r="L74" i="23"/>
  <c r="E95" i="40" s="1"/>
  <c r="K74" i="23"/>
  <c r="N74" i="23" s="1"/>
  <c r="J95" i="40" s="1"/>
  <c r="J74" i="23"/>
  <c r="M74" i="23" s="1"/>
  <c r="F95" i="40" s="1"/>
  <c r="I74" i="23"/>
  <c r="N73" i="23"/>
  <c r="J94" i="40" s="1"/>
  <c r="M73" i="23"/>
  <c r="F94" i="40" s="1"/>
  <c r="K73" i="23"/>
  <c r="J73" i="23"/>
  <c r="I73" i="23"/>
  <c r="L73" i="23" s="1"/>
  <c r="E94" i="40" s="1"/>
  <c r="L72" i="23"/>
  <c r="E93" i="40" s="1"/>
  <c r="K72" i="23"/>
  <c r="N72" i="23" s="1"/>
  <c r="J93" i="40" s="1"/>
  <c r="J72" i="23"/>
  <c r="M72" i="23" s="1"/>
  <c r="F93" i="40" s="1"/>
  <c r="I72" i="23"/>
  <c r="N71" i="23"/>
  <c r="J92" i="40" s="1"/>
  <c r="M71" i="23"/>
  <c r="F92" i="40" s="1"/>
  <c r="K71" i="23"/>
  <c r="J71" i="23"/>
  <c r="I71" i="23"/>
  <c r="L71" i="23" s="1"/>
  <c r="E92" i="40" s="1"/>
  <c r="L70" i="23"/>
  <c r="E91" i="40" s="1"/>
  <c r="K70" i="23"/>
  <c r="N70" i="23" s="1"/>
  <c r="J91" i="40" s="1"/>
  <c r="J70" i="23"/>
  <c r="M70" i="23" s="1"/>
  <c r="F91" i="40" s="1"/>
  <c r="I70" i="23"/>
  <c r="N69" i="23"/>
  <c r="J90" i="40" s="1"/>
  <c r="M69" i="23"/>
  <c r="F90" i="40" s="1"/>
  <c r="K69" i="23"/>
  <c r="J69" i="23"/>
  <c r="I69" i="23"/>
  <c r="L69" i="23" s="1"/>
  <c r="E90" i="40" s="1"/>
  <c r="L68" i="23"/>
  <c r="E89" i="40" s="1"/>
  <c r="K68" i="23"/>
  <c r="N68" i="23" s="1"/>
  <c r="J89" i="40" s="1"/>
  <c r="J68" i="23"/>
  <c r="M68" i="23" s="1"/>
  <c r="F89" i="40" s="1"/>
  <c r="I68" i="23"/>
  <c r="N67" i="23"/>
  <c r="J88" i="40" s="1"/>
  <c r="M67" i="23"/>
  <c r="F88" i="40" s="1"/>
  <c r="K67" i="23"/>
  <c r="J67" i="23"/>
  <c r="I67" i="23"/>
  <c r="L67" i="23" s="1"/>
  <c r="E88" i="40" s="1"/>
  <c r="L66" i="23"/>
  <c r="E87" i="40" s="1"/>
  <c r="K66" i="23"/>
  <c r="N66" i="23" s="1"/>
  <c r="J87" i="40" s="1"/>
  <c r="J66" i="23"/>
  <c r="M66" i="23" s="1"/>
  <c r="F87" i="40" s="1"/>
  <c r="I66" i="23"/>
  <c r="N65" i="23"/>
  <c r="J86" i="40" s="1"/>
  <c r="M65" i="23"/>
  <c r="F86" i="40" s="1"/>
  <c r="K65" i="23"/>
  <c r="J65" i="23"/>
  <c r="I65" i="23"/>
  <c r="L65" i="23" s="1"/>
  <c r="E86" i="40" s="1"/>
  <c r="L64" i="23"/>
  <c r="E85" i="40" s="1"/>
  <c r="K64" i="23"/>
  <c r="N64" i="23" s="1"/>
  <c r="J85" i="40" s="1"/>
  <c r="J64" i="23"/>
  <c r="M64" i="23" s="1"/>
  <c r="F85" i="40" s="1"/>
  <c r="I64" i="23"/>
  <c r="N63" i="23"/>
  <c r="J84" i="40" s="1"/>
  <c r="M63" i="23"/>
  <c r="F84" i="40" s="1"/>
  <c r="K63" i="23"/>
  <c r="J63" i="23"/>
  <c r="I63" i="23"/>
  <c r="L63" i="23" s="1"/>
  <c r="E84" i="40" s="1"/>
  <c r="L62" i="23"/>
  <c r="E83" i="40" s="1"/>
  <c r="K62" i="23"/>
  <c r="N62" i="23" s="1"/>
  <c r="J83" i="40" s="1"/>
  <c r="J62" i="23"/>
  <c r="M62" i="23" s="1"/>
  <c r="F83" i="40" s="1"/>
  <c r="I62" i="23"/>
  <c r="N61" i="23"/>
  <c r="J82" i="40" s="1"/>
  <c r="M61" i="23"/>
  <c r="F82" i="40" s="1"/>
  <c r="K61" i="23"/>
  <c r="J61" i="23"/>
  <c r="I61" i="23"/>
  <c r="L61" i="23" s="1"/>
  <c r="E82" i="40" s="1"/>
  <c r="L60" i="23"/>
  <c r="E81" i="40" s="1"/>
  <c r="K60" i="23"/>
  <c r="N60" i="23" s="1"/>
  <c r="J81" i="40" s="1"/>
  <c r="J60" i="23"/>
  <c r="M60" i="23" s="1"/>
  <c r="F81" i="40" s="1"/>
  <c r="I60" i="23"/>
  <c r="N59" i="23"/>
  <c r="J80" i="40" s="1"/>
  <c r="M59" i="23"/>
  <c r="F80" i="40" s="1"/>
  <c r="K59" i="23"/>
  <c r="J59" i="23"/>
  <c r="I59" i="23"/>
  <c r="L59" i="23" s="1"/>
  <c r="E80" i="40" s="1"/>
  <c r="L58" i="23"/>
  <c r="E79" i="40" s="1"/>
  <c r="K58" i="23"/>
  <c r="N58" i="23" s="1"/>
  <c r="J79" i="40" s="1"/>
  <c r="J58" i="23"/>
  <c r="M58" i="23" s="1"/>
  <c r="F79" i="40" s="1"/>
  <c r="I58" i="23"/>
  <c r="N57" i="23"/>
  <c r="J78" i="40" s="1"/>
  <c r="M57" i="23"/>
  <c r="F78" i="40" s="1"/>
  <c r="K57" i="23"/>
  <c r="J57" i="23"/>
  <c r="I57" i="23"/>
  <c r="L57" i="23" s="1"/>
  <c r="E78" i="40" s="1"/>
  <c r="L56" i="23"/>
  <c r="E77" i="40" s="1"/>
  <c r="K56" i="23"/>
  <c r="N56" i="23" s="1"/>
  <c r="J77" i="40" s="1"/>
  <c r="J56" i="23"/>
  <c r="M56" i="23" s="1"/>
  <c r="F77" i="40" s="1"/>
  <c r="I56" i="23"/>
  <c r="N55" i="23"/>
  <c r="J76" i="40" s="1"/>
  <c r="M55" i="23"/>
  <c r="F76" i="40" s="1"/>
  <c r="K55" i="23"/>
  <c r="J55" i="23"/>
  <c r="I55" i="23"/>
  <c r="L55" i="23" s="1"/>
  <c r="E76" i="40" s="1"/>
  <c r="L54" i="23"/>
  <c r="E75" i="40" s="1"/>
  <c r="K54" i="23"/>
  <c r="N54" i="23" s="1"/>
  <c r="J75" i="40" s="1"/>
  <c r="J54" i="23"/>
  <c r="M54" i="23" s="1"/>
  <c r="F75" i="40" s="1"/>
  <c r="I54" i="23"/>
  <c r="N53" i="23"/>
  <c r="J74" i="40" s="1"/>
  <c r="M53" i="23"/>
  <c r="F74" i="40" s="1"/>
  <c r="K53" i="23"/>
  <c r="J53" i="23"/>
  <c r="I53" i="23"/>
  <c r="L53" i="23" s="1"/>
  <c r="E74" i="40" s="1"/>
  <c r="L52" i="23"/>
  <c r="E73" i="40" s="1"/>
  <c r="K52" i="23"/>
  <c r="N52" i="23" s="1"/>
  <c r="J73" i="40" s="1"/>
  <c r="J52" i="23"/>
  <c r="M52" i="23" s="1"/>
  <c r="F73" i="40" s="1"/>
  <c r="I52" i="23"/>
  <c r="N51" i="23"/>
  <c r="J72" i="40" s="1"/>
  <c r="M51" i="23"/>
  <c r="F72" i="40" s="1"/>
  <c r="K51" i="23"/>
  <c r="J51" i="23"/>
  <c r="I51" i="23"/>
  <c r="L51" i="23" s="1"/>
  <c r="E72" i="40" s="1"/>
  <c r="L50" i="23"/>
  <c r="E69" i="40" s="1"/>
  <c r="K69" i="40" s="1"/>
  <c r="K50" i="23"/>
  <c r="N50" i="23" s="1"/>
  <c r="J69" i="40" s="1"/>
  <c r="J50" i="23"/>
  <c r="M50" i="23" s="1"/>
  <c r="F69" i="40" s="1"/>
  <c r="I50" i="23"/>
  <c r="N49" i="23"/>
  <c r="J68" i="40" s="1"/>
  <c r="L68" i="40" s="1"/>
  <c r="M49" i="23"/>
  <c r="F68" i="40" s="1"/>
  <c r="K49" i="23"/>
  <c r="J49" i="23"/>
  <c r="I49" i="23"/>
  <c r="L49" i="23" s="1"/>
  <c r="E68" i="40" s="1"/>
  <c r="K68" i="40" s="1"/>
  <c r="L48" i="23"/>
  <c r="E67" i="40" s="1"/>
  <c r="K67" i="40" s="1"/>
  <c r="K48" i="23"/>
  <c r="N48" i="23" s="1"/>
  <c r="J67" i="40" s="1"/>
  <c r="J48" i="23"/>
  <c r="M48" i="23" s="1"/>
  <c r="F67" i="40" s="1"/>
  <c r="I48" i="23"/>
  <c r="N47" i="23"/>
  <c r="J66" i="40" s="1"/>
  <c r="L66" i="40" s="1"/>
  <c r="M47" i="23"/>
  <c r="F66" i="40" s="1"/>
  <c r="K47" i="23"/>
  <c r="J47" i="23"/>
  <c r="I47" i="23"/>
  <c r="L47" i="23" s="1"/>
  <c r="E66" i="40" s="1"/>
  <c r="K66" i="40" s="1"/>
  <c r="L46" i="23"/>
  <c r="E65" i="40" s="1"/>
  <c r="K65" i="40" s="1"/>
  <c r="K46" i="23"/>
  <c r="N46" i="23" s="1"/>
  <c r="J65" i="40" s="1"/>
  <c r="J46" i="23"/>
  <c r="M46" i="23" s="1"/>
  <c r="F65" i="40" s="1"/>
  <c r="I46" i="23"/>
  <c r="N45" i="23"/>
  <c r="J64" i="40" s="1"/>
  <c r="M45" i="23"/>
  <c r="F64" i="40" s="1"/>
  <c r="K45" i="23"/>
  <c r="J45" i="23"/>
  <c r="I45" i="23"/>
  <c r="L45" i="23" s="1"/>
  <c r="E64" i="40" s="1"/>
  <c r="K64" i="40" s="1"/>
  <c r="L44" i="23"/>
  <c r="E63" i="40" s="1"/>
  <c r="K63" i="40" s="1"/>
  <c r="K44" i="23"/>
  <c r="N44" i="23" s="1"/>
  <c r="J63" i="40" s="1"/>
  <c r="J44" i="23"/>
  <c r="M44" i="23" s="1"/>
  <c r="F63" i="40" s="1"/>
  <c r="I44" i="23"/>
  <c r="N43" i="23"/>
  <c r="J62" i="40" s="1"/>
  <c r="M43" i="23"/>
  <c r="F62" i="40" s="1"/>
  <c r="K43" i="23"/>
  <c r="J43" i="23"/>
  <c r="I43" i="23"/>
  <c r="L43" i="23" s="1"/>
  <c r="E62" i="40" s="1"/>
  <c r="K62" i="40" s="1"/>
  <c r="L42" i="23"/>
  <c r="E61" i="40" s="1"/>
  <c r="K61" i="40" s="1"/>
  <c r="K42" i="23"/>
  <c r="N42" i="23" s="1"/>
  <c r="J61" i="40" s="1"/>
  <c r="J42" i="23"/>
  <c r="M42" i="23" s="1"/>
  <c r="F61" i="40" s="1"/>
  <c r="I42" i="23"/>
  <c r="N41" i="23"/>
  <c r="J60" i="40" s="1"/>
  <c r="M41" i="23"/>
  <c r="F60" i="40" s="1"/>
  <c r="K41" i="23"/>
  <c r="J41" i="23"/>
  <c r="I41" i="23"/>
  <c r="L41" i="23" s="1"/>
  <c r="E60" i="40" s="1"/>
  <c r="K60" i="40" s="1"/>
  <c r="L40" i="23"/>
  <c r="E59" i="40" s="1"/>
  <c r="K59" i="40" s="1"/>
  <c r="K40" i="23"/>
  <c r="N40" i="23" s="1"/>
  <c r="J59" i="40" s="1"/>
  <c r="J40" i="23"/>
  <c r="M40" i="23" s="1"/>
  <c r="F59" i="40" s="1"/>
  <c r="I40" i="23"/>
  <c r="N39" i="23"/>
  <c r="J58" i="40" s="1"/>
  <c r="M39" i="23"/>
  <c r="F58" i="40" s="1"/>
  <c r="K39" i="23"/>
  <c r="J39" i="23"/>
  <c r="I39" i="23"/>
  <c r="L39" i="23" s="1"/>
  <c r="E58" i="40" s="1"/>
  <c r="K58" i="40" s="1"/>
  <c r="L38" i="23"/>
  <c r="E57" i="40" s="1"/>
  <c r="K57" i="40" s="1"/>
  <c r="K38" i="23"/>
  <c r="N38" i="23" s="1"/>
  <c r="J57" i="40" s="1"/>
  <c r="J38" i="23"/>
  <c r="M38" i="23" s="1"/>
  <c r="F57" i="40" s="1"/>
  <c r="I38" i="23"/>
  <c r="N37" i="23"/>
  <c r="J56" i="40" s="1"/>
  <c r="M37" i="23"/>
  <c r="F56" i="40" s="1"/>
  <c r="K37" i="23"/>
  <c r="J37" i="23"/>
  <c r="I37" i="23"/>
  <c r="L37" i="23" s="1"/>
  <c r="E56" i="40" s="1"/>
  <c r="K56" i="40" s="1"/>
  <c r="L36" i="23"/>
  <c r="E55" i="40" s="1"/>
  <c r="K55" i="40" s="1"/>
  <c r="K36" i="23"/>
  <c r="N36" i="23" s="1"/>
  <c r="J55" i="40" s="1"/>
  <c r="J36" i="23"/>
  <c r="M36" i="23" s="1"/>
  <c r="F55" i="40" s="1"/>
  <c r="I36" i="23"/>
  <c r="N35" i="23"/>
  <c r="J54" i="40" s="1"/>
  <c r="M35" i="23"/>
  <c r="F54" i="40" s="1"/>
  <c r="K35" i="23"/>
  <c r="J35" i="23"/>
  <c r="I35" i="23"/>
  <c r="L35" i="23" s="1"/>
  <c r="E54" i="40" s="1"/>
  <c r="K54" i="40" s="1"/>
  <c r="L34" i="23"/>
  <c r="E53" i="40" s="1"/>
  <c r="K53" i="40" s="1"/>
  <c r="K34" i="23"/>
  <c r="N34" i="23" s="1"/>
  <c r="J53" i="40" s="1"/>
  <c r="J34" i="23"/>
  <c r="M34" i="23" s="1"/>
  <c r="F53" i="40" s="1"/>
  <c r="I34" i="23"/>
  <c r="N33" i="23"/>
  <c r="J52" i="40" s="1"/>
  <c r="M33" i="23"/>
  <c r="F52" i="40" s="1"/>
  <c r="K33" i="23"/>
  <c r="J33" i="23"/>
  <c r="I33" i="23"/>
  <c r="L33" i="23" s="1"/>
  <c r="E52" i="40" s="1"/>
  <c r="K52" i="40" s="1"/>
  <c r="L32" i="23"/>
  <c r="E51" i="40" s="1"/>
  <c r="K51" i="40" s="1"/>
  <c r="K32" i="23"/>
  <c r="N32" i="23" s="1"/>
  <c r="J51" i="40" s="1"/>
  <c r="J32" i="23"/>
  <c r="M32" i="23" s="1"/>
  <c r="F51" i="40" s="1"/>
  <c r="I32" i="23"/>
  <c r="N31" i="23"/>
  <c r="J50" i="40" s="1"/>
  <c r="M31" i="23"/>
  <c r="F50" i="40" s="1"/>
  <c r="K31" i="23"/>
  <c r="J31" i="23"/>
  <c r="I31" i="23"/>
  <c r="L31" i="23" s="1"/>
  <c r="E50" i="40" s="1"/>
  <c r="K50" i="40" s="1"/>
  <c r="L30" i="23"/>
  <c r="E49" i="40" s="1"/>
  <c r="K49" i="40" s="1"/>
  <c r="K30" i="23"/>
  <c r="N30" i="23" s="1"/>
  <c r="J49" i="40" s="1"/>
  <c r="J30" i="23"/>
  <c r="M30" i="23" s="1"/>
  <c r="F49" i="40" s="1"/>
  <c r="I30" i="23"/>
  <c r="N29" i="23"/>
  <c r="J48" i="40" s="1"/>
  <c r="M29" i="23"/>
  <c r="F48" i="40" s="1"/>
  <c r="K29" i="23"/>
  <c r="J29" i="23"/>
  <c r="I29" i="23"/>
  <c r="L29" i="23" s="1"/>
  <c r="E48" i="40" s="1"/>
  <c r="K48" i="40" s="1"/>
  <c r="L28" i="23"/>
  <c r="E47" i="40" s="1"/>
  <c r="K47" i="40" s="1"/>
  <c r="K28" i="23"/>
  <c r="N28" i="23" s="1"/>
  <c r="J47" i="40" s="1"/>
  <c r="J28" i="23"/>
  <c r="M28" i="23" s="1"/>
  <c r="F47" i="40" s="1"/>
  <c r="I28" i="23"/>
  <c r="N27" i="23"/>
  <c r="J46" i="40" s="1"/>
  <c r="M27" i="23"/>
  <c r="F46" i="40" s="1"/>
  <c r="K27" i="23"/>
  <c r="J27" i="23"/>
  <c r="I27" i="23"/>
  <c r="L27" i="23" s="1"/>
  <c r="E46" i="40" s="1"/>
  <c r="K46" i="40" s="1"/>
  <c r="L26" i="23"/>
  <c r="E45" i="40" s="1"/>
  <c r="K45" i="40" s="1"/>
  <c r="K26" i="23"/>
  <c r="N26" i="23" s="1"/>
  <c r="J45" i="40" s="1"/>
  <c r="J26" i="23"/>
  <c r="M26" i="23" s="1"/>
  <c r="F45" i="40" s="1"/>
  <c r="I26" i="23"/>
  <c r="N25" i="23"/>
  <c r="J44" i="40" s="1"/>
  <c r="K25" i="23"/>
  <c r="J25" i="23"/>
  <c r="M25" i="23" s="1"/>
  <c r="F44" i="40" s="1"/>
  <c r="I25" i="23"/>
  <c r="L25" i="23" s="1"/>
  <c r="E44" i="40" s="1"/>
  <c r="K44" i="40" s="1"/>
  <c r="L24" i="23"/>
  <c r="E43" i="40" s="1"/>
  <c r="K43" i="40" s="1"/>
  <c r="K24" i="23"/>
  <c r="N24" i="23" s="1"/>
  <c r="J43" i="40" s="1"/>
  <c r="J24" i="23"/>
  <c r="M24" i="23" s="1"/>
  <c r="F43" i="40" s="1"/>
  <c r="I24" i="23"/>
  <c r="N23" i="23"/>
  <c r="J42" i="40" s="1"/>
  <c r="K23" i="23"/>
  <c r="J23" i="23"/>
  <c r="M23" i="23" s="1"/>
  <c r="F42" i="40" s="1"/>
  <c r="I23" i="23"/>
  <c r="L23" i="23" s="1"/>
  <c r="E42" i="40" s="1"/>
  <c r="K42" i="40" s="1"/>
  <c r="L22" i="23"/>
  <c r="E41" i="40" s="1"/>
  <c r="K41" i="40" s="1"/>
  <c r="K22" i="23"/>
  <c r="N22" i="23" s="1"/>
  <c r="J41" i="40" s="1"/>
  <c r="J22" i="23"/>
  <c r="M22" i="23" s="1"/>
  <c r="F41" i="40" s="1"/>
  <c r="I22" i="23"/>
  <c r="N21" i="23"/>
  <c r="J33" i="40" s="1"/>
  <c r="M21" i="23"/>
  <c r="F33" i="40" s="1"/>
  <c r="K21" i="23"/>
  <c r="J21" i="23"/>
  <c r="I21" i="23"/>
  <c r="L21" i="23" s="1"/>
  <c r="E33" i="40" s="1"/>
  <c r="L20" i="23"/>
  <c r="E32" i="40" s="1"/>
  <c r="K32" i="40" s="1"/>
  <c r="K20" i="23"/>
  <c r="N20" i="23" s="1"/>
  <c r="J32" i="40" s="1"/>
  <c r="J20" i="23"/>
  <c r="M20" i="23" s="1"/>
  <c r="F32" i="40" s="1"/>
  <c r="I20" i="23"/>
  <c r="N19" i="23"/>
  <c r="J31" i="40" s="1"/>
  <c r="M19" i="23"/>
  <c r="F31" i="40" s="1"/>
  <c r="K19" i="23"/>
  <c r="J19" i="23"/>
  <c r="I19" i="23"/>
  <c r="L19" i="23" s="1"/>
  <c r="E31" i="40" s="1"/>
  <c r="L18" i="23"/>
  <c r="E30" i="40" s="1"/>
  <c r="K18" i="23"/>
  <c r="N18" i="23" s="1"/>
  <c r="J30" i="40" s="1"/>
  <c r="J18" i="23"/>
  <c r="M18" i="23" s="1"/>
  <c r="F30" i="40" s="1"/>
  <c r="I18" i="23"/>
  <c r="AA16" i="23"/>
  <c r="N16" i="23" s="1"/>
  <c r="I21" i="32" s="1"/>
  <c r="AA15" i="23"/>
  <c r="N15" i="23"/>
  <c r="U14" i="23"/>
  <c r="N14" i="23"/>
  <c r="I18" i="32" s="1"/>
  <c r="M14" i="23"/>
  <c r="E18" i="32" s="1"/>
  <c r="AA13" i="23"/>
  <c r="N13" i="23" s="1"/>
  <c r="I17" i="32" s="1"/>
  <c r="M13" i="23"/>
  <c r="AA12" i="23"/>
  <c r="N12" i="23"/>
  <c r="I16" i="32" s="1"/>
  <c r="M12" i="23"/>
  <c r="E16" i="32" s="1"/>
  <c r="M11" i="23"/>
  <c r="E15" i="32" s="1"/>
  <c r="N3" i="23"/>
  <c r="C34" i="22"/>
  <c r="E30" i="22"/>
  <c r="C30" i="22"/>
  <c r="D14" i="28" s="1"/>
  <c r="E29" i="22"/>
  <c r="C29" i="22" s="1"/>
  <c r="D5" i="29" s="1"/>
  <c r="C8" i="22"/>
  <c r="D3" i="44" s="1"/>
  <c r="C7" i="22"/>
  <c r="E5" i="41" s="1"/>
  <c r="E6" i="22"/>
  <c r="C6" i="22" s="1"/>
  <c r="E21" i="40" s="1"/>
  <c r="E5" i="22"/>
  <c r="C5" i="22"/>
  <c r="D5" i="12" s="1"/>
  <c r="E3" i="22"/>
  <c r="C3" i="22"/>
  <c r="D5" i="32" s="1"/>
  <c r="C2" i="22"/>
  <c r="I53" i="21"/>
  <c r="H53" i="21"/>
  <c r="G53" i="21"/>
  <c r="J52" i="21"/>
  <c r="I52" i="21"/>
  <c r="H52" i="21"/>
  <c r="G52" i="21"/>
  <c r="J51" i="21"/>
  <c r="I51" i="21"/>
  <c r="H51" i="21"/>
  <c r="G51" i="21"/>
  <c r="J50" i="21"/>
  <c r="I50" i="21"/>
  <c r="H50" i="21"/>
  <c r="G50" i="21"/>
  <c r="J49" i="21"/>
  <c r="I49" i="21"/>
  <c r="H49" i="21"/>
  <c r="G49" i="21"/>
  <c r="I48" i="21"/>
  <c r="H48" i="21"/>
  <c r="G48" i="21"/>
  <c r="J47" i="21"/>
  <c r="J45" i="21" s="1"/>
  <c r="E5" i="2" s="1"/>
  <c r="I47" i="21"/>
  <c r="H47" i="21"/>
  <c r="G47" i="21"/>
  <c r="E29" i="21" s="1"/>
  <c r="J46" i="21"/>
  <c r="I46" i="21"/>
  <c r="K45" i="21"/>
  <c r="I45" i="21"/>
  <c r="G36" i="21"/>
  <c r="E4" i="22" s="1"/>
  <c r="C4" i="22" s="1"/>
  <c r="F36" i="21"/>
  <c r="L137" i="34" s="1"/>
  <c r="F32" i="21"/>
  <c r="E32" i="21"/>
  <c r="F29" i="21"/>
  <c r="AX62" i="20"/>
  <c r="AX61" i="20"/>
  <c r="AX60" i="20"/>
  <c r="AX59" i="20"/>
  <c r="AX58" i="20"/>
  <c r="AX57" i="20"/>
  <c r="AX56" i="20"/>
  <c r="AX55" i="20"/>
  <c r="AX54" i="20"/>
  <c r="AO54" i="20"/>
  <c r="W54" i="20"/>
  <c r="AX51" i="20"/>
  <c r="AV51" i="20"/>
  <c r="AX50" i="20"/>
  <c r="AX49" i="20"/>
  <c r="AX48" i="20"/>
  <c r="AX47" i="20"/>
  <c r="AX46" i="20"/>
  <c r="AX45" i="20"/>
  <c r="AU45" i="20"/>
  <c r="AO44" i="20"/>
  <c r="AP44" i="20" s="1"/>
  <c r="AQ44" i="20" s="1"/>
  <c r="AS44" i="20" s="1"/>
  <c r="AT44" i="20" s="1"/>
  <c r="AU44" i="20" s="1"/>
  <c r="AN44" i="20"/>
  <c r="V44" i="20"/>
  <c r="W44" i="20" s="1"/>
  <c r="X44" i="20" s="1"/>
  <c r="Y44" i="20" s="1"/>
  <c r="AA44" i="20" s="1"/>
  <c r="AB44" i="20" s="1"/>
  <c r="U44" i="20"/>
  <c r="AB36" i="20"/>
  <c r="AB35" i="20"/>
  <c r="AB33" i="20"/>
  <c r="AB32" i="20"/>
  <c r="AB31" i="20"/>
  <c r="AB30" i="20"/>
  <c r="S28" i="20"/>
  <c r="S27" i="20"/>
  <c r="AX17" i="20"/>
  <c r="AX16" i="20"/>
  <c r="AX15" i="20"/>
  <c r="AX14" i="20"/>
  <c r="AX13" i="20"/>
  <c r="AX12" i="20"/>
  <c r="AX11" i="20"/>
  <c r="AO11" i="20"/>
  <c r="W11" i="20"/>
  <c r="AX8" i="20"/>
  <c r="AV8" i="20"/>
  <c r="AX7" i="20"/>
  <c r="AX6" i="20"/>
  <c r="AX5" i="20"/>
  <c r="AB5" i="20"/>
  <c r="S5" i="20"/>
  <c r="AX4" i="20"/>
  <c r="AB4" i="20"/>
  <c r="S4" i="20"/>
  <c r="AX3" i="20"/>
  <c r="AB3" i="20"/>
  <c r="S3" i="20"/>
  <c r="AX2" i="20"/>
  <c r="AB2" i="20"/>
  <c r="S2" i="20"/>
  <c r="AT65" i="19"/>
  <c r="AT64" i="19"/>
  <c r="AT63" i="19"/>
  <c r="AT62" i="19"/>
  <c r="AT61" i="19"/>
  <c r="AT60" i="19"/>
  <c r="AT59" i="19"/>
  <c r="AT58" i="19"/>
  <c r="AT57" i="19"/>
  <c r="AK57" i="19"/>
  <c r="AB57" i="19"/>
  <c r="AT56" i="19"/>
  <c r="AR56" i="19"/>
  <c r="AT55" i="19"/>
  <c r="AR55" i="19"/>
  <c r="AT54" i="19"/>
  <c r="AT53" i="19"/>
  <c r="AT52" i="19"/>
  <c r="AT51" i="19"/>
  <c r="U51" i="19"/>
  <c r="AT50" i="19"/>
  <c r="AT49" i="19"/>
  <c r="AQ49" i="19"/>
  <c r="AK48" i="19"/>
  <c r="AL48" i="19" s="1"/>
  <c r="AM48" i="19" s="1"/>
  <c r="AO48" i="19" s="1"/>
  <c r="AP48" i="19" s="1"/>
  <c r="AQ48" i="19" s="1"/>
  <c r="AJ48" i="19"/>
  <c r="AA48" i="19"/>
  <c r="AB48" i="19" s="1"/>
  <c r="AC48" i="19" s="1"/>
  <c r="AD48" i="19" s="1"/>
  <c r="AF48" i="19" s="1"/>
  <c r="AG48" i="19" s="1"/>
  <c r="X48" i="19"/>
  <c r="W48" i="19"/>
  <c r="AG39" i="19"/>
  <c r="X39" i="19"/>
  <c r="AG38" i="19"/>
  <c r="X38" i="19"/>
  <c r="AG36" i="19"/>
  <c r="X36" i="19"/>
  <c r="AG35" i="19"/>
  <c r="X35" i="19"/>
  <c r="AG34" i="19"/>
  <c r="X34" i="19"/>
  <c r="AG33" i="19"/>
  <c r="X33" i="19"/>
  <c r="U31" i="19"/>
  <c r="U30" i="19"/>
  <c r="AK22" i="19"/>
  <c r="AT17" i="19"/>
  <c r="AT16" i="19"/>
  <c r="AT15" i="19"/>
  <c r="AT14" i="19"/>
  <c r="AT13" i="19"/>
  <c r="AT12" i="19"/>
  <c r="AT10" i="19"/>
  <c r="AK10" i="19"/>
  <c r="AB10" i="19"/>
  <c r="AT8" i="19"/>
  <c r="AR8" i="19"/>
  <c r="AT7" i="19"/>
  <c r="AT6" i="19"/>
  <c r="I6" i="19"/>
  <c r="J7" i="19" s="1"/>
  <c r="U7" i="19" s="1"/>
  <c r="AT5" i="19"/>
  <c r="AG5" i="19"/>
  <c r="U5" i="19"/>
  <c r="AT4" i="19"/>
  <c r="AG4" i="19"/>
  <c r="U4" i="19"/>
  <c r="AT3" i="19"/>
  <c r="AG3" i="19"/>
  <c r="U3" i="19"/>
  <c r="AT2" i="19"/>
  <c r="AG2" i="19"/>
  <c r="U2" i="19"/>
  <c r="AP57" i="18"/>
  <c r="AP56" i="18"/>
  <c r="AP55" i="18"/>
  <c r="AP54" i="18"/>
  <c r="AP53" i="18"/>
  <c r="AP52" i="18"/>
  <c r="AP51" i="18"/>
  <c r="AP50" i="18"/>
  <c r="AG50" i="18"/>
  <c r="Y50" i="18"/>
  <c r="AP49" i="18"/>
  <c r="AN49" i="18"/>
  <c r="AP48" i="18"/>
  <c r="AP47" i="18"/>
  <c r="AP46" i="18"/>
  <c r="AP45" i="18"/>
  <c r="S45" i="18"/>
  <c r="AP44" i="18"/>
  <c r="AP43" i="18"/>
  <c r="AM43" i="18"/>
  <c r="AF42" i="18"/>
  <c r="AG42" i="18" s="1"/>
  <c r="AH42" i="18" s="1"/>
  <c r="AI42" i="18" s="1"/>
  <c r="AK42" i="18" s="1"/>
  <c r="AL42" i="18" s="1"/>
  <c r="AM42" i="18" s="1"/>
  <c r="X42" i="18"/>
  <c r="Y42" i="18" s="1"/>
  <c r="Z42" i="18" s="1"/>
  <c r="AA42" i="18" s="1"/>
  <c r="AC42" i="18" s="1"/>
  <c r="AD42" i="18" s="1"/>
  <c r="U42" i="18"/>
  <c r="V42" i="18" s="1"/>
  <c r="AD35" i="18"/>
  <c r="V35" i="18"/>
  <c r="AD34" i="18"/>
  <c r="V34" i="18"/>
  <c r="AD32" i="18"/>
  <c r="V32" i="18"/>
  <c r="AD31" i="18"/>
  <c r="V31" i="18"/>
  <c r="AD30" i="18"/>
  <c r="V30" i="18"/>
  <c r="AD29" i="18"/>
  <c r="V29" i="18"/>
  <c r="S27" i="18"/>
  <c r="S26" i="18"/>
  <c r="AG18" i="18"/>
  <c r="AP15" i="18"/>
  <c r="AP14" i="18"/>
  <c r="AP13" i="18"/>
  <c r="AP12" i="18"/>
  <c r="AP11" i="18"/>
  <c r="AP10" i="18"/>
  <c r="AP9" i="18"/>
  <c r="AG9" i="18"/>
  <c r="Y9" i="18"/>
  <c r="AP8" i="18"/>
  <c r="AN8" i="18"/>
  <c r="AP7" i="18"/>
  <c r="AP6" i="18"/>
  <c r="I6" i="18"/>
  <c r="J7" i="18" s="1"/>
  <c r="K8" i="18" s="1"/>
  <c r="S8" i="18" s="1"/>
  <c r="AP5" i="18"/>
  <c r="AD5" i="18"/>
  <c r="S5" i="18"/>
  <c r="AP4" i="18"/>
  <c r="AD4" i="18"/>
  <c r="S4" i="18"/>
  <c r="AP3" i="18"/>
  <c r="AD3" i="18"/>
  <c r="S3" i="18"/>
  <c r="AP2" i="18"/>
  <c r="AD2" i="18"/>
  <c r="S2" i="18"/>
  <c r="AP57" i="17"/>
  <c r="AP56" i="17"/>
  <c r="AP55" i="17"/>
  <c r="AP54" i="17"/>
  <c r="AP53" i="17"/>
  <c r="AP52" i="17"/>
  <c r="AP51" i="17"/>
  <c r="AP50" i="17"/>
  <c r="AG50" i="17"/>
  <c r="Y50" i="17"/>
  <c r="AP49" i="17"/>
  <c r="AN49" i="17"/>
  <c r="AP48" i="17"/>
  <c r="J48" i="17"/>
  <c r="K49" i="17" s="1"/>
  <c r="S49" i="17" s="1"/>
  <c r="AP47" i="17"/>
  <c r="AP46" i="17"/>
  <c r="AD46" i="17"/>
  <c r="AP45" i="17"/>
  <c r="AP44" i="17"/>
  <c r="AP43" i="17"/>
  <c r="AM43" i="17"/>
  <c r="AF42" i="17"/>
  <c r="AG42" i="17" s="1"/>
  <c r="AH42" i="17" s="1"/>
  <c r="AI42" i="17" s="1"/>
  <c r="AK42" i="17" s="1"/>
  <c r="AL42" i="17" s="1"/>
  <c r="AM42" i="17" s="1"/>
  <c r="X42" i="17"/>
  <c r="Y42" i="17" s="1"/>
  <c r="Z42" i="17" s="1"/>
  <c r="AA42" i="17" s="1"/>
  <c r="AC42" i="17" s="1"/>
  <c r="AD42" i="17" s="1"/>
  <c r="U42" i="17"/>
  <c r="V42" i="17" s="1"/>
  <c r="AD35" i="17"/>
  <c r="V35" i="17"/>
  <c r="AD34" i="17"/>
  <c r="V34" i="17"/>
  <c r="AD32" i="17"/>
  <c r="V32" i="17"/>
  <c r="AD31" i="17"/>
  <c r="V31" i="17"/>
  <c r="AD30" i="17"/>
  <c r="V30" i="17"/>
  <c r="AD29" i="17"/>
  <c r="V29" i="17"/>
  <c r="S27" i="17"/>
  <c r="S26" i="17"/>
  <c r="AG18" i="17"/>
  <c r="AP15" i="17"/>
  <c r="AP14" i="17"/>
  <c r="AP13" i="17"/>
  <c r="AP12" i="17"/>
  <c r="AP11" i="17"/>
  <c r="AP10" i="17"/>
  <c r="AP9" i="17"/>
  <c r="AG9" i="17"/>
  <c r="Y9" i="17"/>
  <c r="AP8" i="17"/>
  <c r="AN8" i="17"/>
  <c r="AP7" i="17"/>
  <c r="AP6" i="17"/>
  <c r="I6" i="17"/>
  <c r="J7" i="17" s="1"/>
  <c r="S7" i="17" s="1"/>
  <c r="AP5" i="17"/>
  <c r="AD5" i="17"/>
  <c r="S5" i="17"/>
  <c r="AP4" i="17"/>
  <c r="AD4" i="17"/>
  <c r="S4" i="17"/>
  <c r="AP3" i="17"/>
  <c r="AD3" i="17"/>
  <c r="S3" i="17"/>
  <c r="AP2" i="17"/>
  <c r="AD2" i="17"/>
  <c r="S2" i="17"/>
  <c r="AP57" i="16"/>
  <c r="AP56" i="16"/>
  <c r="AP55" i="16"/>
  <c r="AP54" i="16"/>
  <c r="AP53" i="16"/>
  <c r="AP52" i="16"/>
  <c r="AP51" i="16"/>
  <c r="AP50" i="16"/>
  <c r="AG50" i="16"/>
  <c r="Y50" i="16"/>
  <c r="AP49" i="16"/>
  <c r="AN49" i="16"/>
  <c r="AP48" i="16"/>
  <c r="AP47" i="16"/>
  <c r="AP46" i="16"/>
  <c r="AD46" i="16"/>
  <c r="AP45" i="16"/>
  <c r="AP44" i="16"/>
  <c r="AP43" i="16"/>
  <c r="AM43" i="16"/>
  <c r="AF42" i="16"/>
  <c r="AG42" i="16" s="1"/>
  <c r="AH42" i="16" s="1"/>
  <c r="AI42" i="16" s="1"/>
  <c r="AK42" i="16" s="1"/>
  <c r="AL42" i="16" s="1"/>
  <c r="AM42" i="16" s="1"/>
  <c r="X42" i="16"/>
  <c r="Y42" i="16" s="1"/>
  <c r="Z42" i="16" s="1"/>
  <c r="AA42" i="16" s="1"/>
  <c r="AC42" i="16" s="1"/>
  <c r="AD42" i="16" s="1"/>
  <c r="U42" i="16"/>
  <c r="V42" i="16" s="1"/>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N8" i="16"/>
  <c r="AP7" i="16"/>
  <c r="AP6" i="16"/>
  <c r="I6" i="16"/>
  <c r="J7" i="16" s="1"/>
  <c r="K8" i="16" s="1"/>
  <c r="S8" i="16" s="1"/>
  <c r="AP5" i="16"/>
  <c r="AD5" i="16"/>
  <c r="S5" i="16"/>
  <c r="AP4" i="16"/>
  <c r="AD4" i="16"/>
  <c r="S4" i="16"/>
  <c r="AP3" i="16"/>
  <c r="AD3" i="16"/>
  <c r="S3" i="16"/>
  <c r="AP2" i="16"/>
  <c r="AD2" i="16"/>
  <c r="S2" i="16"/>
  <c r="AP57" i="15"/>
  <c r="AP56" i="15"/>
  <c r="AP55" i="15"/>
  <c r="AP54" i="15"/>
  <c r="AP53" i="15"/>
  <c r="AP52" i="15"/>
  <c r="AP51" i="15"/>
  <c r="AP50" i="15"/>
  <c r="AG50" i="15"/>
  <c r="Y50" i="15"/>
  <c r="AP49" i="15"/>
  <c r="AN49" i="15"/>
  <c r="AP48" i="15"/>
  <c r="AP47" i="15"/>
  <c r="AP46" i="15"/>
  <c r="AP45" i="15"/>
  <c r="AP44" i="15"/>
  <c r="AP43" i="15"/>
  <c r="AM43" i="15"/>
  <c r="AF42" i="15"/>
  <c r="AG42" i="15" s="1"/>
  <c r="AH42" i="15" s="1"/>
  <c r="AI42" i="15" s="1"/>
  <c r="AK42" i="15" s="1"/>
  <c r="AL42" i="15" s="1"/>
  <c r="AM42" i="15" s="1"/>
  <c r="Y42" i="15"/>
  <c r="Z42" i="15" s="1"/>
  <c r="AA42" i="15" s="1"/>
  <c r="AC42" i="15" s="1"/>
  <c r="AD42" i="15" s="1"/>
  <c r="X42" i="15"/>
  <c r="U42" i="15"/>
  <c r="V42" i="15" s="1"/>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N8" i="15"/>
  <c r="AP7" i="15"/>
  <c r="J7" i="15"/>
  <c r="S7" i="15" s="1"/>
  <c r="AP6" i="15"/>
  <c r="S6" i="15"/>
  <c r="AP5" i="15"/>
  <c r="AD5" i="15"/>
  <c r="S5" i="15"/>
  <c r="I6" i="15" s="1"/>
  <c r="AP4" i="15"/>
  <c r="AD4" i="15"/>
  <c r="S4" i="15"/>
  <c r="AP3" i="15"/>
  <c r="AD3" i="15"/>
  <c r="S3" i="15"/>
  <c r="AP2" i="15"/>
  <c r="AD2" i="15"/>
  <c r="S2" i="15"/>
  <c r="AP57" i="14"/>
  <c r="AP56" i="14"/>
  <c r="AP55" i="14"/>
  <c r="AP54" i="14"/>
  <c r="AP53" i="14"/>
  <c r="AP52" i="14"/>
  <c r="AP51" i="14"/>
  <c r="AP50" i="14"/>
  <c r="AG50" i="14"/>
  <c r="Y50" i="14"/>
  <c r="AP49" i="14"/>
  <c r="AN49" i="14"/>
  <c r="AP48" i="14"/>
  <c r="AP47" i="14"/>
  <c r="AP46" i="14"/>
  <c r="AP45" i="14"/>
  <c r="AP44" i="14"/>
  <c r="S44" i="14"/>
  <c r="AP43" i="14"/>
  <c r="AM43" i="14"/>
  <c r="AG42" i="14"/>
  <c r="AH42" i="14" s="1"/>
  <c r="AI42" i="14" s="1"/>
  <c r="AK42" i="14" s="1"/>
  <c r="AL42" i="14" s="1"/>
  <c r="AM42" i="14" s="1"/>
  <c r="AF42" i="14"/>
  <c r="X42" i="14"/>
  <c r="Y42" i="14" s="1"/>
  <c r="Z42" i="14" s="1"/>
  <c r="AA42" i="14" s="1"/>
  <c r="AC42" i="14" s="1"/>
  <c r="AD42" i="14" s="1"/>
  <c r="V42" i="14"/>
  <c r="U42" i="14"/>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N8" i="14"/>
  <c r="AP7" i="14"/>
  <c r="AP6" i="14"/>
  <c r="AP5" i="14"/>
  <c r="AD5" i="14"/>
  <c r="S5" i="14"/>
  <c r="I6" i="14" s="1"/>
  <c r="AP4" i="14"/>
  <c r="AD4" i="14"/>
  <c r="S4" i="14"/>
  <c r="AP3" i="14"/>
  <c r="AD3" i="14"/>
  <c r="S3" i="14"/>
  <c r="AP2" i="14"/>
  <c r="AD2" i="14"/>
  <c r="S2" i="14"/>
  <c r="AP57" i="13"/>
  <c r="AP56" i="13"/>
  <c r="AP55" i="13"/>
  <c r="AP54" i="13"/>
  <c r="AP53" i="13"/>
  <c r="AP52" i="13"/>
  <c r="AP51" i="13"/>
  <c r="AP50" i="13"/>
  <c r="AG50" i="13"/>
  <c r="Y50" i="13"/>
  <c r="AP49" i="13"/>
  <c r="AN49" i="13"/>
  <c r="AP48" i="13"/>
  <c r="AP47" i="13"/>
  <c r="AP46" i="13"/>
  <c r="AD46" i="13"/>
  <c r="S46" i="13"/>
  <c r="I47" i="13" s="1"/>
  <c r="AP45" i="13"/>
  <c r="AP44" i="13"/>
  <c r="AP43" i="13"/>
  <c r="AM43" i="13"/>
  <c r="AG42" i="13"/>
  <c r="AH42" i="13" s="1"/>
  <c r="AI42" i="13" s="1"/>
  <c r="AK42" i="13" s="1"/>
  <c r="AL42" i="13" s="1"/>
  <c r="AM42" i="13" s="1"/>
  <c r="AF42" i="13"/>
  <c r="X42" i="13"/>
  <c r="Y42" i="13" s="1"/>
  <c r="Z42" i="13" s="1"/>
  <c r="AA42" i="13" s="1"/>
  <c r="AC42" i="13" s="1"/>
  <c r="AD42" i="13" s="1"/>
  <c r="V42" i="13"/>
  <c r="U42" i="13"/>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N8" i="13"/>
  <c r="AP7" i="13"/>
  <c r="J7" i="13"/>
  <c r="K8" i="13" s="1"/>
  <c r="S8" i="13" s="1"/>
  <c r="AP6" i="13"/>
  <c r="I6" i="13"/>
  <c r="S6" i="13" s="1"/>
  <c r="AP5" i="13"/>
  <c r="AD5" i="13"/>
  <c r="S5" i="13"/>
  <c r="AP4" i="13"/>
  <c r="AD4" i="13"/>
  <c r="S4" i="13"/>
  <c r="AP3" i="13"/>
  <c r="AD3" i="13"/>
  <c r="S3" i="13"/>
  <c r="AP2" i="13"/>
  <c r="AD2" i="13"/>
  <c r="S2" i="13"/>
  <c r="G17" i="12"/>
  <c r="E16" i="12"/>
  <c r="G14" i="12"/>
  <c r="E13" i="12"/>
  <c r="D6" i="12"/>
  <c r="V190" i="11"/>
  <c r="N175" i="11"/>
  <c r="N170" i="11"/>
  <c r="N164" i="11"/>
  <c r="N153" i="11"/>
  <c r="N148" i="11"/>
  <c r="N142" i="11"/>
  <c r="R127" i="11"/>
  <c r="Q127" i="11"/>
  <c r="Q118" i="11"/>
  <c r="H117" i="11"/>
  <c r="H116" i="11"/>
  <c r="H115" i="11"/>
  <c r="Q109" i="11"/>
  <c r="Q106" i="11"/>
  <c r="H105" i="11"/>
  <c r="H104" i="11"/>
  <c r="H103" i="11"/>
  <c r="F97" i="11"/>
  <c r="AD91" i="11"/>
  <c r="AD85" i="11"/>
  <c r="AD80" i="11"/>
  <c r="AD72" i="11"/>
  <c r="F69" i="11"/>
  <c r="P60" i="11"/>
  <c r="I25" i="11"/>
  <c r="I19" i="11"/>
  <c r="O14" i="11"/>
  <c r="M14" i="11" a="1"/>
  <c r="M14" i="11"/>
  <c r="J14" i="11"/>
  <c r="F14" i="11"/>
  <c r="E14" i="11"/>
  <c r="G13" i="11"/>
  <c r="E13" i="11"/>
  <c r="G15" i="10"/>
  <c r="E5" i="10"/>
  <c r="E11" i="9"/>
  <c r="D7" i="9"/>
  <c r="F13" i="8"/>
  <c r="E13" i="8"/>
  <c r="F8" i="8"/>
  <c r="E8" i="8"/>
  <c r="D5" i="8"/>
  <c r="D4" i="8"/>
  <c r="D53" i="7"/>
  <c r="D52" i="7"/>
  <c r="G50" i="7"/>
  <c r="E45" i="7"/>
  <c r="G44" i="7"/>
  <c r="E43" i="7"/>
  <c r="G42" i="7"/>
  <c r="E42" i="7"/>
  <c r="G38" i="7"/>
  <c r="E38" i="7"/>
  <c r="E37" i="7"/>
  <c r="E36" i="7"/>
  <c r="G35" i="7"/>
  <c r="E35" i="7"/>
  <c r="G34" i="7"/>
  <c r="E34" i="7"/>
  <c r="G33" i="7"/>
  <c r="E33" i="7"/>
  <c r="E32" i="7"/>
  <c r="A32" i="7"/>
  <c r="D32" i="7" s="1"/>
  <c r="G28" i="7"/>
  <c r="G27" i="7"/>
  <c r="G26" i="7"/>
  <c r="E18" i="7"/>
  <c r="G17" i="7"/>
  <c r="E17" i="7"/>
  <c r="G16" i="7"/>
  <c r="E16" i="7"/>
  <c r="F15" i="7"/>
  <c r="F14" i="7"/>
  <c r="G13" i="7"/>
  <c r="E13" i="7"/>
  <c r="E12" i="7"/>
  <c r="F11" i="7"/>
  <c r="D5" i="7"/>
  <c r="D4" i="7"/>
  <c r="D5" i="6"/>
  <c r="AQ116" i="5"/>
  <c r="AP116" i="5"/>
  <c r="S48" i="54" s="1"/>
  <c r="K52" i="54" s="1"/>
  <c r="S52" i="54" s="1"/>
  <c r="AO116" i="5"/>
  <c r="S47" i="54" s="1"/>
  <c r="AN116" i="5"/>
  <c r="S46" i="54" s="1"/>
  <c r="AM116" i="5"/>
  <c r="AL116" i="5"/>
  <c r="AD48" i="54" s="1"/>
  <c r="AK116" i="5"/>
  <c r="AD47" i="54" s="1"/>
  <c r="AJ116" i="5"/>
  <c r="AD46" i="54" s="1"/>
  <c r="AI116" i="5"/>
  <c r="AH116" i="5"/>
  <c r="AQ111" i="5"/>
  <c r="AP111" i="5"/>
  <c r="S43" i="53" s="1"/>
  <c r="I44" i="53" s="1"/>
  <c r="AO111" i="5"/>
  <c r="S42" i="53" s="1"/>
  <c r="AN111" i="5"/>
  <c r="S41" i="53" s="1"/>
  <c r="AM111" i="5"/>
  <c r="AL111" i="5"/>
  <c r="AC43" i="53" s="1"/>
  <c r="AK111" i="5"/>
  <c r="AC42" i="53" s="1"/>
  <c r="AJ111" i="5"/>
  <c r="AC41" i="53" s="1"/>
  <c r="AI111" i="5"/>
  <c r="AH111" i="5"/>
  <c r="AQ106" i="5"/>
  <c r="AP106" i="5"/>
  <c r="S43" i="52" s="1"/>
  <c r="I44" i="52" s="1"/>
  <c r="AO106" i="5"/>
  <c r="S42" i="52" s="1"/>
  <c r="AN106" i="5"/>
  <c r="S41" i="52" s="1"/>
  <c r="AM106" i="5"/>
  <c r="AL106" i="5"/>
  <c r="AC43" i="52" s="1"/>
  <c r="AK106" i="5"/>
  <c r="AC42" i="52" s="1"/>
  <c r="AJ106" i="5"/>
  <c r="AC41" i="52" s="1"/>
  <c r="AI106" i="5"/>
  <c r="AH106" i="5"/>
  <c r="AQ100" i="5"/>
  <c r="AP100" i="5"/>
  <c r="S48" i="51" s="1"/>
  <c r="K52" i="51" s="1"/>
  <c r="S52" i="51" s="1"/>
  <c r="AO100" i="5"/>
  <c r="S47" i="51" s="1"/>
  <c r="AN100" i="5"/>
  <c r="S46" i="51" s="1"/>
  <c r="AM100" i="5"/>
  <c r="AL100" i="5"/>
  <c r="AD48" i="51" s="1"/>
  <c r="AK100" i="5"/>
  <c r="AD47" i="51" s="1"/>
  <c r="AJ100" i="5"/>
  <c r="AD46" i="51" s="1"/>
  <c r="AI100" i="5"/>
  <c r="AH100" i="5"/>
  <c r="AQ95" i="5"/>
  <c r="AP95" i="5"/>
  <c r="AO95" i="5"/>
  <c r="AN95" i="5"/>
  <c r="AM95" i="5"/>
  <c r="AL95" i="5"/>
  <c r="AK95" i="5"/>
  <c r="AJ95" i="5"/>
  <c r="AI95" i="5"/>
  <c r="AH95" i="5"/>
  <c r="AQ90" i="5"/>
  <c r="AP90" i="5"/>
  <c r="AO90" i="5"/>
  <c r="AN90" i="5"/>
  <c r="AM90" i="5"/>
  <c r="AL90" i="5"/>
  <c r="AK90" i="5"/>
  <c r="AJ90" i="5"/>
  <c r="AI90" i="5"/>
  <c r="AH90" i="5"/>
  <c r="AQ84" i="5"/>
  <c r="AP84" i="5"/>
  <c r="S48" i="39" s="1"/>
  <c r="K52" i="39" s="1"/>
  <c r="S52" i="39" s="1"/>
  <c r="AO84" i="5"/>
  <c r="S47" i="39" s="1"/>
  <c r="AN84" i="5"/>
  <c r="S46" i="39" s="1"/>
  <c r="AM84" i="5"/>
  <c r="AL84" i="5"/>
  <c r="AD48" i="39" s="1"/>
  <c r="AK84" i="5"/>
  <c r="AD47" i="39" s="1"/>
  <c r="AJ84" i="5"/>
  <c r="AD46" i="39" s="1"/>
  <c r="AI84" i="5"/>
  <c r="AH84" i="5"/>
  <c r="AQ79" i="5"/>
  <c r="AP79" i="5"/>
  <c r="S43" i="38" s="1"/>
  <c r="I44" i="38" s="1"/>
  <c r="AO79" i="5"/>
  <c r="S42" i="38" s="1"/>
  <c r="AN79" i="5"/>
  <c r="S41" i="38" s="1"/>
  <c r="AM79" i="5"/>
  <c r="AL79" i="5"/>
  <c r="AC43" i="38" s="1"/>
  <c r="AK79" i="5"/>
  <c r="AC42" i="38" s="1"/>
  <c r="AJ79" i="5"/>
  <c r="AC41" i="38" s="1"/>
  <c r="AI79" i="5"/>
  <c r="AH79" i="5"/>
  <c r="E40" i="34" s="1"/>
  <c r="AQ74" i="5"/>
  <c r="AP74" i="5"/>
  <c r="S43" i="37" s="1"/>
  <c r="I44" i="37" s="1"/>
  <c r="AO74" i="5"/>
  <c r="S42" i="37" s="1"/>
  <c r="AN74" i="5"/>
  <c r="S41" i="37" s="1"/>
  <c r="AM74" i="5"/>
  <c r="AL74" i="5"/>
  <c r="AC43" i="37" s="1"/>
  <c r="AK74" i="5"/>
  <c r="AC42" i="37" s="1"/>
  <c r="AJ74" i="5"/>
  <c r="AC41" i="37" s="1"/>
  <c r="AI74" i="5"/>
  <c r="AH74" i="5"/>
  <c r="AQ69" i="5"/>
  <c r="AP69" i="5"/>
  <c r="S43" i="36" s="1"/>
  <c r="I44" i="36" s="1"/>
  <c r="AO69" i="5"/>
  <c r="S42" i="36" s="1"/>
  <c r="AN69" i="5"/>
  <c r="S41" i="36" s="1"/>
  <c r="AM69" i="5"/>
  <c r="AL69" i="5"/>
  <c r="AC43" i="36" s="1"/>
  <c r="AK69" i="5"/>
  <c r="AC42" i="36" s="1"/>
  <c r="AJ69" i="5"/>
  <c r="AC41" i="36" s="1"/>
  <c r="AI69" i="5"/>
  <c r="AH69" i="5"/>
  <c r="E36" i="34" s="1"/>
  <c r="AQ64" i="5"/>
  <c r="AP64" i="5"/>
  <c r="S43" i="35" s="1"/>
  <c r="I44" i="35" s="1"/>
  <c r="AO64" i="5"/>
  <c r="S42" i="35" s="1"/>
  <c r="AN64" i="5"/>
  <c r="S41" i="35" s="1"/>
  <c r="AM64" i="5"/>
  <c r="AL64" i="5"/>
  <c r="AC43" i="35" s="1"/>
  <c r="AK64" i="5"/>
  <c r="AC42" i="35" s="1"/>
  <c r="AJ64" i="5"/>
  <c r="AC41" i="35" s="1"/>
  <c r="AI64" i="5"/>
  <c r="AH64" i="5"/>
  <c r="AQ48" i="5"/>
  <c r="S48" i="20" s="1"/>
  <c r="AP48" i="5"/>
  <c r="S47" i="20" s="1"/>
  <c r="AO48" i="5"/>
  <c r="S46" i="20" s="1"/>
  <c r="AN48" i="5"/>
  <c r="S45" i="20" s="1"/>
  <c r="AM48" i="5"/>
  <c r="AB48" i="20" s="1"/>
  <c r="AL48" i="5"/>
  <c r="AB47" i="20" s="1"/>
  <c r="AK48" i="5"/>
  <c r="AB46" i="20" s="1"/>
  <c r="AJ48" i="5"/>
  <c r="AB45" i="20" s="1"/>
  <c r="AI48" i="5"/>
  <c r="AH48" i="5"/>
  <c r="E73" i="34" s="1"/>
  <c r="AQ43" i="5"/>
  <c r="S46" i="15" s="1"/>
  <c r="I47" i="15" s="1"/>
  <c r="AP43" i="5"/>
  <c r="S45" i="15" s="1"/>
  <c r="AO43" i="5"/>
  <c r="S44" i="15" s="1"/>
  <c r="AN43" i="5"/>
  <c r="S43" i="15" s="1"/>
  <c r="AM43" i="5"/>
  <c r="AD46" i="15" s="1"/>
  <c r="AL43" i="5"/>
  <c r="AD45" i="15" s="1"/>
  <c r="AK43" i="5"/>
  <c r="AD44" i="15" s="1"/>
  <c r="AJ43" i="5"/>
  <c r="AD43" i="15" s="1"/>
  <c r="AI43" i="5"/>
  <c r="AH43" i="5"/>
  <c r="AQ38" i="5"/>
  <c r="S46" i="18" s="1"/>
  <c r="J48" i="18" s="1"/>
  <c r="AP38" i="5"/>
  <c r="AO38" i="5"/>
  <c r="S44" i="18" s="1"/>
  <c r="AN38" i="5"/>
  <c r="S43" i="18" s="1"/>
  <c r="AM38" i="5"/>
  <c r="AD46" i="18" s="1"/>
  <c r="AL38" i="5"/>
  <c r="AD45" i="18" s="1"/>
  <c r="AK38" i="5"/>
  <c r="AD44" i="18" s="1"/>
  <c r="AJ38" i="5"/>
  <c r="AD43" i="18" s="1"/>
  <c r="AI38" i="5"/>
  <c r="AH38" i="5"/>
  <c r="E69" i="34" s="1"/>
  <c r="AQ33" i="5"/>
  <c r="S46" i="17" s="1"/>
  <c r="I47" i="17" s="1"/>
  <c r="AP33" i="5"/>
  <c r="S45" i="17" s="1"/>
  <c r="AO33" i="5"/>
  <c r="S44" i="17" s="1"/>
  <c r="AN33" i="5"/>
  <c r="S43" i="17" s="1"/>
  <c r="AM33" i="5"/>
  <c r="AL33" i="5"/>
  <c r="AD45" i="17" s="1"/>
  <c r="AK33" i="5"/>
  <c r="AD44" i="17" s="1"/>
  <c r="AJ33" i="5"/>
  <c r="AD43" i="17" s="1"/>
  <c r="AI33" i="5"/>
  <c r="AH33" i="5"/>
  <c r="AQ28" i="5"/>
  <c r="U52" i="19" s="1"/>
  <c r="I53" i="19" s="1"/>
  <c r="J54" i="19" s="1"/>
  <c r="AP28" i="5"/>
  <c r="AO28" i="5"/>
  <c r="U50" i="19" s="1"/>
  <c r="AN28" i="5"/>
  <c r="U49" i="19" s="1"/>
  <c r="AM28" i="5"/>
  <c r="AG52" i="19" s="1"/>
  <c r="AL28" i="5"/>
  <c r="AG51" i="19" s="1"/>
  <c r="AK28" i="5"/>
  <c r="AG50" i="19" s="1"/>
  <c r="AJ28" i="5"/>
  <c r="AG49" i="19" s="1"/>
  <c r="AI28" i="5"/>
  <c r="AH28" i="5"/>
  <c r="E24" i="34" s="1"/>
  <c r="AQ23" i="5"/>
  <c r="AP23" i="5"/>
  <c r="L21" i="24" s="1"/>
  <c r="AO23" i="5"/>
  <c r="L20" i="24" s="1"/>
  <c r="AN23" i="5"/>
  <c r="L19" i="24" s="1"/>
  <c r="AM23" i="5"/>
  <c r="AL23" i="5"/>
  <c r="O21" i="24" s="1"/>
  <c r="AK23" i="5"/>
  <c r="O20" i="24" s="1"/>
  <c r="AJ23" i="5"/>
  <c r="O19" i="24" s="1"/>
  <c r="AI23" i="5"/>
  <c r="AH23" i="5"/>
  <c r="AQ18" i="5"/>
  <c r="S46" i="14" s="1"/>
  <c r="I47" i="14" s="1"/>
  <c r="AP18" i="5"/>
  <c r="S45" i="14" s="1"/>
  <c r="AO18" i="5"/>
  <c r="AN18" i="5"/>
  <c r="S43" i="14" s="1"/>
  <c r="AM18" i="5"/>
  <c r="AD46" i="14" s="1"/>
  <c r="AL18" i="5"/>
  <c r="AD45" i="14" s="1"/>
  <c r="AK18" i="5"/>
  <c r="AD44" i="14" s="1"/>
  <c r="AJ18" i="5"/>
  <c r="AD43" i="14" s="1"/>
  <c r="AI18" i="5"/>
  <c r="AH18" i="5"/>
  <c r="E20" i="34" s="1"/>
  <c r="AQ13" i="5"/>
  <c r="AP13" i="5"/>
  <c r="S45" i="13" s="1"/>
  <c r="AO13" i="5"/>
  <c r="S44" i="13" s="1"/>
  <c r="AN13" i="5"/>
  <c r="S43" i="13" s="1"/>
  <c r="AM13" i="5"/>
  <c r="AL13" i="5"/>
  <c r="AD45" i="13" s="1"/>
  <c r="AK13" i="5"/>
  <c r="AD44" i="13" s="1"/>
  <c r="AJ13" i="5"/>
  <c r="AD43" i="13" s="1"/>
  <c r="AI13" i="5"/>
  <c r="AH13" i="5"/>
  <c r="D6" i="5"/>
  <c r="D5" i="5"/>
  <c r="R13" i="4"/>
  <c r="P13" i="4"/>
  <c r="E13" i="4"/>
  <c r="E7" i="4"/>
  <c r="D5" i="4"/>
  <c r="O13" i="3"/>
  <c r="M13" i="3" a="1"/>
  <c r="M13" i="3"/>
  <c r="J13" i="3"/>
  <c r="E13" i="3"/>
  <c r="E12" i="3"/>
  <c r="G12" i="3" s="1"/>
  <c r="I13" i="4" s="1"/>
  <c r="Q13" i="4" s="1"/>
  <c r="E4" i="3"/>
  <c r="E59" i="2"/>
  <c r="E49" i="2"/>
  <c r="E41" i="2"/>
  <c r="F25" i="2"/>
  <c r="E22" i="2"/>
  <c r="E21" i="2"/>
  <c r="F20" i="2"/>
  <c r="E3" i="2"/>
  <c r="E2" i="2"/>
  <c r="J7" i="14" l="1"/>
  <c r="S6" i="14"/>
  <c r="H15" i="41"/>
  <c r="I11" i="43"/>
  <c r="I11" i="42"/>
  <c r="I26" i="40"/>
  <c r="I8" i="44"/>
  <c r="H10" i="32"/>
  <c r="I10" i="31"/>
  <c r="I27" i="33"/>
  <c r="K51" i="20"/>
  <c r="S51" i="20" s="1"/>
  <c r="I49" i="20"/>
  <c r="J50" i="20"/>
  <c r="J48" i="13"/>
  <c r="S47" i="13"/>
  <c r="D4" i="4"/>
  <c r="B5" i="1"/>
  <c r="J48" i="14"/>
  <c r="S47" i="14"/>
  <c r="U54" i="19"/>
  <c r="K55" i="19"/>
  <c r="K49" i="18"/>
  <c r="S49" i="18" s="1"/>
  <c r="S48" i="18"/>
  <c r="D33" i="7"/>
  <c r="D36" i="7"/>
  <c r="D37" i="7" s="1"/>
  <c r="D38" i="7" s="1"/>
  <c r="D34" i="7"/>
  <c r="D35" i="7"/>
  <c r="S47" i="15"/>
  <c r="J48" i="15"/>
  <c r="I7" i="44"/>
  <c r="I10" i="43"/>
  <c r="I10" i="42"/>
  <c r="H14" i="41"/>
  <c r="I25" i="40"/>
  <c r="I26" i="33"/>
  <c r="I9" i="31"/>
  <c r="H9" i="32"/>
  <c r="F178" i="34"/>
  <c r="F139" i="34"/>
  <c r="F100" i="34"/>
  <c r="F61" i="34"/>
  <c r="F20" i="34"/>
  <c r="F190" i="34"/>
  <c r="F151" i="34"/>
  <c r="F112" i="34"/>
  <c r="F73" i="34"/>
  <c r="F32" i="34"/>
  <c r="F210" i="34"/>
  <c r="F171" i="34"/>
  <c r="F132" i="34"/>
  <c r="F93" i="34"/>
  <c r="F52" i="34"/>
  <c r="K8" i="17"/>
  <c r="S8" i="17" s="1"/>
  <c r="E176" i="34"/>
  <c r="E137" i="34"/>
  <c r="E98" i="34"/>
  <c r="E59" i="34"/>
  <c r="E18" i="34"/>
  <c r="E180" i="34"/>
  <c r="E141" i="34"/>
  <c r="E102" i="34"/>
  <c r="E63" i="34"/>
  <c r="E22" i="34"/>
  <c r="E188" i="34"/>
  <c r="E149" i="34"/>
  <c r="E110" i="34"/>
  <c r="E71" i="34"/>
  <c r="E30" i="34"/>
  <c r="E196" i="34"/>
  <c r="E157" i="34"/>
  <c r="E118" i="34"/>
  <c r="E79" i="34"/>
  <c r="E38" i="34"/>
  <c r="AC41" i="50"/>
  <c r="AC41" i="49"/>
  <c r="S41" i="49"/>
  <c r="S41" i="50"/>
  <c r="S7" i="13"/>
  <c r="S45" i="16"/>
  <c r="S48" i="17"/>
  <c r="L23" i="25"/>
  <c r="G24" i="25"/>
  <c r="F198" i="34"/>
  <c r="F159" i="34"/>
  <c r="F120" i="34"/>
  <c r="F81" i="34"/>
  <c r="F40" i="34"/>
  <c r="K8" i="19"/>
  <c r="S44" i="35"/>
  <c r="J45" i="35"/>
  <c r="J45" i="37"/>
  <c r="S44" i="37"/>
  <c r="E200" i="34"/>
  <c r="E161" i="34"/>
  <c r="E122" i="34"/>
  <c r="E83" i="34"/>
  <c r="E42" i="34"/>
  <c r="J45" i="52"/>
  <c r="S44" i="52"/>
  <c r="K8" i="20"/>
  <c r="S8" i="20" s="1"/>
  <c r="I6" i="20"/>
  <c r="J7" i="20"/>
  <c r="I9" i="44"/>
  <c r="H16" i="41"/>
  <c r="I12" i="43"/>
  <c r="I12" i="42"/>
  <c r="I27" i="40"/>
  <c r="I28" i="33"/>
  <c r="I11" i="31"/>
  <c r="H11" i="32"/>
  <c r="F176" i="34"/>
  <c r="F137" i="34"/>
  <c r="F59" i="34"/>
  <c r="F18" i="34"/>
  <c r="F98" i="34"/>
  <c r="F180" i="34"/>
  <c r="F141" i="34"/>
  <c r="F102" i="34"/>
  <c r="F63" i="34"/>
  <c r="F22" i="34"/>
  <c r="L22" i="24"/>
  <c r="F23" i="24" s="1"/>
  <c r="S46" i="16"/>
  <c r="F184" i="34"/>
  <c r="F67" i="34"/>
  <c r="F26" i="34"/>
  <c r="F145" i="34"/>
  <c r="F106" i="34"/>
  <c r="F188" i="34"/>
  <c r="F149" i="34"/>
  <c r="F110" i="34"/>
  <c r="F71" i="34"/>
  <c r="F30" i="34"/>
  <c r="F192" i="34"/>
  <c r="F75" i="34"/>
  <c r="F34" i="34"/>
  <c r="F153" i="34"/>
  <c r="F114" i="34"/>
  <c r="F196" i="34"/>
  <c r="F157" i="34"/>
  <c r="F118" i="34"/>
  <c r="F79" i="34"/>
  <c r="F38" i="34"/>
  <c r="F200" i="34"/>
  <c r="F83" i="34"/>
  <c r="F42" i="34"/>
  <c r="F161" i="34"/>
  <c r="F122" i="34"/>
  <c r="AC42" i="50"/>
  <c r="AC42" i="49"/>
  <c r="S42" i="49"/>
  <c r="S42" i="50"/>
  <c r="F204" i="34"/>
  <c r="F165" i="34"/>
  <c r="F126" i="34"/>
  <c r="F87" i="34"/>
  <c r="F46" i="34"/>
  <c r="F208" i="34"/>
  <c r="F169" i="34"/>
  <c r="F91" i="34"/>
  <c r="F50" i="34"/>
  <c r="F130" i="34"/>
  <c r="F212" i="34"/>
  <c r="F173" i="34"/>
  <c r="F134" i="34"/>
  <c r="F54" i="34"/>
  <c r="F95" i="34"/>
  <c r="K8" i="15"/>
  <c r="S8" i="15" s="1"/>
  <c r="S7" i="16"/>
  <c r="S43" i="16"/>
  <c r="S44" i="16"/>
  <c r="AD45" i="16"/>
  <c r="S7" i="18"/>
  <c r="I47" i="18"/>
  <c r="K33" i="40"/>
  <c r="B34" i="40"/>
  <c r="F182" i="34"/>
  <c r="F143" i="34"/>
  <c r="F104" i="34"/>
  <c r="F65" i="34"/>
  <c r="F24" i="34"/>
  <c r="F186" i="34"/>
  <c r="F147" i="34"/>
  <c r="F108" i="34"/>
  <c r="F69" i="34"/>
  <c r="F28" i="34"/>
  <c r="F194" i="34"/>
  <c r="F155" i="34"/>
  <c r="F116" i="34"/>
  <c r="F77" i="34"/>
  <c r="F36" i="34"/>
  <c r="F202" i="34"/>
  <c r="F163" i="34"/>
  <c r="F124" i="34"/>
  <c r="F85" i="34"/>
  <c r="F44" i="34"/>
  <c r="F206" i="34"/>
  <c r="F167" i="34"/>
  <c r="F128" i="34"/>
  <c r="F89" i="34"/>
  <c r="F48" i="34"/>
  <c r="E184" i="34"/>
  <c r="E145" i="34"/>
  <c r="E106" i="34"/>
  <c r="E67" i="34"/>
  <c r="E26" i="34"/>
  <c r="E192" i="34"/>
  <c r="E153" i="34"/>
  <c r="E114" i="34"/>
  <c r="E75" i="34"/>
  <c r="E34" i="34"/>
  <c r="E204" i="34"/>
  <c r="E165" i="34"/>
  <c r="E126" i="34"/>
  <c r="E87" i="34"/>
  <c r="E46" i="34"/>
  <c r="E208" i="34"/>
  <c r="E169" i="34"/>
  <c r="E130" i="34"/>
  <c r="E91" i="34"/>
  <c r="E50" i="34"/>
  <c r="E212" i="34"/>
  <c r="E173" i="34"/>
  <c r="E134" i="34"/>
  <c r="E54" i="34"/>
  <c r="E95" i="34"/>
  <c r="E178" i="34"/>
  <c r="E139" i="34"/>
  <c r="E100" i="34"/>
  <c r="E182" i="34"/>
  <c r="E143" i="34"/>
  <c r="E104" i="34"/>
  <c r="E147" i="34"/>
  <c r="E108" i="34"/>
  <c r="E186" i="34"/>
  <c r="E190" i="34"/>
  <c r="E151" i="34"/>
  <c r="E112" i="34"/>
  <c r="E194" i="34"/>
  <c r="E155" i="34"/>
  <c r="E116" i="34"/>
  <c r="S44" i="36"/>
  <c r="J45" i="36"/>
  <c r="E198" i="34"/>
  <c r="E159" i="34"/>
  <c r="E120" i="34"/>
  <c r="J45" i="38"/>
  <c r="S44" i="38"/>
  <c r="E163" i="34"/>
  <c r="E124" i="34"/>
  <c r="E202" i="34"/>
  <c r="E85" i="34"/>
  <c r="AC43" i="49"/>
  <c r="AC43" i="50"/>
  <c r="S43" i="49"/>
  <c r="I44" i="49" s="1"/>
  <c r="S43" i="50"/>
  <c r="I44" i="50" s="1"/>
  <c r="E206" i="34"/>
  <c r="E167" i="34"/>
  <c r="E128" i="34"/>
  <c r="E89" i="34"/>
  <c r="E210" i="34"/>
  <c r="E132" i="34"/>
  <c r="E171" i="34"/>
  <c r="E93" i="34"/>
  <c r="S44" i="53"/>
  <c r="J45" i="53"/>
  <c r="AD43" i="16"/>
  <c r="AD44" i="16"/>
  <c r="L23" i="26"/>
  <c r="G24" i="26"/>
  <c r="E28" i="34"/>
  <c r="E44" i="34"/>
  <c r="E61" i="34"/>
  <c r="E77" i="34"/>
  <c r="S6" i="36"/>
  <c r="K7" i="36"/>
  <c r="S7" i="36" s="1"/>
  <c r="E24" i="28"/>
  <c r="E32" i="28"/>
  <c r="L98" i="34"/>
  <c r="J6" i="38"/>
  <c r="O9" i="66"/>
  <c r="G8" i="65"/>
  <c r="F5" i="48"/>
  <c r="E5" i="65"/>
  <c r="J8" i="65"/>
  <c r="E5" i="64"/>
  <c r="D5" i="63"/>
  <c r="L176" i="34"/>
  <c r="AA11" i="23"/>
  <c r="N11" i="23" s="1"/>
  <c r="I15" i="32" s="1"/>
  <c r="U15" i="23"/>
  <c r="M15" i="23" s="1"/>
  <c r="E19" i="32" s="1"/>
  <c r="E25" i="28"/>
  <c r="E35" i="28"/>
  <c r="J6" i="37"/>
  <c r="S5" i="37"/>
  <c r="U148" i="23"/>
  <c r="M148" i="23" s="1"/>
  <c r="E12" i="12" s="1"/>
  <c r="E28" i="28"/>
  <c r="E38" i="28"/>
  <c r="E10" i="29"/>
  <c r="D8" i="34"/>
  <c r="L18" i="34"/>
  <c r="L59" i="34"/>
  <c r="S5" i="35"/>
  <c r="J6" i="35"/>
  <c r="E70" i="40"/>
  <c r="K70" i="40" s="1"/>
  <c r="S5" i="52"/>
  <c r="J6" i="52"/>
  <c r="S6" i="53"/>
  <c r="K7" i="53"/>
  <c r="S7" i="53" s="1"/>
  <c r="I48" i="47"/>
  <c r="H48" i="47" s="1"/>
  <c r="J6" i="49"/>
  <c r="S5" i="49"/>
  <c r="S5" i="50"/>
  <c r="K7" i="50"/>
  <c r="S7" i="50" s="1"/>
  <c r="S6" i="50"/>
  <c r="U8" i="19" l="1"/>
  <c r="L9" i="19"/>
  <c r="U9" i="19" s="1"/>
  <c r="K7" i="38"/>
  <c r="S7" i="38" s="1"/>
  <c r="S6" i="38"/>
  <c r="J45" i="50"/>
  <c r="S44" i="50"/>
  <c r="S45" i="37"/>
  <c r="K46" i="37"/>
  <c r="S46" i="37" s="1"/>
  <c r="I58" i="47"/>
  <c r="H58" i="47" s="1"/>
  <c r="S44" i="49"/>
  <c r="J45" i="49"/>
  <c r="S45" i="38"/>
  <c r="K46" i="38"/>
  <c r="S46" i="38" s="1"/>
  <c r="S45" i="36"/>
  <c r="K46" i="36"/>
  <c r="S46" i="36" s="1"/>
  <c r="H31" i="40"/>
  <c r="H136" i="40" s="1"/>
  <c r="I31" i="40"/>
  <c r="I136" i="40" s="1"/>
  <c r="J48" i="16"/>
  <c r="I47" i="16"/>
  <c r="K46" i="52"/>
  <c r="S46" i="52" s="1"/>
  <c r="S45" i="52"/>
  <c r="K46" i="35"/>
  <c r="S46" i="35" s="1"/>
  <c r="S45" i="35"/>
  <c r="L24" i="25"/>
  <c r="H25" i="25"/>
  <c r="L25" i="25" s="1"/>
  <c r="S48" i="14"/>
  <c r="K49" i="14"/>
  <c r="S49" i="14" s="1"/>
  <c r="S48" i="13"/>
  <c r="K49" i="13"/>
  <c r="S49" i="13" s="1"/>
  <c r="K7" i="37"/>
  <c r="S7" i="37" s="1"/>
  <c r="S6" i="37"/>
  <c r="S6" i="35"/>
  <c r="K7" i="35"/>
  <c r="S7" i="35" s="1"/>
  <c r="S6" i="49"/>
  <c r="K7" i="49"/>
  <c r="S7" i="49" s="1"/>
  <c r="K7" i="52"/>
  <c r="S7" i="52" s="1"/>
  <c r="S6" i="52"/>
  <c r="L24" i="26"/>
  <c r="H25" i="26"/>
  <c r="L25" i="26" s="1"/>
  <c r="K46" i="53"/>
  <c r="S46" i="53" s="1"/>
  <c r="S45" i="53"/>
  <c r="L23" i="24"/>
  <c r="G24" i="24"/>
  <c r="K49" i="15"/>
  <c r="S49" i="15" s="1"/>
  <c r="S48" i="15"/>
  <c r="D39" i="7"/>
  <c r="D40" i="7"/>
  <c r="D42" i="7"/>
  <c r="D43" i="7" s="1"/>
  <c r="D44" i="7" s="1"/>
  <c r="U55" i="19"/>
  <c r="L56" i="19"/>
  <c r="U56" i="19" s="1"/>
  <c r="K8" i="14"/>
  <c r="S8" i="14" s="1"/>
  <c r="S7" i="14"/>
  <c r="L24" i="24" l="1"/>
  <c r="H25" i="24"/>
  <c r="L25" i="24" s="1"/>
  <c r="S45" i="49"/>
  <c r="K46" i="49"/>
  <c r="S46" i="49" s="1"/>
  <c r="S45" i="50"/>
  <c r="K46" i="50"/>
  <c r="S46" i="50" s="1"/>
  <c r="D47" i="7"/>
  <c r="D48" i="7"/>
  <c r="D45" i="7"/>
  <c r="D46" i="7"/>
  <c r="D50" i="7"/>
  <c r="K49" i="16"/>
  <c r="S49" i="16" s="1"/>
  <c r="S48"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F31" authorId="0" shapeId="0" xr:uid="{00000000-0006-0000-0100-000001000000}">
      <text>
        <r>
          <rPr>
            <sz val="9"/>
            <color indexed="81"/>
            <rFont val="Tahoma"/>
            <family val="2"/>
          </rPr>
          <t>Выбор организации двойным щелчком левой клавиши мыши</t>
        </r>
      </text>
    </comment>
    <comment ref="E37" authorId="0" shapeId="0" xr:uid="{00000000-0006-0000-0100-00000200000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Z1" authorId="0" shapeId="0" xr:uid="{00000000-0006-0000-1400-000001000000}">
      <text>
        <r>
          <rPr>
            <sz val="9"/>
            <color indexed="81"/>
            <rFont val="Tahoma"/>
            <family val="2"/>
          </rPr>
          <t>Тип организации</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P2" authorId="0" shapeId="0" xr:uid="{00000000-0006-0000-1600-000001000000}">
      <text>
        <r>
          <rPr>
            <sz val="9"/>
            <color indexed="81"/>
            <rFont val="Arial"/>
            <family val="2"/>
          </rPr>
          <t>сюда же для некоторых формул может входить:
- VOTV
- HOTVSNA</t>
        </r>
      </text>
    </comment>
    <comment ref="U2" authorId="0" shapeId="0" xr:uid="{00000000-0006-0000-1600-00000200000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<sst xmlns="http://schemas.openxmlformats.org/spreadsheetml/2006/main" count="8661" uniqueCount="2498">
  <si>
    <t xml:space="preserve"> (требуется обновление)</t>
  </si>
  <si>
    <t>Код отчёта: PP108.OPEN.INFO.QUARTER.COLDVSNA.EIAS</t>
  </si>
  <si>
    <t>Версия отчёта: 1.0.2</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</si>
  <si>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</si>
  <si>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</si>
  <si>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</si>
  <si>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</si>
  <si>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</si>
  <si>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</si>
  <si>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</si>
  <si>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</si>
  <si>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</si>
  <si>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</si>
  <si>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</si>
  <si>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Ненецкий автономный округ</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</si>
  <si>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</si>
  <si>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</si>
  <si>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</si>
  <si>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</si>
  <si>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</si>
  <si>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</si>
  <si>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</si>
  <si>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</si>
  <si>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</si>
  <si>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</si>
  <si>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</si>
  <si>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</si>
  <si>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</si>
  <si>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</si>
  <si>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</si>
  <si>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</si>
  <si>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III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</si>
  <si>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</si>
  <si>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</si>
  <si>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</si>
  <si>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</si>
  <si>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</si>
  <si>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</si>
  <si>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</si>
  <si>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</si>
  <si>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</si>
  <si>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</si>
  <si>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</si>
  <si>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</si>
  <si>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</si>
  <si>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</si>
  <si>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</si>
  <si>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</si>
  <si>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</si>
  <si>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</si>
  <si>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</si>
  <si>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</si>
  <si>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</si>
  <si>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</si>
  <si>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</si>
  <si>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</si>
  <si>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</si>
  <si>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</si>
  <si>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</si>
  <si>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</si>
  <si>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</si>
  <si>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</si>
  <si>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</si>
  <si>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</si>
  <si>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</si>
  <si>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</si>
  <si>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</si>
  <si>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</si>
  <si>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</si>
  <si>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</si>
  <si>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</si>
  <si>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р-н, рп. Искателей, ул. Губкина, д. 15</t>
  </si>
  <si>
    <t>Фамилия, имя, отчество руководителя</t>
  </si>
  <si>
    <t>Загитов Артур Эдуардович</t>
  </si>
  <si>
    <t>Ответственный за заполнение формы</t>
  </si>
  <si>
    <t>Фамилия, имя, отчество</t>
  </si>
  <si>
    <t>Яровый Юрий Григорьевич</t>
  </si>
  <si>
    <t>Должность</t>
  </si>
  <si>
    <t>Начальник СЭиТО</t>
  </si>
  <si>
    <t>Контактный телефон</t>
  </si>
  <si>
    <t>8(81853) 4-77-57</t>
  </si>
  <si>
    <t>E-mail</t>
  </si>
  <si>
    <t>teplovoda21@mail.ru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</si>
  <si>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</si>
  <si>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</si>
  <si>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</si>
  <si>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</si>
  <si>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</si>
  <si>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</si>
  <si>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</si>
  <si>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</si>
  <si>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</si>
  <si>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</si>
  <si>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</si>
  <si>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</si>
  <si>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</si>
  <si>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</si>
  <si>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</si>
  <si>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</si>
  <si>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</si>
  <si>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</si>
  <si>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</si>
  <si>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</si>
  <si>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</si>
  <si>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</si>
  <si>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</si>
  <si>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</si>
  <si>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</si>
  <si>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</si>
  <si>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</si>
  <si>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</si>
  <si>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</si>
  <si>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</si>
  <si>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</si>
  <si>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</si>
  <si>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</si>
  <si>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</si>
  <si>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</si>
  <si>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</si>
  <si>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4189671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</si>
  <si>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</si>
  <si>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</si>
  <si>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</si>
  <si>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</si>
  <si>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</si>
  <si>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</si>
  <si>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</si>
  <si>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</si>
  <si>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</si>
  <si>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</si>
  <si>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</si>
  <si>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</si>
  <si>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</si>
  <si>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</si>
  <si>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</si>
  <si>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</si>
  <si>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</si>
  <si>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</si>
  <si>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</si>
  <si>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</si>
  <si>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</si>
  <si>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</si>
  <si>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</si>
  <si>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</si>
  <si>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</si>
  <si>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</si>
  <si>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</si>
  <si>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</si>
  <si>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</si>
  <si>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</si>
  <si>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</si>
  <si>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</si>
  <si>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</si>
  <si>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</si>
  <si>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</si>
  <si>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</si>
  <si>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</si>
  <si>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</si>
  <si>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</si>
  <si>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</si>
  <si>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</si>
  <si>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</si>
  <si>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</si>
  <si>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</si>
  <si>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</si>
  <si>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</si>
  <si>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</si>
  <si>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</si>
  <si>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</si>
  <si>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</si>
  <si>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</si>
  <si>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</si>
  <si>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</si>
  <si>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</si>
  <si>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</si>
  <si>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</si>
  <si>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</si>
  <si>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</si>
  <si>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</si>
  <si>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</si>
  <si>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</si>
  <si>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</si>
  <si>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</si>
  <si>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</si>
  <si>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</si>
  <si>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</si>
  <si>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</si>
  <si>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</si>
  <si>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</si>
  <si>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</si>
  <si>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</si>
  <si>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</si>
  <si>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</si>
  <si>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</si>
  <si>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</si>
  <si>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</si>
  <si>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</si>
  <si>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</si>
  <si>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</si>
  <si>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</si>
  <si>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</si>
  <si>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</si>
  <si>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</si>
  <si>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</si>
  <si>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</si>
  <si>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</si>
  <si>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</si>
  <si>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</si>
  <si>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</si>
  <si>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</si>
  <si>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</si>
  <si>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</si>
  <si>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</si>
  <si>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</si>
  <si>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</si>
  <si>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</si>
  <si>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</si>
  <si>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</si>
  <si>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</si>
  <si>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</si>
  <si>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</si>
  <si>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</si>
  <si>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</si>
  <si>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</si>
  <si>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</si>
  <si>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</si>
  <si>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</si>
  <si>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</si>
  <si>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</si>
  <si>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</si>
  <si>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</si>
  <si>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</si>
  <si>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</si>
  <si>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</si>
  <si>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</si>
  <si>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</si>
  <si>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</si>
  <si>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</si>
  <si>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</si>
  <si>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</si>
  <si>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</si>
  <si>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</si>
  <si>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</si>
  <si>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</si>
  <si>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</si>
  <si>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</si>
  <si>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</si>
  <si>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</si>
  <si>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</si>
  <si>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</si>
  <si>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</si>
  <si>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</si>
  <si>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</si>
  <si>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</si>
  <si>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</si>
  <si>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</si>
  <si>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</si>
  <si>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</si>
  <si>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</si>
  <si>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</si>
  <si>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</si>
  <si>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</si>
  <si>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</si>
  <si>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</si>
  <si>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</si>
  <si>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</si>
  <si>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</si>
  <si>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</si>
  <si>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</si>
  <si>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</si>
  <si>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</si>
  <si>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</si>
  <si>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</si>
  <si>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</si>
  <si>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</si>
  <si>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</si>
  <si>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</si>
  <si>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</si>
  <si>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</si>
  <si>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</si>
  <si>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</si>
  <si>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</si>
  <si>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</si>
  <si>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</si>
  <si>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</si>
  <si>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</si>
  <si>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</si>
  <si>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</si>
  <si>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</si>
  <si>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</si>
  <si>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</si>
  <si>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</si>
  <si>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</si>
  <si>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</si>
  <si>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</si>
  <si>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</si>
  <si>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</si>
  <si>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</si>
  <si>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</si>
  <si>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</si>
  <si>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</si>
  <si>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</si>
  <si>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</si>
  <si>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</si>
  <si>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</si>
  <si>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</si>
  <si>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</si>
  <si>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</si>
  <si>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</si>
  <si>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</si>
  <si>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</si>
  <si>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</si>
  <si>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</si>
  <si>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</si>
  <si>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</si>
  <si>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</si>
  <si>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</si>
  <si>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</si>
  <si>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</si>
  <si>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</si>
  <si>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</si>
  <si>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</si>
  <si>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</si>
  <si>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</si>
  <si>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</si>
  <si>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</si>
  <si>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</si>
  <si>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</si>
  <si>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</si>
  <si>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</si>
  <si>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</si>
  <si>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</si>
  <si>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</si>
  <si>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</si>
  <si>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</si>
  <si>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</si>
  <si>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</si>
  <si>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</si>
  <si>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</si>
  <si>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</si>
  <si>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</si>
  <si>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</si>
  <si>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</si>
  <si>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</si>
  <si>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</si>
  <si>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</si>
  <si>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</si>
  <si>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</si>
  <si>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</si>
  <si>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</si>
  <si>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</si>
  <si>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</si>
  <si>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</si>
  <si>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</si>
  <si>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</si>
  <si>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</si>
  <si>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</si>
  <si>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</si>
  <si>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</si>
  <si>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</si>
  <si>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</si>
  <si>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</si>
  <si>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</si>
  <si>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</si>
  <si>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</si>
  <si>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</si>
  <si>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</si>
  <si>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</si>
  <si>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</si>
  <si>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</si>
  <si>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</si>
  <si>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</si>
  <si>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</si>
  <si>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</si>
  <si>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</si>
  <si>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</si>
  <si>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</si>
  <si>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</si>
  <si>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</si>
  <si>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</si>
  <si>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</si>
  <si>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</si>
  <si>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</si>
  <si>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</si>
  <si>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</si>
  <si>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</si>
  <si>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</si>
  <si>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</si>
  <si>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</si>
  <si>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</si>
  <si>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</si>
  <si>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</si>
  <si>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</si>
  <si>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</si>
  <si>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</si>
  <si>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</si>
  <si>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</si>
  <si>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</si>
  <si>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</si>
  <si>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</si>
  <si>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</si>
  <si>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</si>
  <si>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</si>
  <si>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</si>
  <si>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</si>
  <si>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</si>
  <si>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</si>
  <si>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</si>
  <si>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</si>
  <si>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</si>
  <si>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</si>
  <si>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</si>
  <si>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</si>
  <si>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</si>
  <si>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</si>
  <si>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</si>
  <si>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</si>
  <si>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</si>
  <si>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</si>
  <si>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</si>
  <si>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</si>
  <si>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</si>
  <si>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</si>
  <si>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</si>
  <si>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</si>
  <si>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</si>
  <si>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</si>
  <si>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</si>
  <si>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</si>
  <si>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</si>
  <si>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</si>
  <si>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</si>
  <si>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</si>
  <si>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</si>
  <si>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</si>
  <si>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</si>
  <si>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</si>
  <si>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</si>
  <si>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</si>
  <si>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</si>
  <si>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</si>
  <si>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</si>
  <si>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</si>
  <si>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</si>
  <si>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</si>
  <si>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</si>
  <si>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</si>
  <si>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</si>
  <si>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</si>
  <si>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</si>
  <si>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</si>
  <si>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</si>
  <si>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</si>
  <si>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</si>
  <si>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</si>
  <si>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</si>
  <si>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</si>
  <si>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</si>
  <si>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</si>
  <si>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</si>
  <si>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</si>
  <si>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</si>
  <si>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</si>
  <si>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</si>
  <si>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</si>
  <si>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</si>
  <si>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</si>
  <si>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</si>
  <si>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</si>
  <si>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</si>
  <si>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</si>
  <si>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</si>
  <si>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</si>
  <si>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</si>
  <si>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</si>
  <si>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</si>
  <si>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</si>
  <si>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</si>
  <si>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</si>
  <si>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</si>
  <si>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</si>
  <si>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</si>
  <si>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</si>
  <si>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</si>
  <si>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</si>
  <si>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</si>
  <si>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</si>
  <si>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</si>
  <si>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</si>
  <si>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</si>
  <si>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</si>
  <si>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</si>
  <si>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</si>
  <si>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</si>
  <si>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</si>
  <si>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</si>
  <si>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</si>
  <si>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</si>
  <si>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</si>
  <si>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</si>
  <si>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</si>
  <si>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</si>
  <si>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</si>
  <si>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</si>
  <si>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</si>
  <si>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</si>
  <si>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</si>
  <si>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</si>
  <si>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</si>
  <si>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</si>
  <si>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</si>
  <si>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</si>
  <si>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</si>
  <si>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</si>
  <si>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</si>
  <si>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</si>
  <si>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</si>
  <si>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</si>
  <si>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</si>
  <si>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</si>
  <si>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</si>
  <si>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</si>
  <si>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</si>
  <si>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</si>
  <si>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</si>
  <si>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</si>
  <si>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</si>
  <si>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</si>
  <si>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</si>
  <si>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</si>
  <si>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</si>
  <si>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</si>
  <si>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</si>
  <si>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</si>
  <si>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</si>
  <si>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</si>
  <si>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</si>
  <si>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</si>
  <si>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</si>
  <si>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</si>
  <si>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</si>
  <si>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</si>
  <si>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</si>
  <si>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</si>
  <si>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</si>
  <si>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</si>
  <si>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</si>
  <si>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</si>
  <si>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</si>
  <si>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</si>
  <si>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</si>
  <si>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</si>
  <si>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</si>
  <si>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</si>
  <si>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</si>
  <si>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</si>
  <si>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</si>
  <si>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</si>
  <si>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</si>
  <si>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</si>
  <si>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</si>
  <si>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</si>
  <si>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</si>
  <si>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</si>
  <si>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</si>
  <si>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</si>
  <si>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</si>
  <si>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</si>
  <si>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</si>
  <si>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</si>
  <si>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</si>
  <si>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</si>
  <si>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</si>
  <si>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</si>
  <si>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</si>
  <si>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</si>
  <si>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</si>
  <si>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</si>
  <si>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</si>
  <si>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</si>
  <si>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</si>
  <si>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</si>
  <si>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</si>
  <si>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</si>
  <si>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</si>
  <si>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</si>
  <si>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</si>
  <si>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</si>
  <si>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</si>
  <si>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</si>
  <si>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</si>
  <si>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</si>
  <si>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</si>
  <si>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</si>
  <si>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</si>
  <si>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</si>
  <si>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</si>
  <si>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</si>
  <si>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</si>
  <si>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</si>
  <si>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</si>
  <si>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</si>
  <si>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</si>
  <si>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</si>
  <si>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</si>
  <si>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</si>
  <si>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</si>
  <si>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</si>
  <si>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</si>
  <si>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</si>
  <si>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</si>
  <si>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</si>
  <si>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</si>
  <si>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</si>
  <si>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</si>
  <si>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</si>
  <si>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</si>
  <si>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</si>
  <si>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</si>
  <si>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</si>
  <si>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</si>
  <si>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</si>
  <si>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</si>
  <si>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</si>
  <si>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</si>
  <si>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</si>
  <si>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</si>
  <si>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</si>
  <si>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</si>
  <si>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</si>
  <si>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</si>
  <si>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</si>
  <si>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</si>
  <si>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</si>
  <si>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</si>
  <si>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</si>
  <si>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</si>
  <si>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</si>
  <si>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</si>
  <si>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</si>
  <si>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</si>
  <si>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</si>
  <si>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</si>
  <si>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</si>
  <si>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</si>
  <si>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</si>
  <si>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</si>
  <si>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</si>
  <si>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</si>
  <si>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</si>
  <si>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</si>
  <si>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</si>
  <si>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</si>
  <si>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</si>
  <si>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</si>
  <si>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</si>
  <si>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</si>
  <si>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</si>
  <si>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</si>
  <si>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</si>
  <si>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</si>
  <si>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</si>
  <si>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</si>
  <si>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</si>
  <si>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</si>
  <si>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</si>
  <si>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</si>
  <si>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</si>
  <si>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</si>
  <si>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</si>
  <si>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</si>
  <si>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</si>
  <si>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</si>
  <si>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</si>
  <si>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</si>
  <si>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</si>
  <si>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</si>
  <si>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</si>
  <si>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</si>
  <si>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</si>
  <si>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</si>
  <si>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</si>
  <si>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</si>
  <si>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</si>
  <si>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</si>
  <si>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</si>
  <si>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</si>
  <si>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</si>
  <si>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</si>
  <si>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</si>
  <si>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</si>
  <si>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</si>
  <si>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</si>
  <si>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</si>
  <si>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</si>
  <si>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</si>
  <si>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</si>
  <si>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</si>
  <si>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</si>
  <si>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</si>
  <si>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</si>
  <si>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</si>
  <si>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</si>
  <si>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</si>
  <si>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</si>
  <si>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</si>
  <si>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</si>
  <si>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</si>
  <si>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</si>
  <si>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</si>
  <si>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</si>
  <si>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</si>
  <si>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</si>
  <si>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</si>
  <si>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</si>
  <si>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</si>
  <si>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</si>
  <si>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</si>
  <si>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</si>
  <si>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</si>
  <si>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</si>
  <si>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</si>
  <si>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</si>
  <si>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</si>
  <si>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</si>
  <si>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</si>
  <si>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</si>
  <si>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</si>
  <si>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</si>
  <si>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</si>
  <si>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</si>
  <si>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</si>
  <si>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</si>
  <si>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</si>
  <si>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</si>
  <si>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</si>
  <si>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</si>
  <si>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</si>
  <si>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</si>
  <si>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</si>
  <si>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</si>
  <si>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</si>
  <si>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</si>
  <si>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</si>
  <si>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</si>
  <si>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</si>
  <si>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</si>
  <si>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</si>
  <si>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</si>
  <si>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</si>
  <si>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</si>
  <si>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</si>
  <si>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</si>
  <si>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</si>
  <si>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</si>
  <si>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</si>
  <si>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</si>
  <si>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</si>
  <si>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</si>
  <si>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</si>
  <si>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</si>
  <si>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</si>
  <si>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</si>
  <si>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</si>
  <si>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</si>
  <si>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</si>
  <si>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</si>
  <si>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</si>
  <si>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</si>
  <si>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</si>
  <si>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</si>
  <si>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</si>
  <si>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</si>
  <si>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</si>
  <si>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</si>
  <si>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</si>
  <si>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</si>
  <si>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</si>
  <si>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</si>
  <si>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</si>
  <si>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</si>
  <si>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</si>
  <si>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</si>
  <si>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</si>
  <si>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</si>
  <si>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</si>
  <si>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</si>
  <si>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</si>
  <si>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</si>
  <si>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</si>
  <si>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</si>
  <si>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</si>
  <si>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</si>
  <si>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</si>
  <si>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</si>
  <si>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</si>
  <si>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</si>
  <si>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</si>
  <si>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</si>
  <si>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</si>
  <si>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</si>
  <si>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</si>
  <si>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</si>
  <si>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</si>
  <si>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</si>
  <si>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</si>
  <si>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</si>
  <si>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</si>
  <si>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</si>
  <si>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</si>
  <si>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</si>
  <si>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</si>
  <si>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</si>
  <si>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</si>
  <si>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</si>
  <si>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</si>
  <si>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</si>
  <si>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</si>
  <si>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</si>
  <si>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</si>
  <si>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</si>
  <si>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</si>
  <si>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</si>
  <si>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</si>
  <si>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</si>
  <si>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</si>
  <si>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</si>
  <si>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</si>
  <si>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</si>
  <si>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</si>
  <si>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</si>
  <si>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</si>
  <si>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</si>
  <si>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</si>
  <si>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</si>
  <si>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</si>
  <si>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</si>
  <si>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</si>
  <si>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</si>
  <si>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</si>
  <si>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</si>
  <si>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</si>
  <si>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</si>
  <si>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</si>
  <si>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</si>
  <si>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</si>
  <si>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</si>
  <si>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</si>
  <si>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</si>
  <si>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</si>
  <si>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</si>
  <si>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</si>
  <si>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</si>
  <si>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</si>
  <si>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</si>
  <si>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</si>
  <si>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</si>
  <si>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</si>
  <si>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</si>
  <si>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</si>
  <si>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</si>
  <si>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</si>
  <si>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</si>
  <si>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</si>
  <si>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</si>
  <si>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</si>
  <si>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</si>
  <si>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</si>
  <si>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</si>
  <si>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</si>
  <si>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</si>
  <si>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</si>
  <si>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</si>
  <si>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</si>
  <si>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</si>
  <si>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</si>
  <si>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</si>
  <si>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</si>
  <si>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</si>
  <si>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</si>
  <si>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</si>
  <si>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</si>
  <si>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</si>
  <si>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</si>
  <si>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</si>
  <si>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</si>
  <si>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</si>
  <si>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</si>
  <si>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</si>
  <si>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</si>
  <si>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</si>
  <si>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</si>
  <si>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</si>
  <si>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</si>
  <si>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</si>
  <si>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</si>
  <si>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</si>
  <si>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</si>
  <si>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</si>
  <si>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</si>
  <si>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</si>
  <si>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</si>
  <si>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</si>
  <si>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</si>
  <si>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</si>
  <si>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</si>
  <si>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</si>
  <si>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</si>
  <si>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</si>
  <si>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</si>
  <si>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</si>
  <si>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</si>
  <si>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</si>
  <si>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</si>
  <si>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</si>
  <si>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</si>
  <si>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</si>
  <si>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</si>
  <si>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</si>
  <si>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</si>
  <si>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</si>
  <si>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</si>
  <si>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</si>
  <si>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</si>
  <si>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</si>
  <si>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</si>
  <si>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</si>
  <si>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</si>
  <si>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</si>
  <si>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</si>
  <si>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</si>
  <si>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</si>
  <si>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</si>
  <si>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</si>
  <si>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</si>
  <si>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</si>
  <si>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</si>
  <si>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</si>
  <si>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</si>
  <si>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</si>
  <si>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</si>
  <si>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</si>
  <si>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</si>
  <si>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</si>
  <si>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</si>
  <si>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</si>
  <si>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</si>
  <si>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</si>
  <si>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</si>
  <si>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</si>
  <si>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</si>
  <si>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</si>
  <si>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</si>
  <si>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</si>
  <si>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</si>
  <si>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</si>
  <si>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</si>
  <si>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</si>
  <si>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</si>
  <si>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</si>
  <si>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</si>
  <si>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</si>
  <si>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</si>
  <si>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</si>
  <si>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</si>
  <si>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</si>
  <si>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</si>
  <si>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</si>
  <si>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</si>
  <si>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</si>
  <si>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</si>
  <si>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</si>
  <si>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</si>
  <si>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</si>
  <si>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</si>
  <si>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</si>
  <si>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</si>
  <si>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</si>
  <si>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</si>
  <si>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</si>
  <si>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</si>
  <si>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</si>
  <si>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COLDVSNA</t>
  </si>
  <si>
    <t>34</t>
  </si>
  <si>
    <t xml:space="preserve">  Доход от взимания платы за негативное воздействие на работу централизованной системы водоотведения</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</si>
  <si>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</si>
  <si>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</si>
  <si>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</si>
  <si>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</si>
  <si>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</si>
  <si>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</si>
  <si>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</si>
  <si>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</si>
  <si>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</si>
  <si>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</si>
  <si>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</si>
  <si>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</si>
  <si>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</si>
  <si>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</si>
  <si>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</si>
  <si>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</si>
  <si>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</si>
  <si>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</si>
  <si>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</si>
  <si>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</si>
  <si>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</si>
  <si>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</si>
  <si>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</si>
  <si>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</si>
  <si>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</si>
  <si>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</si>
  <si>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</si>
  <si>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</si>
  <si>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</si>
  <si>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</si>
  <si>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</si>
  <si>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</si>
  <si>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</si>
  <si>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</si>
  <si>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</si>
  <si>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</si>
  <si>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</si>
  <si>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</si>
  <si>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</si>
  <si>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</si>
  <si>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</si>
  <si>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</si>
  <si>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</si>
  <si>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</si>
  <si>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</si>
  <si>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</si>
  <si>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</si>
  <si>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</si>
  <si>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</si>
  <si>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</si>
  <si>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</si>
  <si>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</si>
  <si>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</si>
  <si>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</si>
  <si>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</si>
  <si>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</si>
  <si>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</si>
  <si>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</si>
  <si>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</si>
  <si>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</si>
  <si>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</si>
  <si>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</si>
  <si>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</si>
  <si>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</si>
  <si>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</si>
  <si>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</si>
  <si>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</si>
  <si>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</si>
  <si>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</si>
  <si>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</si>
  <si>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</si>
  <si>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</si>
  <si>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</si>
  <si>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</si>
  <si>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</si>
  <si>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</si>
  <si>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</si>
  <si>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</si>
  <si>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</si>
  <si>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</si>
  <si>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</si>
  <si>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</si>
  <si>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</si>
  <si>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</si>
  <si>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</si>
  <si>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</si>
  <si>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</si>
  <si>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</si>
  <si>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</si>
  <si>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</si>
  <si>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</si>
  <si>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</si>
  <si>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</si>
  <si>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</si>
  <si>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</si>
  <si>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</si>
  <si>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</si>
  <si>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</si>
  <si>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</si>
  <si>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</si>
  <si>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</si>
  <si>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</si>
  <si>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</si>
  <si>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</si>
  <si>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</si>
  <si>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</si>
  <si>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</si>
  <si>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</si>
  <si>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</si>
  <si>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</si>
  <si>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</si>
  <si>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</si>
  <si>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</si>
  <si>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</si>
  <si>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</si>
  <si>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</si>
  <si>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</si>
  <si>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</si>
  <si>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</si>
  <si>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</si>
  <si>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</si>
  <si>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</si>
  <si>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</si>
  <si>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</si>
  <si>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</si>
  <si>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</si>
  <si>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</si>
  <si>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</si>
  <si>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</si>
  <si>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</si>
  <si>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</si>
  <si>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</si>
  <si>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</si>
  <si>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</si>
  <si>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</si>
  <si>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</si>
  <si>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</si>
  <si>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</si>
  <si>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</si>
  <si>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</si>
  <si>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</si>
  <si>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</si>
  <si>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</si>
  <si>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</si>
  <si>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</si>
  <si>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</si>
  <si>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</si>
  <si>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</si>
  <si>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</si>
  <si>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</si>
  <si>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</si>
  <si>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</si>
  <si>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</si>
  <si>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</si>
  <si>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</si>
  <si>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</si>
  <si>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</si>
  <si>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</si>
  <si>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</si>
  <si>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</si>
  <si>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</si>
  <si>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</si>
  <si>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</si>
  <si>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</si>
  <si>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</si>
  <si>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</si>
  <si>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</si>
  <si>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</si>
  <si>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</si>
  <si>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</si>
  <si>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</si>
  <si>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</si>
  <si>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</si>
  <si>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</si>
  <si>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</si>
  <si>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</si>
  <si>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</si>
  <si>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</si>
  <si>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</si>
  <si>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</si>
  <si>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</si>
  <si>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</si>
  <si>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</si>
  <si>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</si>
  <si>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</si>
  <si>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</si>
  <si>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</si>
  <si>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</si>
  <si>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</si>
  <si>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</si>
  <si>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</si>
  <si>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</si>
  <si>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</si>
  <si>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</si>
  <si>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</si>
  <si>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</si>
  <si>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</si>
  <si>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</si>
  <si>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</si>
  <si>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</si>
  <si>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</si>
  <si>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</si>
  <si>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</si>
  <si>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</si>
  <si>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</si>
  <si>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</si>
  <si>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</si>
  <si>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</si>
  <si>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</si>
  <si>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</si>
  <si>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</si>
  <si>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</si>
  <si>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</si>
  <si>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</si>
  <si>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</si>
  <si>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</si>
  <si>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</si>
  <si>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</si>
  <si>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</si>
  <si>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</si>
  <si>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</si>
  <si>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</si>
  <si>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</si>
  <si>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</si>
  <si>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</si>
  <si>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</si>
  <si>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</si>
  <si>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</si>
  <si>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</si>
  <si>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</si>
  <si>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</si>
  <si>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</si>
  <si>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</si>
  <si>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</si>
  <si>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</si>
  <si>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</si>
  <si>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</si>
  <si>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</si>
  <si>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</si>
  <si>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</si>
  <si>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</si>
  <si>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</si>
  <si>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</si>
  <si>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</si>
  <si>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</si>
  <si>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</si>
  <si>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</si>
  <si>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</si>
  <si>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</si>
  <si>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</si>
  <si>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</si>
  <si>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</si>
  <si>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</si>
  <si>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</si>
  <si>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</si>
  <si>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</si>
  <si>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</si>
  <si>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</si>
  <si>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</si>
  <si>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</si>
  <si>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</si>
  <si>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</si>
  <si>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</si>
  <si>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</si>
  <si>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</si>
  <si>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</si>
  <si>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</si>
  <si>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</si>
  <si>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</si>
  <si>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</si>
  <si>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</si>
  <si>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</si>
  <si>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</si>
  <si>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</si>
  <si>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</si>
  <si>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</si>
  <si>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</si>
  <si>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</si>
  <si>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</si>
  <si>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</si>
  <si>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</si>
  <si>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</si>
  <si>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</si>
  <si>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</si>
  <si>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</si>
  <si>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</si>
  <si>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</si>
  <si>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</si>
  <si>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</si>
  <si>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</si>
  <si>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</si>
  <si>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</si>
  <si>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</si>
  <si>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</si>
  <si>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</si>
  <si>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</si>
  <si>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</si>
  <si>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</si>
  <si>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</si>
  <si>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</si>
  <si>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</si>
  <si>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</si>
  <si>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</si>
  <si>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</si>
  <si>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</si>
  <si>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</si>
  <si>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</si>
  <si>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</si>
  <si>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</si>
  <si>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</si>
  <si>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</si>
  <si>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</si>
  <si>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</si>
  <si>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</si>
  <si>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</si>
  <si>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</si>
  <si>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</si>
  <si>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</si>
  <si>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</si>
  <si>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</si>
  <si>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</si>
  <si>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</si>
  <si>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</si>
  <si>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</si>
  <si>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</si>
  <si>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</si>
  <si>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</si>
  <si>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</si>
  <si>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</si>
  <si>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</si>
  <si>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</si>
  <si>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</si>
  <si>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</si>
  <si>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</si>
  <si>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</si>
  <si>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</si>
  <si>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</si>
  <si>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</si>
  <si>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</si>
  <si>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</si>
  <si>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</si>
  <si>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</si>
  <si>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</si>
  <si>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</si>
  <si>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</si>
  <si>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</si>
  <si>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</si>
  <si>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</si>
  <si>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</si>
  <si>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</si>
  <si>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</si>
  <si>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</si>
  <si>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</si>
  <si>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</si>
  <si>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</si>
  <si>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</si>
  <si>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</si>
  <si>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</si>
  <si>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</si>
  <si>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</si>
  <si>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</si>
  <si>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</si>
  <si>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</si>
  <si>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</si>
  <si>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</si>
  <si>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</si>
  <si>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</si>
  <si>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</si>
  <si>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</si>
  <si>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</si>
  <si>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</si>
  <si>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</si>
  <si>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</si>
  <si>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</si>
  <si>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</si>
  <si>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</si>
  <si>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</si>
  <si>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</si>
  <si>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</si>
  <si>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</si>
  <si>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</si>
  <si>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</si>
  <si>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</si>
  <si>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</si>
  <si>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</si>
  <si>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</si>
  <si>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</si>
  <si>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</si>
  <si>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</si>
  <si>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</si>
  <si>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</si>
  <si>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</si>
  <si>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</si>
  <si>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</si>
  <si>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</si>
  <si>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</si>
  <si>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</si>
  <si>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</si>
  <si>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</si>
  <si>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</si>
  <si>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</si>
  <si>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</si>
  <si>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</si>
  <si>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</si>
  <si>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</si>
  <si>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</si>
  <si>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</si>
  <si>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</si>
  <si>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</si>
  <si>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</si>
  <si>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</si>
  <si>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</si>
  <si>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</si>
  <si>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</si>
  <si>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</si>
  <si>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</si>
  <si>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</si>
  <si>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</si>
  <si>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</si>
  <si>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</si>
  <si>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</si>
  <si>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</si>
  <si>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</si>
  <si>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</si>
  <si>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</si>
  <si>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</si>
  <si>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</si>
  <si>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</si>
  <si>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</si>
  <si>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</si>
  <si>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</si>
  <si>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</si>
  <si>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</si>
  <si>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</si>
  <si>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</si>
  <si>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</si>
  <si>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</si>
  <si>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</si>
  <si>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</si>
  <si>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</si>
  <si>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</si>
  <si>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</si>
  <si>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</si>
  <si>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</si>
  <si>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</si>
  <si>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</si>
  <si>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</si>
  <si>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</si>
  <si>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</si>
  <si>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</si>
  <si>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</si>
  <si>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</si>
  <si>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</si>
  <si>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</si>
  <si>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</si>
  <si>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</si>
  <si>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</si>
  <si>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</si>
  <si>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</si>
  <si>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</si>
  <si>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</si>
  <si>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</si>
  <si>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</si>
  <si>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</si>
  <si>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</si>
  <si>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</si>
  <si>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</si>
  <si>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</si>
  <si>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</si>
  <si>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</si>
  <si>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</si>
  <si>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</si>
  <si>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</si>
  <si>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</si>
  <si>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</si>
  <si>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</si>
  <si>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</si>
  <si>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</si>
  <si>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</si>
  <si>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</si>
  <si>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</si>
  <si>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</si>
  <si>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</si>
  <si>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</si>
  <si>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</si>
  <si>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</si>
  <si>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</si>
  <si>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</si>
  <si>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</si>
  <si>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</si>
  <si>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</si>
  <si>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</si>
  <si>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</si>
  <si>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</si>
  <si>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</si>
  <si>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</si>
  <si>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</si>
  <si>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</si>
  <si>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</si>
  <si>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</si>
  <si>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</si>
  <si>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</si>
  <si>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</si>
  <si>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</si>
  <si>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</si>
  <si>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</si>
  <si>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</si>
  <si>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</si>
  <si>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</si>
  <si>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</si>
  <si>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</si>
  <si>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</si>
  <si>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</si>
  <si>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</si>
  <si>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</si>
  <si>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</si>
  <si>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</si>
  <si>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</si>
  <si>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</si>
  <si>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</si>
  <si>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</si>
  <si>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</si>
  <si>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</si>
  <si>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</si>
  <si>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</si>
  <si>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</si>
  <si>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</si>
  <si>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</si>
  <si>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</si>
  <si>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</si>
  <si>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</si>
  <si>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</si>
  <si>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</si>
  <si>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</si>
  <si>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</si>
  <si>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</si>
  <si>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</si>
  <si>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</si>
  <si>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</si>
  <si>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</si>
  <si>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</si>
  <si>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</si>
  <si>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</si>
  <si>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</si>
  <si>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</si>
  <si>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</si>
  <si>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</si>
  <si>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</si>
  <si>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</si>
  <si>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</si>
  <si>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</si>
  <si>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</si>
  <si>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</si>
  <si>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</si>
  <si>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</si>
  <si>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</si>
  <si>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</si>
  <si>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</si>
  <si>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</si>
  <si>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</si>
  <si>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</si>
  <si>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</si>
  <si>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</si>
  <si>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</si>
  <si>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</si>
  <si>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</si>
  <si>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</si>
  <si>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</si>
  <si>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</si>
  <si>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</si>
  <si>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</si>
  <si>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</si>
  <si>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</si>
  <si>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</si>
  <si>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</si>
  <si>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</si>
  <si>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</si>
  <si>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</si>
  <si>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</si>
  <si>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</si>
  <si>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</si>
  <si>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</si>
  <si>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</si>
  <si>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</si>
  <si>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</si>
  <si>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</si>
  <si>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</si>
  <si>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</si>
  <si>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</si>
  <si>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</si>
  <si>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</si>
  <si>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</si>
  <si>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</si>
  <si>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</si>
  <si>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</si>
  <si>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</si>
  <si>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vertAlign val="superscript"/>
        <sz val="10"/>
        <rFont val="Tahoma"/>
        <family val="2"/>
        <charset val="204"/>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</si>
  <si>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</si>
  <si>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</si>
  <si>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</si>
  <si>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</si>
  <si>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</si>
  <si>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</si>
  <si>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</si>
  <si>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</si>
  <si>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</si>
  <si>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</si>
  <si>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</si>
  <si>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</si>
  <si>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</si>
  <si>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</si>
  <si>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</si>
  <si>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</si>
  <si>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</si>
  <si>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</si>
  <si>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</si>
  <si>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</si>
  <si>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</si>
  <si>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</si>
  <si>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</si>
  <si>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</si>
  <si>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</si>
  <si>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</si>
  <si>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</si>
  <si>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</si>
  <si>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</si>
  <si>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</si>
  <si>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</si>
  <si>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</si>
  <si>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</si>
  <si>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</si>
  <si>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</si>
  <si>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</si>
  <si>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</si>
  <si>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</si>
  <si>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</si>
  <si>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</si>
  <si>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</si>
  <si>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</si>
  <si>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</si>
  <si>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</si>
  <si>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</si>
  <si>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</si>
  <si>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</si>
  <si>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</si>
  <si>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</si>
  <si>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</si>
  <si>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</si>
  <si>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</si>
  <si>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</si>
  <si>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</si>
  <si>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Наличие свободной мощности ЦСХВС</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</si>
  <si>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</si>
  <si>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</si>
  <si>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</si>
  <si>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</si>
  <si>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</si>
  <si>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</si>
  <si>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</si>
  <si>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</si>
  <si>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</si>
  <si>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</si>
  <si>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</si>
  <si>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</si>
  <si>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</si>
  <si>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</si>
  <si>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</si>
  <si>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</si>
  <si>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</si>
  <si>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</si>
  <si>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</si>
  <si>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</si>
  <si>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</si>
  <si>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</si>
  <si>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</si>
  <si>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</si>
  <si>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</si>
  <si>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</si>
  <si>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</si>
  <si>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</si>
  <si>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</si>
  <si>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</si>
  <si>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</si>
  <si>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</si>
  <si>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</si>
  <si>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</si>
  <si>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</si>
  <si>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</si>
  <si>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</si>
  <si>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</si>
  <si>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</si>
  <si>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</si>
  <si>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</si>
  <si>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</si>
  <si>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</si>
  <si>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</si>
  <si>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</si>
  <si>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</si>
  <si>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</si>
  <si>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</si>
  <si>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</si>
  <si>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</si>
  <si>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</si>
  <si>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</si>
  <si>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</si>
  <si>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</si>
  <si>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</si>
  <si>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</si>
  <si>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</si>
  <si>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</si>
  <si>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</si>
  <si>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</si>
  <si>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</si>
  <si>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</si>
  <si>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</si>
  <si>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</si>
  <si>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</si>
  <si>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</si>
  <si>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</si>
  <si>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</si>
  <si>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</si>
  <si>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</si>
  <si>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</si>
  <si>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</si>
  <si>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</si>
  <si>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</si>
  <si>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</si>
  <si>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</si>
  <si>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</si>
  <si>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</si>
  <si>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</si>
  <si>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</si>
  <si>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</si>
  <si>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</si>
  <si>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</si>
  <si>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</si>
  <si>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</si>
  <si>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</si>
  <si>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</si>
  <si>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</si>
  <si>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</si>
  <si>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</si>
  <si>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</si>
  <si>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</si>
  <si>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</si>
  <si>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</si>
  <si>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</si>
  <si>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</si>
  <si>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</si>
  <si>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</si>
  <si>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</si>
  <si>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</si>
  <si>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</si>
  <si>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</si>
  <si>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</si>
  <si>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</si>
  <si>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</si>
  <si>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</si>
  <si>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</si>
  <si>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</si>
  <si>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</si>
  <si>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</si>
  <si>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</si>
  <si>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</si>
  <si>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</si>
  <si>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</si>
  <si>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</si>
  <si>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</si>
  <si>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</si>
  <si>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</si>
  <si>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</si>
  <si>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</si>
  <si>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</si>
  <si>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</si>
  <si>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</si>
  <si>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</si>
  <si>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</si>
  <si>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</si>
  <si>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</si>
  <si>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</si>
  <si>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</si>
  <si>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</si>
  <si>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</si>
  <si>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</si>
  <si>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</si>
  <si>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</si>
  <si>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</si>
  <si>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</si>
  <si>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</si>
  <si>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</si>
  <si>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</si>
  <si>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</si>
  <si>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</si>
  <si>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</si>
  <si>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</si>
  <si>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</si>
  <si>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</si>
  <si>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</si>
  <si>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</si>
  <si>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</si>
  <si>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</si>
  <si>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</si>
  <si>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</si>
  <si>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</si>
  <si>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</si>
  <si>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</si>
  <si>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</si>
  <si>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</si>
  <si>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</si>
  <si>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</si>
  <si>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</si>
  <si>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</si>
  <si>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</si>
  <si>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</si>
  <si>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</si>
  <si>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</si>
  <si>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</si>
  <si>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</si>
  <si>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</si>
  <si>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</si>
  <si>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</si>
  <si>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</si>
  <si>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</si>
  <si>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</si>
  <si>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</si>
  <si>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</si>
  <si>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</si>
  <si>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</si>
  <si>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</si>
  <si>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</si>
  <si>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</si>
  <si>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</si>
  <si>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</si>
  <si>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</si>
  <si>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</si>
  <si>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</si>
  <si>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</si>
  <si>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</si>
  <si>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</si>
  <si>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</si>
  <si>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</si>
  <si>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</si>
  <si>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</si>
  <si>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</si>
  <si>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</si>
  <si>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</si>
  <si>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</si>
  <si>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</si>
  <si>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</si>
  <si>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</si>
  <si>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</si>
  <si>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</si>
  <si>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</si>
  <si>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</si>
  <si>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</si>
  <si>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</si>
  <si>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</si>
  <si>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</si>
  <si>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</si>
  <si>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</si>
  <si>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</si>
  <si>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</si>
  <si>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</si>
  <si>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</si>
  <si>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</si>
  <si>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</si>
  <si>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</si>
  <si>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</si>
  <si>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</si>
  <si>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</si>
  <si>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</si>
  <si>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</si>
  <si>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</si>
  <si>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</si>
  <si>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</si>
  <si>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</si>
  <si>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</si>
  <si>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</si>
  <si>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</si>
  <si>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</si>
  <si>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</si>
  <si>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</si>
  <si>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</si>
  <si>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</si>
  <si>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</si>
  <si>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</si>
  <si>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</si>
  <si>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</si>
  <si>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</si>
  <si>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</si>
  <si>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</si>
  <si>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</si>
  <si>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</si>
  <si>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</si>
  <si>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</si>
  <si>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</si>
  <si>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</si>
  <si>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</si>
  <si>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</si>
  <si>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</si>
  <si>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</si>
  <si>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</si>
  <si>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</si>
  <si>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</si>
  <si>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</si>
  <si>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</si>
  <si>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</si>
  <si>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</si>
  <si>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</si>
  <si>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</si>
  <si>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</si>
  <si>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</si>
  <si>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</si>
  <si>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</si>
  <si>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</si>
  <si>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</si>
  <si>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</si>
  <si>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</si>
  <si>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</si>
  <si>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</si>
  <si>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</si>
  <si>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</si>
  <si>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</si>
  <si>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</si>
  <si>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</si>
  <si>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</si>
  <si>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</si>
  <si>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</si>
  <si>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</si>
  <si>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</si>
  <si>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</si>
  <si>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</si>
  <si>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</si>
  <si>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</si>
  <si>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</si>
  <si>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</si>
  <si>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</si>
  <si>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</si>
  <si>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</si>
  <si>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</si>
  <si>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</si>
  <si>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</si>
  <si>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</si>
  <si>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</si>
  <si>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</si>
  <si>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</si>
  <si>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</si>
  <si>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</si>
  <si>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</si>
  <si>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</si>
  <si>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</si>
  <si>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</si>
  <si>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</si>
  <si>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</si>
  <si>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</si>
  <si>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</si>
  <si>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</si>
  <si>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</si>
  <si>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</si>
  <si>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</si>
  <si>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</si>
  <si>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</si>
  <si>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</si>
  <si>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</si>
  <si>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</si>
  <si>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</si>
  <si>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</si>
  <si>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</si>
  <si>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</si>
  <si>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</si>
  <si>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</si>
  <si>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</si>
  <si>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</si>
  <si>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</si>
  <si>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</si>
  <si>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</si>
  <si>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</si>
  <si>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</si>
  <si>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</si>
  <si>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</si>
  <si>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</si>
  <si>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</si>
  <si>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</si>
  <si>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</si>
  <si>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</si>
  <si>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</si>
  <si>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</si>
  <si>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</si>
  <si>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</si>
  <si>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</si>
  <si>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</si>
  <si>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</si>
  <si>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</si>
  <si>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</si>
  <si>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</si>
  <si>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</si>
  <si>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</si>
  <si>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</si>
  <si>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</si>
  <si>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</si>
  <si>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</si>
  <si>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</si>
  <si>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</si>
  <si>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</si>
  <si>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</si>
  <si>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</si>
  <si>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</si>
  <si>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</si>
  <si>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</si>
  <si>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</si>
  <si>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</si>
  <si>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</si>
  <si>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</si>
  <si>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</si>
  <si>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</si>
  <si>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</si>
  <si>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</si>
  <si>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</si>
  <si>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</si>
  <si>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</si>
  <si>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</si>
  <si>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</si>
  <si>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</si>
  <si>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</si>
  <si>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</si>
  <si>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</si>
  <si>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</si>
  <si>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</si>
  <si>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</si>
  <si>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</si>
  <si>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</si>
  <si>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</si>
  <si>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</si>
  <si>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</si>
  <si>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</si>
  <si>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</si>
  <si>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</si>
  <si>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</si>
  <si>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</si>
  <si>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</si>
  <si>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</si>
  <si>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</si>
  <si>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</si>
  <si>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</si>
  <si>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</si>
  <si>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</si>
  <si>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</si>
  <si>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</si>
  <si>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</si>
  <si>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</si>
  <si>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</si>
  <si>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</si>
  <si>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</si>
  <si>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</si>
  <si>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</si>
  <si>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</si>
  <si>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</si>
  <si>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</si>
  <si>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</si>
  <si>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</si>
  <si>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</si>
  <si>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</si>
  <si>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</si>
  <si>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</si>
  <si>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</si>
  <si>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</si>
  <si>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</si>
  <si>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</si>
  <si>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</si>
  <si>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</si>
  <si>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</si>
  <si>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</si>
  <si>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</si>
  <si>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</si>
  <si>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</si>
  <si>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</si>
  <si>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</si>
  <si>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</si>
  <si>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</si>
  <si>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</si>
  <si>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</si>
  <si>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</si>
  <si>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</si>
  <si>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</si>
  <si>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</si>
  <si>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</si>
  <si>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</si>
  <si>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</si>
  <si>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</si>
  <si>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</si>
  <si>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</si>
  <si>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</si>
  <si>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</si>
  <si>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</si>
  <si>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</si>
  <si>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</si>
  <si>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</si>
  <si>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</si>
  <si>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</si>
  <si>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</si>
  <si>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</si>
  <si>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</si>
  <si>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</si>
  <si>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</si>
  <si>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</si>
  <si>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</si>
  <si>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</si>
  <si>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</si>
  <si>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</si>
  <si>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</si>
  <si>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</si>
  <si>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</si>
  <si>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</si>
  <si>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</si>
  <si>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</si>
  <si>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</si>
  <si>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</si>
  <si>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</si>
  <si>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</si>
  <si>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</si>
  <si>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</si>
  <si>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</si>
  <si>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</si>
  <si>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</si>
  <si>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</si>
  <si>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</si>
  <si>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</si>
  <si>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</si>
  <si>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</si>
  <si>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</si>
  <si>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</si>
  <si>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</si>
  <si>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</si>
  <si>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</si>
  <si>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</si>
  <si>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</si>
  <si>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</si>
  <si>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</si>
  <si>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</si>
  <si>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</si>
  <si>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</si>
  <si>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</si>
  <si>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</si>
  <si>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</si>
  <si>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</si>
  <si>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</si>
  <si>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</si>
  <si>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</si>
  <si>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</si>
  <si>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</si>
  <si>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</si>
  <si>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</si>
  <si>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</si>
  <si>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</si>
  <si>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</si>
  <si>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</si>
  <si>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</si>
  <si>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</si>
  <si>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</si>
  <si>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</si>
  <si>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</si>
  <si>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</si>
  <si>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</si>
  <si>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</si>
  <si>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</si>
  <si>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</si>
  <si>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</si>
  <si>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</si>
  <si>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</si>
  <si>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</si>
  <si>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</si>
  <si>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</si>
  <si>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</si>
  <si>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</si>
  <si>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</si>
  <si>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</si>
  <si>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</si>
  <si>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</si>
  <si>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</si>
  <si>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</si>
  <si>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</si>
  <si>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</si>
  <si>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</si>
  <si>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</si>
  <si>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</si>
  <si>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</si>
  <si>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</si>
  <si>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</si>
  <si>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</si>
  <si>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</si>
  <si>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</si>
  <si>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</si>
  <si>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</si>
  <si>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</si>
  <si>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</si>
  <si>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</si>
  <si>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</si>
  <si>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</si>
  <si>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</si>
  <si>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</si>
  <si>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</si>
  <si>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</si>
  <si>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</si>
  <si>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</si>
  <si>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</si>
  <si>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31500726</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</si>
  <si>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</si>
  <si>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</si>
  <si>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</si>
  <si>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</si>
  <si>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</si>
  <si>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</si>
  <si>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</si>
  <si>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</si>
  <si>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</si>
  <si>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</si>
  <si>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</si>
  <si>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</si>
  <si>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</si>
  <si>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</si>
  <si>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</si>
  <si>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</si>
  <si>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</si>
  <si>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</si>
  <si>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</si>
  <si>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</si>
  <si>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</si>
  <si>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</si>
  <si>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</si>
  <si>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</si>
  <si>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</si>
  <si>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</si>
  <si>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</si>
  <si>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</si>
  <si>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</si>
  <si>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</si>
  <si>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</si>
  <si>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</si>
  <si>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</si>
  <si>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</si>
  <si>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</si>
  <si>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ОСК Северного флота)</t>
  </si>
  <si>
    <t>290245005</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</si>
  <si>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</si>
  <si>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</si>
  <si>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</si>
  <si>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</si>
  <si>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</si>
  <si>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</si>
  <si>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</si>
  <si>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</si>
  <si>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</si>
  <si>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</si>
  <si>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</si>
  <si>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</si>
  <si>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</si>
  <si>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</si>
  <si>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</si>
  <si>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</si>
  <si>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</si>
  <si>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</si>
  <si>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</si>
  <si>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</si>
  <si>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</si>
  <si>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</si>
  <si>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</si>
  <si>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</si>
  <si>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</si>
  <si>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</si>
  <si>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</si>
  <si>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</si>
  <si>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</si>
  <si>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</si>
  <si>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</si>
  <si>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</si>
  <si>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</si>
  <si>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</si>
  <si>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</si>
  <si>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</si>
  <si>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</si>
  <si>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</si>
  <si>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</si>
  <si>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</si>
  <si>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</si>
  <si>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</si>
  <si>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</si>
  <si>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</si>
  <si>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</si>
  <si>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</si>
  <si>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</si>
  <si>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</si>
  <si>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</si>
  <si>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</si>
  <si>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</si>
  <si>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</si>
  <si>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</si>
  <si>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</si>
  <si>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</si>
  <si>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</si>
  <si>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</si>
  <si>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</si>
  <si>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</si>
  <si>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</si>
  <si>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</si>
  <si>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</si>
  <si>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</si>
  <si>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</si>
  <si>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</si>
  <si>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</si>
  <si>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</si>
  <si>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</si>
  <si>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</si>
  <si>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</si>
  <si>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</si>
  <si>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</si>
  <si>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L_NAME</t>
  </si>
  <si>
    <t>L_START_DATE</t>
  </si>
  <si>
    <t>L_END_DATE</t>
  </si>
  <si>
    <t>TER_NAME</t>
  </si>
  <si>
    <t>Территория 1</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</si>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</sst>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8" formatCode="000000"/>
    <numFmt numFmtId="169" formatCode="#,##0.000"/>
    <numFmt numFmtId="170" formatCode="#,##0.0000"/>
    <numFmt numFmtId="171" formatCode="dd\.mm\.yyyy"/>
  </numFmts>
  <fonts count="105">
    <font>
      <sz val="9"/>
      <color rgb="FF000000"/>
      <name val="Tahoma"/>
    </font>
    <font>
      <sz val="11"/>
      <color theme="1"/>
      <name val="Calibri"/>
      <scheme val="minor"/>
    </font>
    <font>
      <sz val="9"/>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0"/>
      <name val="Arial Cyr"/>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name val="Tahoma"/>
    </font>
    <font>
      <sz val="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u/>
      <sz val="9"/>
      <color rgb="FF00008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
      <b/>
      <sz val="9"/>
      <name val="Tahoma"/>
      <family val="2"/>
      <charset val="204"/>
    </font>
    <font>
      <sz val="9"/>
      <name val="Tahoma"/>
      <family val="2"/>
      <charset val="204"/>
    </font>
    <font>
      <vertAlign val="superscript"/>
      <sz val="10"/>
      <name val="Tahoma"/>
      <family val="2"/>
      <charset val="204"/>
    </font>
    <font>
      <vertAlign val="superscript"/>
      <sz val="9"/>
      <name val="Tahoma"/>
      <family val="2"/>
      <charset val="204"/>
    </font>
    <font>
      <sz val="9"/>
      <color indexed="81"/>
      <name val="Tahoma"/>
      <family val="2"/>
    </font>
    <font>
      <sz val="9"/>
      <color indexed="81"/>
      <name val="Arial"/>
      <family val="2"/>
    </font>
  </fonts>
  <fills count="27">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6" tint="0.39997558519241921"/>
        <bgColor indexed="65"/>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68">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style="thin">
        <color rgb="FFC0C0C0"/>
      </left>
      <right/>
      <top/>
      <bottom style="thin">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style="thin">
        <color theme="0" tint="-0.249977111117893"/>
      </right>
      <top style="thin">
        <color rgb="FFC0C0C0"/>
      </top>
      <bottom style="medium">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rgb="FFC0C0C0"/>
      </left>
      <right style="thin">
        <color rgb="FFC0C0C0"/>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right style="thin">
        <color rgb="FFBCBCBC"/>
      </right>
      <top/>
      <bottom/>
      <diagonal/>
    </border>
    <border>
      <left/>
      <right style="thin">
        <color rgb="FFBCBCBC"/>
      </right>
      <top style="thin">
        <color rgb="FFBCBCBC"/>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right style="thin">
        <color rgb="FFC0C0C0"/>
      </right>
      <top style="thin">
        <color rgb="FFC0C0C0"/>
      </top>
      <bottom style="medium">
        <color rgb="FFC0C0C0"/>
      </bottom>
      <diagonal/>
    </border>
  </borders>
  <cellStyleXfs count="1">
    <xf numFmtId="49" fontId="0" fillId="0" borderId="0" applyFill="0" applyBorder="0">
      <alignment vertical="top"/>
    </xf>
  </cellStyleXfs>
  <cellXfs count="1476">
    <xf numFmtId="49" fontId="0" fillId="0" borderId="0" xfId="0">
      <alignment vertical="top"/>
    </xf>
    <xf numFmtId="0" fontId="2" fillId="0" borderId="0" xfId="0" applyNumberFormat="1" applyFont="1" applyAlignment="1">
      <alignment vertical="top" wrapText="1"/>
    </xf>
    <xf numFmtId="49" fontId="2" fillId="0" borderId="0" xfId="0" applyFont="1">
      <alignment vertical="top"/>
    </xf>
    <xf numFmtId="49" fontId="2" fillId="5" borderId="1" xfId="0" applyFont="1" applyFill="1" applyBorder="1" applyAlignment="1">
      <alignment horizontal="center" vertical="top"/>
    </xf>
    <xf numFmtId="0" fontId="2" fillId="0" borderId="0" xfId="0" applyNumberFormat="1" applyFont="1" applyAlignment="1"/>
    <xf numFmtId="0" fontId="2" fillId="6" borderId="0" xfId="0" applyNumberFormat="1" applyFont="1" applyFill="1" applyAlignment="1"/>
    <xf numFmtId="0" fontId="3" fillId="0" borderId="0" xfId="0" applyNumberFormat="1" applyFont="1" applyAlignment="1">
      <alignment vertical="center" wrapText="1"/>
    </xf>
    <xf numFmtId="0" fontId="4" fillId="0" borderId="0" xfId="0" applyNumberFormat="1" applyFont="1" applyAlignment="1">
      <alignment vertical="center" wrapText="1"/>
    </xf>
    <xf numFmtId="0" fontId="2" fillId="6" borderId="0" xfId="0" applyNumberFormat="1" applyFont="1" applyFill="1" applyAlignment="1">
      <alignment vertical="center" wrapText="1"/>
    </xf>
    <xf numFmtId="0" fontId="2" fillId="0" borderId="0" xfId="0" applyNumberFormat="1" applyFont="1" applyAlignment="1">
      <alignment vertical="center" wrapText="1"/>
    </xf>
    <xf numFmtId="0" fontId="5" fillId="6" borderId="0" xfId="0" applyNumberFormat="1" applyFont="1" applyFill="1" applyAlignment="1">
      <alignment vertical="center" wrapText="1"/>
    </xf>
    <xf numFmtId="0" fontId="2" fillId="6" borderId="0" xfId="0" applyNumberFormat="1" applyFont="1" applyFill="1" applyAlignment="1">
      <alignment horizontal="right" vertical="center" wrapText="1" indent="1"/>
    </xf>
    <xf numFmtId="0" fontId="2" fillId="6" borderId="0" xfId="0" applyNumberFormat="1" applyFont="1" applyFill="1" applyAlignment="1">
      <alignment horizontal="center" vertical="center" wrapText="1"/>
    </xf>
    <xf numFmtId="0" fontId="4" fillId="0" borderId="0" xfId="0" applyNumberFormat="1" applyFont="1" applyAlignment="1">
      <alignment horizontal="center" vertical="center" wrapText="1"/>
    </xf>
    <xf numFmtId="0" fontId="6" fillId="6" borderId="0" xfId="0" applyNumberFormat="1" applyFont="1" applyFill="1" applyAlignment="1">
      <alignment horizontal="center" vertical="center" wrapText="1"/>
    </xf>
    <xf numFmtId="0" fontId="2" fillId="0" borderId="0" xfId="0" applyNumberFormat="1" applyFont="1" applyAlignment="1">
      <alignment vertical="center"/>
    </xf>
    <xf numFmtId="49" fontId="2" fillId="6" borderId="0" xfId="0" applyFont="1" applyFill="1" applyAlignment="1">
      <alignment horizontal="right" vertical="center" wrapText="1" indent="1"/>
    </xf>
    <xf numFmtId="49" fontId="5" fillId="6" borderId="0" xfId="0" applyFont="1" applyFill="1" applyAlignment="1">
      <alignment horizontal="center" vertical="center" wrapText="1"/>
    </xf>
    <xf numFmtId="0" fontId="2" fillId="6" borderId="0" xfId="0" applyNumberFormat="1" applyFont="1" applyFill="1" applyAlignment="1">
      <alignment horizontal="right" vertical="center" wrapText="1"/>
    </xf>
    <xf numFmtId="49" fontId="0" fillId="6" borderId="0" xfId="0" applyFill="1" applyAlignment="1">
      <alignment horizontal="right" vertical="center" wrapText="1" indent="1"/>
    </xf>
    <xf numFmtId="49" fontId="7" fillId="6" borderId="0" xfId="0"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xf>
    <xf numFmtId="0" fontId="8" fillId="6" borderId="0" xfId="0" applyNumberFormat="1" applyFont="1" applyFill="1" applyAlignment="1">
      <alignment horizontal="center" vertical="center"/>
    </xf>
    <xf numFmtId="49" fontId="9" fillId="0" borderId="2" xfId="0" applyFont="1" applyBorder="1" applyAlignment="1">
      <alignment vertical="top" wrapText="1"/>
    </xf>
    <xf numFmtId="0" fontId="0" fillId="0" borderId="2" xfId="0" applyNumberFormat="1" applyBorder="1" applyAlignment="1">
      <alignment vertical="top" wrapText="1"/>
    </xf>
    <xf numFmtId="0" fontId="10" fillId="0" borderId="0" xfId="0" applyNumberFormat="1" applyFont="1" applyAlignment="1"/>
    <xf numFmtId="0" fontId="11" fillId="6" borderId="0" xfId="0" applyNumberFormat="1" applyFont="1" applyFill="1" applyAlignment="1">
      <alignment vertical="center" wrapText="1"/>
    </xf>
    <xf numFmtId="0" fontId="11" fillId="0" borderId="0" xfId="0" applyNumberFormat="1" applyFont="1" applyAlignment="1">
      <alignment vertical="center" wrapText="1"/>
    </xf>
    <xf numFmtId="0" fontId="3" fillId="0" borderId="0" xfId="0" applyNumberFormat="1" applyFont="1" applyAlignment="1">
      <alignment horizontal="left" vertical="center" wrapText="1"/>
    </xf>
    <xf numFmtId="49" fontId="3" fillId="0" borderId="0" xfId="0" applyFont="1" applyAlignment="1">
      <alignment horizontal="left" vertical="center" wrapText="1"/>
    </xf>
    <xf numFmtId="0" fontId="0" fillId="0" borderId="0" xfId="0" applyNumberFormat="1">
      <alignment vertical="top"/>
    </xf>
    <xf numFmtId="49" fontId="2" fillId="0" borderId="0" xfId="0" applyFont="1" applyAlignment="1">
      <alignment vertical="center" wrapText="1"/>
    </xf>
    <xf numFmtId="0" fontId="0" fillId="0" borderId="0" xfId="0" applyNumberFormat="1" applyAlignment="1">
      <alignment vertical="center"/>
    </xf>
    <xf numFmtId="0" fontId="2" fillId="6" borderId="3" xfId="0" applyNumberFormat="1" applyFont="1" applyFill="1" applyBorder="1" applyAlignment="1">
      <alignment horizontal="center" vertical="center" wrapText="1"/>
    </xf>
    <xf numFmtId="49" fontId="2" fillId="7" borderId="3" xfId="0" applyFont="1" applyFill="1" applyBorder="1" applyAlignment="1" applyProtection="1">
      <alignment horizontal="left" vertical="center" wrapText="1"/>
      <protection locked="0"/>
    </xf>
    <xf numFmtId="49" fontId="12" fillId="8" borderId="4" xfId="0" applyFont="1" applyFill="1" applyBorder="1" applyAlignment="1">
      <alignment horizontal="left" vertical="center"/>
    </xf>
    <xf numFmtId="0" fontId="0" fillId="0" borderId="3" xfId="0" applyNumberFormat="1" applyBorder="1" applyAlignment="1">
      <alignment horizontal="center" vertical="center" wrapText="1"/>
    </xf>
    <xf numFmtId="0" fontId="2" fillId="8" borderId="5" xfId="0" applyNumberFormat="1" applyFont="1" applyFill="1" applyBorder="1" applyAlignment="1">
      <alignment vertical="center" wrapText="1"/>
    </xf>
    <xf numFmtId="0" fontId="2" fillId="0" borderId="3" xfId="0" applyNumberFormat="1" applyFont="1" applyBorder="1" applyAlignment="1">
      <alignment horizontal="center" vertical="center" wrapText="1"/>
    </xf>
    <xf numFmtId="0" fontId="13" fillId="0" borderId="0" xfId="0" applyNumberFormat="1" applyFont="1" applyAlignment="1">
      <alignment vertical="center"/>
    </xf>
    <xf numFmtId="49" fontId="2" fillId="0" borderId="3" xfId="0" applyFont="1" applyBorder="1" applyAlignment="1">
      <alignment horizontal="center" vertical="center" wrapText="1"/>
    </xf>
    <xf numFmtId="0" fontId="2" fillId="6" borderId="3" xfId="0" applyNumberFormat="1" applyFont="1" applyFill="1" applyBorder="1" applyAlignment="1">
      <alignment horizontal="center" vertical="center"/>
    </xf>
    <xf numFmtId="0" fontId="14" fillId="0" borderId="0" xfId="0" applyNumberFormat="1" applyFont="1" applyAlignment="1">
      <alignment vertical="center" wrapText="1"/>
    </xf>
    <xf numFmtId="49" fontId="3" fillId="0" borderId="0" xfId="0" applyFont="1">
      <alignment vertical="top"/>
    </xf>
    <xf numFmtId="49" fontId="8" fillId="0" borderId="0" xfId="0" applyFont="1" applyAlignment="1">
      <alignment horizontal="center" vertical="center"/>
    </xf>
    <xf numFmtId="0" fontId="15" fillId="6" borderId="0" xfId="0" applyNumberFormat="1" applyFont="1" applyFill="1" applyAlignment="1">
      <alignment horizontal="center" vertical="center" wrapText="1"/>
    </xf>
    <xf numFmtId="0" fontId="3" fillId="6" borderId="0" xfId="0" applyNumberFormat="1" applyFont="1" applyFill="1" applyAlignment="1"/>
    <xf numFmtId="49" fontId="8" fillId="0" borderId="0" xfId="0" applyFont="1" applyAlignment="1">
      <alignment horizontal="center" vertical="center" wrapText="1"/>
    </xf>
    <xf numFmtId="49" fontId="16" fillId="8" borderId="6" xfId="0" applyFont="1" applyFill="1" applyBorder="1" applyAlignment="1">
      <alignment horizontal="center" vertical="top"/>
    </xf>
    <xf numFmtId="49" fontId="12" fillId="8" borderId="6" xfId="0" applyFont="1" applyFill="1" applyBorder="1" applyAlignment="1">
      <alignment horizontal="left" vertical="center"/>
    </xf>
    <xf numFmtId="49" fontId="2" fillId="0" borderId="0" xfId="0" applyFont="1" applyAlignment="1">
      <alignment horizontal="center" vertical="top"/>
    </xf>
    <xf numFmtId="0" fontId="0" fillId="0" borderId="0" xfId="0" applyNumberFormat="1" applyAlignment="1">
      <alignment horizontal="center" vertical="center" wrapText="1"/>
    </xf>
    <xf numFmtId="49" fontId="2" fillId="0" borderId="0" xfId="0" applyFont="1" applyAlignment="1">
      <alignment horizontal="center" vertical="center" wrapText="1"/>
    </xf>
    <xf numFmtId="49" fontId="17" fillId="0" borderId="0" xfId="0" applyFont="1" applyAlignment="1">
      <alignment horizontal="right" vertical="top"/>
    </xf>
    <xf numFmtId="49" fontId="17" fillId="0" borderId="0" xfId="0" applyFont="1">
      <alignment vertical="top"/>
    </xf>
    <xf numFmtId="0" fontId="2" fillId="0" borderId="0" xfId="0" applyNumberFormat="1" applyFont="1" applyAlignment="1">
      <alignment horizontal="center" vertical="center" wrapText="1"/>
    </xf>
    <xf numFmtId="0" fontId="18" fillId="0" borderId="0" xfId="0" applyNumberFormat="1" applyFont="1" applyAlignment="1">
      <alignment vertical="center" wrapText="1"/>
    </xf>
    <xf numFmtId="49" fontId="2" fillId="0" borderId="7" xfId="0" applyFont="1" applyBorder="1">
      <alignment vertical="top"/>
    </xf>
    <xf numFmtId="49" fontId="19" fillId="0" borderId="0" xfId="0" applyFont="1">
      <alignment vertical="top"/>
    </xf>
    <xf numFmtId="0" fontId="19" fillId="0" borderId="0" xfId="0" applyNumberFormat="1" applyFont="1" applyAlignment="1">
      <alignment vertical="center" wrapText="1"/>
    </xf>
    <xf numFmtId="49" fontId="0" fillId="6" borderId="3" xfId="0" applyFill="1" applyBorder="1" applyAlignment="1">
      <alignment horizontal="center" vertical="center" wrapText="1"/>
    </xf>
    <xf numFmtId="49" fontId="2" fillId="0" borderId="3" xfId="0" applyFont="1" applyBorder="1" applyAlignment="1">
      <alignment horizontal="left" vertical="center" wrapText="1"/>
    </xf>
    <xf numFmtId="0" fontId="2" fillId="6" borderId="8" xfId="0" applyNumberFormat="1" applyFont="1" applyFill="1" applyBorder="1" applyAlignment="1">
      <alignment horizontal="center" vertical="center"/>
    </xf>
    <xf numFmtId="0" fontId="2" fillId="0" borderId="3" xfId="0" applyNumberFormat="1" applyFont="1" applyBorder="1" applyAlignment="1">
      <alignment vertical="center" wrapText="1"/>
    </xf>
    <xf numFmtId="0" fontId="20" fillId="0" borderId="0" xfId="0" applyNumberFormat="1" applyFont="1" applyAlignment="1">
      <alignment vertical="center" wrapText="1"/>
    </xf>
    <xf numFmtId="0" fontId="20" fillId="0" borderId="0" xfId="0" applyNumberFormat="1" applyFont="1" applyAlignment="1">
      <alignment vertical="center"/>
    </xf>
    <xf numFmtId="0" fontId="21" fillId="0" borderId="0" xfId="0" applyNumberFormat="1" applyFont="1" applyAlignment="1">
      <alignment vertical="center"/>
    </xf>
    <xf numFmtId="0" fontId="0" fillId="0" borderId="0" xfId="0" applyNumberFormat="1" applyAlignment="1">
      <alignment vertical="top" wrapText="1"/>
    </xf>
    <xf numFmtId="0" fontId="18" fillId="0" borderId="9" xfId="0" applyNumberFormat="1" applyFont="1" applyBorder="1" applyAlignment="1">
      <alignment vertical="top" wrapText="1"/>
    </xf>
    <xf numFmtId="49" fontId="0" fillId="0" borderId="3" xfId="0" applyBorder="1" applyAlignment="1">
      <alignment vertical="top" wrapText="1"/>
    </xf>
    <xf numFmtId="0" fontId="0" fillId="0" borderId="3" xfId="0" applyNumberFormat="1" applyBorder="1" applyAlignment="1">
      <alignment vertical="top" wrapText="1"/>
    </xf>
    <xf numFmtId="0" fontId="1" fillId="0" borderId="0" xfId="0" applyNumberFormat="1" applyFont="1" applyAlignment="1"/>
    <xf numFmtId="0" fontId="0" fillId="0" borderId="0" xfId="0" applyNumberFormat="1" applyAlignment="1"/>
    <xf numFmtId="0" fontId="8"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4" fontId="2" fillId="0" borderId="0" xfId="0" applyNumberFormat="1" applyFont="1" applyAlignment="1">
      <alignment horizontal="right" vertical="center" wrapText="1"/>
    </xf>
    <xf numFmtId="0" fontId="2" fillId="0" borderId="0" xfId="0" applyNumberFormat="1" applyFont="1" applyAlignment="1">
      <alignment horizontal="left" vertical="center" wrapText="1" indent="1"/>
    </xf>
    <xf numFmtId="4" fontId="2" fillId="0" borderId="0" xfId="0" applyNumberFormat="1" applyFont="1" applyAlignment="1">
      <alignment horizontal="center" vertical="center" wrapText="1"/>
    </xf>
    <xf numFmtId="0" fontId="19" fillId="0" borderId="0" xfId="0" applyNumberFormat="1" applyFont="1" applyAlignment="1">
      <alignment vertical="center"/>
    </xf>
    <xf numFmtId="168" fontId="2" fillId="0" borderId="3" xfId="0" applyNumberFormat="1" applyFont="1" applyBorder="1" applyAlignment="1">
      <alignment horizontal="center" vertical="center" wrapText="1"/>
    </xf>
    <xf numFmtId="49" fontId="19" fillId="8" borderId="10" xfId="0" applyFont="1" applyFill="1" applyBorder="1" applyAlignment="1">
      <alignment horizontal="left" vertical="center" wrapText="1"/>
    </xf>
    <xf numFmtId="49" fontId="0" fillId="8" borderId="6" xfId="0" applyFill="1" applyBorder="1" applyAlignment="1">
      <alignment horizontal="left" vertical="center"/>
    </xf>
    <xf numFmtId="49" fontId="19" fillId="8" borderId="11" xfId="0" applyFont="1" applyFill="1" applyBorder="1" applyAlignment="1">
      <alignment horizontal="left" vertical="center" wrapText="1"/>
    </xf>
    <xf numFmtId="0" fontId="7" fillId="0" borderId="0" xfId="0" applyNumberFormat="1" applyFont="1" applyAlignment="1">
      <alignment horizontal="center" vertical="center" wrapText="1"/>
    </xf>
    <xf numFmtId="49" fontId="22" fillId="8" borderId="6" xfId="0" applyFont="1" applyFill="1" applyBorder="1" applyAlignment="1">
      <alignment horizontal="right" vertical="center" wrapText="1"/>
    </xf>
    <xf numFmtId="49" fontId="2" fillId="8" borderId="6" xfId="0" applyFont="1" applyFill="1" applyBorder="1" applyAlignment="1">
      <alignment horizontal="right" vertical="center" wrapText="1"/>
    </xf>
    <xf numFmtId="49" fontId="2" fillId="8" borderId="4" xfId="0" applyFont="1" applyFill="1" applyBorder="1" applyAlignment="1">
      <alignment horizontal="right" vertical="center" wrapText="1"/>
    </xf>
    <xf numFmtId="0" fontId="2" fillId="0" borderId="12" xfId="0" applyNumberFormat="1" applyFont="1" applyBorder="1" applyAlignment="1">
      <alignment vertical="center" wrapText="1"/>
    </xf>
    <xf numFmtId="0" fontId="17" fillId="0" borderId="0" xfId="0" applyNumberFormat="1" applyFont="1" applyAlignment="1">
      <alignment vertical="center" wrapText="1"/>
    </xf>
    <xf numFmtId="0" fontId="23" fillId="0" borderId="0" xfId="0" applyNumberFormat="1" applyFont="1" applyAlignment="1">
      <alignment horizontal="center" vertical="center" wrapText="1"/>
    </xf>
    <xf numFmtId="49" fontId="0" fillId="6" borderId="0" xfId="0" applyFill="1">
      <alignment vertical="top"/>
    </xf>
    <xf numFmtId="49" fontId="24" fillId="9" borderId="0" xfId="0" applyFont="1" applyFill="1">
      <alignment vertical="top"/>
    </xf>
    <xf numFmtId="49" fontId="24" fillId="0" borderId="0" xfId="0" applyFont="1">
      <alignment vertical="top"/>
    </xf>
    <xf numFmtId="49" fontId="0" fillId="8" borderId="6" xfId="0" applyFill="1" applyBorder="1" applyAlignment="1">
      <alignment horizontal="right" vertical="center" wrapText="1"/>
    </xf>
    <xf numFmtId="0" fontId="22" fillId="0" borderId="2" xfId="0" applyNumberFormat="1" applyFont="1" applyBorder="1" applyAlignment="1">
      <alignment vertical="center" wrapText="1"/>
    </xf>
    <xf numFmtId="0" fontId="18" fillId="0" borderId="0" xfId="0" applyNumberFormat="1" applyFont="1" applyAlignment="1">
      <alignment vertical="top" wrapText="1"/>
    </xf>
    <xf numFmtId="0" fontId="2" fillId="0" borderId="2" xfId="0" applyNumberFormat="1" applyFont="1" applyBorder="1" applyAlignment="1">
      <alignment vertical="center" wrapText="1"/>
    </xf>
    <xf numFmtId="0" fontId="2" fillId="6" borderId="0" xfId="0" applyNumberFormat="1" applyFont="1" applyFill="1" applyAlignment="1">
      <alignment horizontal="right" vertical="center"/>
    </xf>
    <xf numFmtId="0" fontId="0" fillId="0" borderId="3" xfId="0" applyNumberFormat="1" applyBorder="1" applyAlignment="1">
      <alignment horizontal="left" vertical="center" wrapText="1" indent="1"/>
    </xf>
    <xf numFmtId="0" fontId="0" fillId="10" borderId="3" xfId="0" applyNumberFormat="1" applyFill="1" applyBorder="1" applyAlignment="1" applyProtection="1">
      <alignment horizontal="left" vertical="center" wrapText="1" indent="2"/>
      <protection locked="0"/>
    </xf>
    <xf numFmtId="49" fontId="20" fillId="0" borderId="0" xfId="0" applyFont="1">
      <alignment vertical="top"/>
    </xf>
    <xf numFmtId="0" fontId="0" fillId="0" borderId="3" xfId="0" applyNumberFormat="1" applyBorder="1" applyAlignment="1">
      <alignment vertical="center" wrapText="1"/>
    </xf>
    <xf numFmtId="0" fontId="0" fillId="10" borderId="3" xfId="0" applyNumberFormat="1" applyFill="1" applyBorder="1" applyAlignment="1" applyProtection="1">
      <alignment horizontal="left" vertical="center" wrapText="1" indent="1"/>
      <protection locked="0"/>
    </xf>
    <xf numFmtId="49" fontId="12" fillId="8" borderId="6" xfId="0" applyFont="1" applyFill="1" applyBorder="1" applyAlignment="1">
      <alignment horizontal="left" vertical="center" indent="3"/>
    </xf>
    <xf numFmtId="49" fontId="16" fillId="8" borderId="4" xfId="0" applyFont="1" applyFill="1" applyBorder="1" applyAlignment="1">
      <alignment horizontal="center" vertical="top"/>
    </xf>
    <xf numFmtId="0" fontId="18" fillId="0" borderId="0" xfId="0" applyNumberFormat="1" applyFont="1" applyAlignment="1">
      <alignment horizontal="right" vertical="top" wrapText="1"/>
    </xf>
    <xf numFmtId="49" fontId="12" fillId="8" borderId="6" xfId="0" applyFont="1" applyFill="1" applyBorder="1" applyAlignment="1">
      <alignment horizontal="left" vertical="center" indent="1"/>
    </xf>
    <xf numFmtId="49" fontId="12" fillId="8" borderId="6" xfId="0" applyFont="1" applyFill="1" applyBorder="1" applyAlignment="1">
      <alignment horizontal="left" vertical="center" indent="2"/>
    </xf>
    <xf numFmtId="0" fontId="0" fillId="0" borderId="3" xfId="0" applyNumberFormat="1" applyBorder="1" applyAlignment="1">
      <alignment horizontal="left" vertical="center" wrapText="1" indent="2"/>
    </xf>
    <xf numFmtId="49" fontId="2" fillId="11" borderId="3" xfId="0" applyFont="1" applyFill="1" applyBorder="1" applyAlignment="1">
      <alignment horizontal="left" vertical="center" wrapText="1"/>
    </xf>
    <xf numFmtId="0" fontId="2" fillId="0" borderId="3" xfId="0" applyNumberFormat="1" applyFont="1" applyBorder="1" applyAlignment="1">
      <alignment vertical="top" wrapText="1"/>
    </xf>
    <xf numFmtId="49" fontId="0" fillId="0" borderId="8" xfId="0" applyBorder="1">
      <alignment vertical="top"/>
    </xf>
    <xf numFmtId="0" fontId="25" fillId="0" borderId="0" xfId="0" applyNumberFormat="1" applyFont="1" applyAlignment="1">
      <alignment vertical="center"/>
    </xf>
    <xf numFmtId="49" fontId="26" fillId="10" borderId="3" xfId="0" applyFont="1" applyFill="1" applyBorder="1" applyAlignment="1" applyProtection="1">
      <alignment horizontal="left" vertical="center" wrapText="1"/>
      <protection locked="0"/>
    </xf>
    <xf numFmtId="0" fontId="0" fillId="5" borderId="3" xfId="0" applyNumberFormat="1" applyFill="1" applyBorder="1" applyAlignment="1">
      <alignment horizontal="left" vertical="center" wrapText="1" indent="1"/>
    </xf>
    <xf numFmtId="49" fontId="2" fillId="10" borderId="3" xfId="0" applyFont="1" applyFill="1" applyBorder="1" applyAlignment="1" applyProtection="1">
      <alignment horizontal="left" vertical="center" wrapText="1" indent="1"/>
      <protection locked="0"/>
    </xf>
    <xf numFmtId="49" fontId="2" fillId="5" borderId="3" xfId="0" applyFont="1" applyFill="1" applyBorder="1" applyAlignment="1">
      <alignment horizontal="left" vertical="center" wrapText="1" indent="1"/>
    </xf>
    <xf numFmtId="49" fontId="2" fillId="0" borderId="3" xfId="0" applyFont="1" applyBorder="1" applyAlignment="1">
      <alignment horizontal="left" vertical="center" wrapText="1" indent="1"/>
    </xf>
    <xf numFmtId="0" fontId="20" fillId="0" borderId="0" xfId="0" applyNumberFormat="1" applyFont="1" applyAlignment="1">
      <alignment horizontal="center" vertical="center" wrapText="1"/>
    </xf>
    <xf numFmtId="0" fontId="0" fillId="0" borderId="3" xfId="0" applyNumberFormat="1" applyBorder="1" applyAlignment="1">
      <alignment horizontal="left" vertical="center" wrapText="1"/>
    </xf>
    <xf numFmtId="49" fontId="7" fillId="0" borderId="6" xfId="0" applyFont="1" applyBorder="1" applyAlignment="1">
      <alignment horizontal="center" vertical="center" wrapText="1"/>
    </xf>
    <xf numFmtId="0" fontId="27" fillId="0" borderId="0" xfId="0" applyNumberFormat="1" applyFont="1" applyAlignment="1">
      <alignment vertical="center"/>
    </xf>
    <xf numFmtId="0" fontId="28" fillId="0" borderId="0" xfId="0" applyNumberFormat="1" applyFont="1" applyAlignment="1">
      <alignment vertical="center"/>
    </xf>
    <xf numFmtId="0" fontId="20" fillId="0" borderId="0" xfId="0" applyNumberFormat="1" applyFont="1" applyAlignment="1">
      <alignment horizontal="left" vertical="center" wrapText="1" indent="1"/>
    </xf>
    <xf numFmtId="0" fontId="1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1"/>
    </xf>
    <xf numFmtId="0" fontId="30" fillId="0" borderId="0" xfId="0" applyNumberFormat="1" applyFont="1" applyAlignment="1">
      <alignment horizontal="left" vertical="center" indent="1"/>
    </xf>
    <xf numFmtId="0" fontId="29" fillId="0" borderId="0" xfId="0" applyNumberFormat="1" applyFont="1" applyAlignment="1">
      <alignment vertical="center" wrapTex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33" fillId="0" borderId="0" xfId="0" applyNumberFormat="1" applyFont="1" applyAlignment="1">
      <alignment vertical="center" wrapText="1"/>
    </xf>
    <xf numFmtId="0" fontId="33" fillId="6" borderId="0" xfId="0" applyNumberFormat="1" applyFont="1" applyFill="1" applyAlignment="1">
      <alignment horizontal="right" vertical="center" wrapText="1" indent="1"/>
    </xf>
    <xf numFmtId="0" fontId="35" fillId="6" borderId="0" xfId="0" applyNumberFormat="1" applyFont="1" applyFill="1" applyAlignment="1">
      <alignment horizontal="center" vertical="center" wrapText="1"/>
    </xf>
    <xf numFmtId="0" fontId="31" fillId="6" borderId="0" xfId="0" applyNumberFormat="1" applyFont="1" applyFill="1" applyAlignment="1">
      <alignment horizontal="center" vertical="center" wrapText="1"/>
    </xf>
    <xf numFmtId="0" fontId="33" fillId="6" borderId="0" xfId="0" applyNumberFormat="1" applyFont="1" applyFill="1" applyAlignment="1">
      <alignment horizontal="left" vertical="center" wrapText="1" indent="1"/>
    </xf>
    <xf numFmtId="0" fontId="36" fillId="0" borderId="0" xfId="0" applyNumberFormat="1" applyFont="1" applyAlignment="1">
      <alignment horizontal="left" vertical="center" wrapText="1"/>
    </xf>
    <xf numFmtId="0" fontId="36" fillId="0" borderId="0" xfId="0" applyNumberFormat="1" applyFont="1" applyAlignment="1">
      <alignment vertical="center" wrapText="1"/>
    </xf>
    <xf numFmtId="0" fontId="33" fillId="0" borderId="0" xfId="0" applyNumberFormat="1" applyFont="1" applyAlignment="1">
      <alignment horizontal="right" vertical="center"/>
    </xf>
    <xf numFmtId="0" fontId="0" fillId="0" borderId="0" xfId="0" applyNumberFormat="1" applyAlignment="1">
      <alignment horizontal="left" vertical="center" indent="1"/>
    </xf>
    <xf numFmtId="0" fontId="20" fillId="0" borderId="0" xfId="0" applyNumberFormat="1" applyFont="1" applyAlignment="1">
      <alignment horizontal="left" vertical="center" indent="1"/>
    </xf>
    <xf numFmtId="0" fontId="20" fillId="0" borderId="13" xfId="0" applyNumberFormat="1" applyFont="1" applyBorder="1" applyAlignment="1">
      <alignment vertical="center"/>
    </xf>
    <xf numFmtId="0" fontId="0" fillId="0" borderId="3" xfId="0" applyNumberFormat="1" applyBorder="1" applyAlignment="1">
      <alignment horizontal="center" vertical="center"/>
    </xf>
    <xf numFmtId="49" fontId="0" fillId="0" borderId="3" xfId="0" applyBorder="1" applyAlignment="1">
      <alignment horizontal="center" vertical="center"/>
    </xf>
    <xf numFmtId="49" fontId="0" fillId="0" borderId="3" xfId="0" applyBorder="1" applyAlignment="1">
      <alignment horizontal="left" vertical="center"/>
    </xf>
    <xf numFmtId="0" fontId="2" fillId="0" borderId="0" xfId="0" applyNumberFormat="1" applyFont="1" applyAlignment="1">
      <alignment horizontal="left" vertical="center" wrapText="1" indent="2"/>
    </xf>
    <xf numFmtId="0" fontId="0" fillId="10" borderId="3" xfId="0" applyNumberFormat="1" applyFill="1" applyBorder="1" applyAlignment="1" applyProtection="1">
      <alignment horizontal="left" vertical="center" wrapText="1"/>
      <protection locked="0"/>
    </xf>
    <xf numFmtId="0" fontId="2" fillId="0" borderId="3" xfId="0" applyNumberFormat="1" applyFont="1" applyBorder="1" applyAlignment="1">
      <alignment horizontal="left" vertical="top" wrapText="1"/>
    </xf>
    <xf numFmtId="0" fontId="2" fillId="0" borderId="3" xfId="0" applyNumberFormat="1" applyFont="1" applyBorder="1" applyAlignment="1">
      <alignment horizontal="left" vertical="center" wrapText="1"/>
    </xf>
    <xf numFmtId="49" fontId="2" fillId="0" borderId="8" xfId="0" applyFont="1" applyBorder="1" applyAlignment="1">
      <alignment horizontal="left" vertical="center" wrapText="1"/>
    </xf>
    <xf numFmtId="49" fontId="22" fillId="8" borderId="5" xfId="0" applyFont="1" applyFill="1" applyBorder="1" applyAlignment="1">
      <alignment horizontal="center" vertical="center"/>
    </xf>
    <xf numFmtId="0" fontId="37" fillId="0" borderId="0" xfId="0" applyNumberFormat="1" applyFont="1" applyAlignment="1">
      <alignment vertical="center" wrapText="1"/>
    </xf>
    <xf numFmtId="0" fontId="37" fillId="0" borderId="0" xfId="0" applyNumberFormat="1" applyFont="1" applyAlignment="1"/>
    <xf numFmtId="49" fontId="38" fillId="0" borderId="0" xfId="0" applyFont="1">
      <alignment vertical="top"/>
    </xf>
    <xf numFmtId="49" fontId="39" fillId="0" borderId="0" xfId="0" applyFont="1">
      <alignment vertical="top"/>
    </xf>
    <xf numFmtId="0" fontId="20" fillId="0" borderId="0" xfId="0" applyNumberFormat="1" applyFont="1">
      <alignment vertical="top"/>
    </xf>
    <xf numFmtId="49" fontId="2" fillId="0" borderId="3" xfId="0" applyFont="1" applyBorder="1" applyAlignment="1">
      <alignment horizontal="right" vertical="center"/>
    </xf>
    <xf numFmtId="0" fontId="40" fillId="0" borderId="0" xfId="0" applyNumberFormat="1" applyFont="1" applyAlignment="1">
      <alignment vertical="center"/>
    </xf>
    <xf numFmtId="0" fontId="18" fillId="0" borderId="0" xfId="0" applyNumberFormat="1" applyFont="1" applyAlignment="1">
      <alignment horizontal="center" vertical="center" wrapText="1"/>
    </xf>
    <xf numFmtId="0" fontId="0" fillId="0" borderId="0" xfId="0" applyNumberFormat="1" applyAlignment="1">
      <alignment horizontal="center" vertical="center"/>
    </xf>
    <xf numFmtId="0" fontId="41" fillId="0" borderId="0" xfId="0" applyNumberFormat="1" applyFont="1" applyAlignment="1">
      <alignment vertical="center"/>
    </xf>
    <xf numFmtId="0" fontId="2" fillId="6" borderId="3" xfId="0" applyNumberFormat="1" applyFont="1" applyFill="1" applyBorder="1" applyAlignment="1">
      <alignment horizontal="left" vertical="center" wrapText="1" indent="4"/>
    </xf>
    <xf numFmtId="0" fontId="2" fillId="6" borderId="3" xfId="0" applyNumberFormat="1" applyFont="1" applyFill="1" applyBorder="1" applyAlignment="1">
      <alignment horizontal="left" vertical="center" wrapText="1" indent="5"/>
    </xf>
    <xf numFmtId="49" fontId="12" fillId="8" borderId="6" xfId="0" applyFont="1" applyFill="1" applyBorder="1" applyAlignment="1">
      <alignment horizontal="left" vertical="center" indent="5"/>
    </xf>
    <xf numFmtId="49" fontId="12" fillId="8" borderId="6" xfId="0" applyFont="1" applyFill="1" applyBorder="1" applyAlignment="1">
      <alignment horizontal="left" vertical="center" indent="6"/>
    </xf>
    <xf numFmtId="0" fontId="42" fillId="6" borderId="0" xfId="0" applyNumberFormat="1" applyFont="1" applyFill="1" applyAlignment="1">
      <alignment vertical="center" wrapText="1"/>
    </xf>
    <xf numFmtId="49" fontId="12" fillId="8" borderId="5" xfId="0" applyFont="1" applyFill="1" applyBorder="1" applyAlignment="1">
      <alignment horizontal="left" vertical="center" indent="1"/>
    </xf>
    <xf numFmtId="0" fontId="0" fillId="6" borderId="3" xfId="0" applyNumberFormat="1" applyFill="1" applyBorder="1" applyAlignment="1">
      <alignment horizontal="right" vertical="center" wrapText="1" indent="1"/>
    </xf>
    <xf numFmtId="0" fontId="2" fillId="0" borderId="3" xfId="0" applyNumberFormat="1" applyFont="1" applyBorder="1" applyAlignment="1">
      <alignment horizontal="left" vertical="center" wrapText="1" indent="6"/>
    </xf>
    <xf numFmtId="0" fontId="2" fillId="0" borderId="8" xfId="0" applyNumberFormat="1" applyFont="1" applyBorder="1" applyAlignment="1">
      <alignment vertical="center" wrapText="1"/>
    </xf>
    <xf numFmtId="0" fontId="2" fillId="0" borderId="14" xfId="0" applyNumberFormat="1" applyFont="1" applyBorder="1" applyAlignment="1">
      <alignment vertical="center" wrapText="1"/>
    </xf>
    <xf numFmtId="49" fontId="0" fillId="8" borderId="4" xfId="0" applyFill="1" applyBorder="1" applyAlignment="1">
      <alignment horizontal="center" vertical="center" wrapText="1"/>
    </xf>
    <xf numFmtId="0" fontId="0" fillId="0" borderId="5" xfId="0" applyNumberFormat="1" applyBorder="1" applyAlignment="1">
      <alignment vertical="center"/>
    </xf>
    <xf numFmtId="169" fontId="0" fillId="10" borderId="3" xfId="0" applyNumberFormat="1" applyFill="1" applyBorder="1" applyAlignment="1" applyProtection="1">
      <alignment horizontal="right" vertical="center"/>
      <protection locked="0"/>
    </xf>
    <xf numFmtId="0" fontId="0" fillId="6" borderId="5" xfId="0" applyNumberFormat="1" applyFill="1" applyBorder="1" applyAlignment="1">
      <alignment horizontal="right" vertical="center" wrapText="1" indent="1"/>
    </xf>
    <xf numFmtId="49" fontId="43" fillId="8" borderId="5" xfId="0" applyFont="1" applyFill="1" applyBorder="1" applyAlignment="1">
      <alignment horizontal="center" vertical="center"/>
    </xf>
    <xf numFmtId="0" fontId="2" fillId="6" borderId="3" xfId="0" applyNumberFormat="1" applyFont="1" applyFill="1" applyBorder="1" applyAlignment="1">
      <alignment horizontal="left" vertical="center" wrapText="1" indent="1"/>
    </xf>
    <xf numFmtId="0" fontId="2" fillId="6" borderId="3" xfId="0" applyNumberFormat="1" applyFont="1" applyFill="1" applyBorder="1" applyAlignment="1">
      <alignment horizontal="left" vertical="center" wrapText="1" indent="2"/>
    </xf>
    <xf numFmtId="0" fontId="2" fillId="6" borderId="3" xfId="0" applyNumberFormat="1" applyFont="1" applyFill="1" applyBorder="1" applyAlignment="1">
      <alignment horizontal="left" vertical="center" wrapText="1" indent="3"/>
    </xf>
    <xf numFmtId="0" fontId="2" fillId="0" borderId="3" xfId="0" applyNumberFormat="1" applyFont="1" applyBorder="1" applyAlignment="1">
      <alignment horizontal="left" vertical="center" wrapText="1" indent="4"/>
    </xf>
    <xf numFmtId="49" fontId="12" fillId="8" borderId="5" xfId="0" applyFont="1" applyFill="1" applyBorder="1" applyAlignment="1">
      <alignment vertical="center" wrapText="1"/>
    </xf>
    <xf numFmtId="49" fontId="12" fillId="8" borderId="6" xfId="0" applyFont="1" applyFill="1" applyBorder="1" applyAlignment="1">
      <alignment vertical="center"/>
    </xf>
    <xf numFmtId="49" fontId="12" fillId="8" borderId="6" xfId="0" applyFont="1" applyFill="1" applyBorder="1" applyAlignment="1">
      <alignment vertical="center" wrapText="1"/>
    </xf>
    <xf numFmtId="49" fontId="2" fillId="0" borderId="3" xfId="0" applyFont="1" applyBorder="1" applyAlignment="1">
      <alignment vertical="center" wrapText="1"/>
    </xf>
    <xf numFmtId="49" fontId="12" fillId="8" borderId="5" xfId="0" applyFont="1" applyFill="1" applyBorder="1" applyAlignment="1">
      <alignment horizontal="left" vertical="center"/>
    </xf>
    <xf numFmtId="49" fontId="0" fillId="0" borderId="3" xfId="0" applyBorder="1" applyAlignment="1">
      <alignment vertical="center" wrapText="1"/>
    </xf>
    <xf numFmtId="0" fontId="12" fillId="8" borderId="5" xfId="0" applyNumberFormat="1" applyFont="1" applyFill="1" applyBorder="1" applyAlignment="1">
      <alignment horizontal="left" vertical="center"/>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49" fontId="0" fillId="0" borderId="0" xfId="0" applyAlignment="1">
      <alignment vertical="center"/>
    </xf>
    <xf numFmtId="0" fontId="0" fillId="0" borderId="0" xfId="0" applyNumberFormat="1" applyAlignment="1">
      <alignment horizontal="right" vertical="center" wrapText="1" indent="1"/>
    </xf>
    <xf numFmtId="0" fontId="22" fillId="6" borderId="0" xfId="0" applyNumberFormat="1" applyFont="1" applyFill="1" applyAlignment="1">
      <alignment horizontal="center" vertical="center" wrapText="1"/>
    </xf>
    <xf numFmtId="49" fontId="43" fillId="8" borderId="6" xfId="0" applyFont="1" applyFill="1" applyBorder="1" applyAlignment="1">
      <alignment horizontal="left" vertical="center"/>
    </xf>
    <xf numFmtId="49" fontId="2" fillId="8" borderId="4" xfId="0" applyFont="1" applyFill="1" applyBorder="1" applyAlignment="1">
      <alignment horizontal="center" vertical="center" wrapText="1"/>
    </xf>
    <xf numFmtId="4" fontId="2" fillId="0" borderId="3" xfId="0" applyNumberFormat="1" applyFont="1" applyBorder="1" applyAlignment="1">
      <alignment horizontal="right" vertical="center" wrapText="1"/>
    </xf>
    <xf numFmtId="49" fontId="0" fillId="8" borderId="6" xfId="0" applyFill="1" applyBorder="1" applyAlignment="1">
      <alignment horizontal="center" vertical="center" wrapText="1"/>
    </xf>
    <xf numFmtId="4" fontId="20" fillId="0" borderId="3" xfId="0" applyNumberFormat="1" applyFont="1" applyBorder="1" applyAlignment="1">
      <alignment horizontal="center" vertical="center" wrapText="1"/>
    </xf>
    <xf numFmtId="49" fontId="44" fillId="0" borderId="5" xfId="0" applyFont="1" applyBorder="1" applyAlignment="1">
      <alignment horizontal="left" vertical="center" wrapText="1"/>
    </xf>
    <xf numFmtId="0" fontId="40" fillId="0" borderId="3" xfId="0" applyNumberFormat="1" applyFont="1" applyBorder="1" applyAlignment="1">
      <alignment horizontal="left" vertical="center" wrapText="1" indent="2"/>
    </xf>
    <xf numFmtId="49" fontId="40" fillId="0" borderId="3" xfId="0" applyFont="1" applyBorder="1" applyAlignment="1">
      <alignment horizontal="center" vertical="center" wrapText="1"/>
    </xf>
    <xf numFmtId="0" fontId="45" fillId="0" borderId="0" xfId="0" applyNumberFormat="1" applyFont="1" applyAlignment="1">
      <alignment vertical="center" wrapText="1"/>
    </xf>
    <xf numFmtId="0" fontId="2" fillId="0" borderId="0" xfId="0" applyNumberFormat="1" applyFont="1">
      <alignment vertical="top"/>
    </xf>
    <xf numFmtId="0" fontId="2" fillId="0" borderId="0" xfId="0" applyNumberFormat="1" applyFont="1" applyAlignment="1">
      <alignment horizontal="right" vertical="top" wrapText="1"/>
    </xf>
    <xf numFmtId="0" fontId="2" fillId="0" borderId="14" xfId="0" applyNumberFormat="1" applyFont="1" applyBorder="1" applyAlignment="1">
      <alignment vertical="top" wrapText="1"/>
    </xf>
    <xf numFmtId="0" fontId="0" fillId="0" borderId="0" xfId="0" applyNumberFormat="1" applyAlignment="1">
      <alignment horizontal="left" vertical="top" wrapText="1"/>
    </xf>
    <xf numFmtId="0" fontId="2" fillId="0" borderId="8" xfId="0" applyNumberFormat="1" applyFont="1" applyBorder="1" applyAlignment="1">
      <alignment vertical="top" wrapText="1"/>
    </xf>
    <xf numFmtId="0" fontId="2" fillId="10" borderId="3" xfId="0" applyNumberFormat="1" applyFont="1" applyFill="1" applyBorder="1" applyAlignment="1" applyProtection="1">
      <alignment horizontal="left" vertical="center" wrapText="1" indent="1"/>
      <protection locked="0"/>
    </xf>
    <xf numFmtId="0" fontId="46" fillId="0" borderId="0" xfId="0" applyNumberFormat="1" applyFont="1" applyAlignment="1">
      <alignment vertical="center" wrapText="1"/>
    </xf>
    <xf numFmtId="0" fontId="14" fillId="6" borderId="0" xfId="0" applyNumberFormat="1" applyFont="1" applyFill="1" applyAlignment="1">
      <alignment horizontal="center" vertical="center" wrapText="1"/>
    </xf>
    <xf numFmtId="0" fontId="2" fillId="0" borderId="15" xfId="0" applyNumberFormat="1" applyFont="1" applyBorder="1" applyAlignment="1">
      <alignment vertical="center" wrapText="1"/>
    </xf>
    <xf numFmtId="0" fontId="8" fillId="0" borderId="0" xfId="0" applyNumberFormat="1" applyFont="1" applyAlignment="1">
      <alignment vertical="center" wrapText="1"/>
    </xf>
    <xf numFmtId="49" fontId="2" fillId="0" borderId="15" xfId="0" applyFont="1" applyBorder="1">
      <alignment vertical="top"/>
    </xf>
    <xf numFmtId="0" fontId="20" fillId="0" borderId="15" xfId="0" applyNumberFormat="1" applyFont="1" applyBorder="1" applyAlignment="1">
      <alignment horizontal="center" vertical="center" wrapText="1"/>
    </xf>
    <xf numFmtId="0" fontId="20" fillId="0" borderId="15" xfId="0" applyNumberFormat="1" applyFont="1" applyBorder="1" applyAlignment="1">
      <alignment vertical="center" wrapText="1"/>
    </xf>
    <xf numFmtId="49" fontId="0" fillId="0" borderId="15" xfId="0" applyBorder="1">
      <alignment vertical="top"/>
    </xf>
    <xf numFmtId="0" fontId="8" fillId="6" borderId="0" xfId="0" applyNumberFormat="1" applyFont="1" applyFill="1" applyAlignment="1">
      <alignment vertical="center" wrapText="1"/>
    </xf>
    <xf numFmtId="0" fontId="3" fillId="0" borderId="0" xfId="0" applyNumberFormat="1" applyFont="1" applyAlignment="1">
      <alignment horizontal="center" vertical="center" wrapText="1"/>
    </xf>
    <xf numFmtId="49" fontId="12" fillId="8" borderId="6" xfId="0" applyFont="1" applyFill="1" applyBorder="1" applyAlignment="1">
      <alignment horizontal="left" vertical="center" indent="4"/>
    </xf>
    <xf numFmtId="49" fontId="2" fillId="0" borderId="0" xfId="0" applyFont="1" applyAlignment="1">
      <alignment vertical="center"/>
    </xf>
    <xf numFmtId="49" fontId="2" fillId="8" borderId="6" xfId="0" applyFont="1" applyFill="1" applyBorder="1" applyAlignment="1">
      <alignment horizontal="center" vertical="center" wrapText="1"/>
    </xf>
    <xf numFmtId="49" fontId="2" fillId="0" borderId="3" xfId="0" applyFont="1" applyBorder="1" applyAlignment="1">
      <alignment horizontal="right" vertical="top"/>
    </xf>
    <xf numFmtId="49" fontId="2" fillId="0" borderId="8" xfId="0" applyFont="1" applyBorder="1" applyAlignment="1">
      <alignment horizontal="right" vertical="top"/>
    </xf>
    <xf numFmtId="49" fontId="11" fillId="0" borderId="0" xfId="0" applyFont="1">
      <alignment vertical="top"/>
    </xf>
    <xf numFmtId="49" fontId="2" fillId="10" borderId="3" xfId="0" applyFont="1" applyFill="1" applyBorder="1" applyAlignment="1" applyProtection="1">
      <alignment horizontal="left" vertical="center" wrapText="1" indent="4"/>
      <protection locked="0"/>
    </xf>
    <xf numFmtId="49" fontId="2" fillId="10" borderId="3" xfId="0" applyFont="1" applyFill="1" applyBorder="1" applyAlignment="1" applyProtection="1">
      <alignment horizontal="left" vertical="center" wrapText="1"/>
      <protection locked="0"/>
    </xf>
    <xf numFmtId="4" fontId="0" fillId="10" borderId="3" xfId="0" applyNumberFormat="1" applyFill="1" applyBorder="1" applyAlignment="1" applyProtection="1">
      <alignment horizontal="right" vertical="center" wrapText="1"/>
      <protection locked="0"/>
    </xf>
    <xf numFmtId="49" fontId="20" fillId="0" borderId="0" xfId="0" applyFont="1" applyAlignment="1">
      <alignment vertical="center" wrapText="1"/>
    </xf>
    <xf numFmtId="49" fontId="20" fillId="0" borderId="0" xfId="0" applyFont="1" applyAlignment="1">
      <alignment vertical="center"/>
    </xf>
    <xf numFmtId="49" fontId="0" fillId="0" borderId="16" xfId="0" applyBorder="1" applyAlignment="1">
      <alignment horizontal="center" vertical="center"/>
    </xf>
    <xf numFmtId="169" fontId="2" fillId="0" borderId="3" xfId="0" applyNumberFormat="1" applyFont="1" applyBorder="1" applyAlignment="1">
      <alignment horizontal="right" vertical="center" wrapText="1"/>
    </xf>
    <xf numFmtId="49" fontId="26" fillId="10" borderId="5" xfId="0" applyFont="1" applyFill="1" applyBorder="1" applyAlignment="1" applyProtection="1">
      <alignment horizontal="left" vertical="center" wrapText="1"/>
      <protection locked="0"/>
    </xf>
    <xf numFmtId="0" fontId="22" fillId="0" borderId="0" xfId="0" applyNumberFormat="1" applyFont="1" applyAlignment="1">
      <alignment vertical="top" wrapText="1"/>
    </xf>
    <xf numFmtId="0" fontId="2" fillId="6" borderId="17" xfId="0" applyNumberFormat="1" applyFont="1" applyFill="1" applyBorder="1" applyAlignment="1">
      <alignment horizontal="right" vertical="center" wrapText="1" indent="1"/>
    </xf>
    <xf numFmtId="0" fontId="0" fillId="6" borderId="17" xfId="0" applyNumberFormat="1" applyFill="1" applyBorder="1" applyAlignment="1">
      <alignment horizontal="right" vertical="center" wrapText="1" indent="1"/>
    </xf>
    <xf numFmtId="0" fontId="2" fillId="0" borderId="0" xfId="0" applyNumberFormat="1" applyFont="1" applyAlignment="1">
      <alignment horizontal="left" vertical="center" wrapText="1" indent="4"/>
    </xf>
    <xf numFmtId="0" fontId="2" fillId="0" borderId="10" xfId="0" applyNumberFormat="1" applyFont="1" applyBorder="1" applyAlignment="1">
      <alignment vertical="center" wrapText="1"/>
    </xf>
    <xf numFmtId="49" fontId="0" fillId="6" borderId="5" xfId="0" applyFill="1" applyBorder="1" applyAlignment="1">
      <alignment horizontal="center" vertical="center" wrapText="1"/>
    </xf>
    <xf numFmtId="0" fontId="2" fillId="8" borderId="18" xfId="0" applyNumberFormat="1" applyFont="1" applyFill="1" applyBorder="1" applyAlignment="1">
      <alignment vertical="center" wrapText="1"/>
    </xf>
    <xf numFmtId="49" fontId="12" fillId="8" borderId="19" xfId="0" applyFont="1" applyFill="1" applyBorder="1" applyAlignment="1">
      <alignment horizontal="left" vertical="center" indent="2"/>
    </xf>
    <xf numFmtId="49" fontId="26" fillId="7" borderId="3" xfId="0" applyFont="1" applyFill="1" applyBorder="1" applyAlignment="1" applyProtection="1">
      <alignment horizontal="left" vertical="center" wrapText="1"/>
      <protection locked="0"/>
    </xf>
    <xf numFmtId="49" fontId="2" fillId="0" borderId="10" xfId="0" applyFont="1" applyBorder="1">
      <alignment vertical="top"/>
    </xf>
    <xf numFmtId="49" fontId="43" fillId="8" borderId="4" xfId="0" applyFont="1" applyFill="1" applyBorder="1" applyAlignment="1">
      <alignment horizontal="left" vertical="center" indent="1"/>
    </xf>
    <xf numFmtId="49" fontId="43" fillId="8" borderId="6" xfId="0" applyFont="1" applyFill="1" applyBorder="1" applyAlignment="1">
      <alignment horizontal="left" vertical="center" indent="1"/>
    </xf>
    <xf numFmtId="49" fontId="43" fillId="8" borderId="6" xfId="0" applyFont="1" applyFill="1" applyBorder="1" applyAlignment="1">
      <alignment vertical="center"/>
    </xf>
    <xf numFmtId="0" fontId="0" fillId="12" borderId="3" xfId="0" applyNumberFormat="1" applyFill="1" applyBorder="1" applyAlignment="1">
      <alignment horizontal="right" vertical="center"/>
    </xf>
    <xf numFmtId="0" fontId="0" fillId="0" borderId="0" xfId="0" applyNumberFormat="1" applyAlignment="1">
      <alignment vertical="center" wrapText="1"/>
    </xf>
    <xf numFmtId="0" fontId="47" fillId="0" borderId="0" xfId="0" applyNumberFormat="1" applyFont="1" applyAlignment="1">
      <alignment vertical="center" wrapText="1"/>
    </xf>
    <xf numFmtId="49" fontId="22" fillId="8" borderId="5" xfId="0" applyFont="1" applyFill="1" applyBorder="1" applyAlignment="1">
      <alignment horizontal="right" vertical="center" wrapText="1"/>
    </xf>
    <xf numFmtId="49" fontId="0" fillId="8" borderId="4" xfId="0" applyFill="1" applyBorder="1" applyAlignment="1">
      <alignment horizontal="right" vertical="center" wrapText="1"/>
    </xf>
    <xf numFmtId="0" fontId="0" fillId="0" borderId="5" xfId="0" applyNumberFormat="1" applyBorder="1" applyAlignment="1">
      <alignment horizontal="center" vertical="center" wrapText="1"/>
    </xf>
    <xf numFmtId="0" fontId="0" fillId="7" borderId="3" xfId="0" applyNumberFormat="1" applyFill="1" applyBorder="1" applyAlignment="1" applyProtection="1">
      <alignment horizontal="right" vertical="center" wrapText="1"/>
      <protection locked="0"/>
    </xf>
    <xf numFmtId="3" fontId="0" fillId="10" borderId="4" xfId="0" applyNumberFormat="1" applyFill="1" applyBorder="1" applyAlignment="1" applyProtection="1">
      <alignment horizontal="right" vertical="center" wrapText="1"/>
      <protection locked="0"/>
    </xf>
    <xf numFmtId="3" fontId="0" fillId="10" borderId="3" xfId="0" applyNumberFormat="1" applyFill="1" applyBorder="1" applyAlignment="1" applyProtection="1">
      <alignment horizontal="right" vertical="center" wrapText="1"/>
      <protection locked="0"/>
    </xf>
    <xf numFmtId="49" fontId="0" fillId="0" borderId="3" xfId="0" applyBorder="1" applyAlignment="1">
      <alignment horizontal="center" vertical="center" wrapText="1"/>
    </xf>
    <xf numFmtId="0" fontId="0" fillId="6" borderId="5" xfId="0" applyNumberFormat="1" applyFill="1" applyBorder="1" applyAlignment="1">
      <alignment horizontal="left" vertical="center" wrapText="1" indent="1"/>
    </xf>
    <xf numFmtId="0" fontId="0" fillId="6" borderId="8" xfId="0" applyNumberFormat="1" applyFill="1" applyBorder="1" applyAlignment="1">
      <alignment horizontal="left" vertical="center" wrapText="1"/>
    </xf>
    <xf numFmtId="0" fontId="0" fillId="6" borderId="3" xfId="0" applyNumberFormat="1" applyFill="1" applyBorder="1" applyAlignment="1">
      <alignment horizontal="left" vertical="center" wrapText="1"/>
    </xf>
    <xf numFmtId="0" fontId="0" fillId="6" borderId="3" xfId="0" applyNumberFormat="1" applyFill="1" applyBorder="1" applyAlignment="1">
      <alignment horizontal="left" vertical="center" wrapText="1" indent="2"/>
    </xf>
    <xf numFmtId="0" fontId="0" fillId="6" borderId="3" xfId="0" applyNumberFormat="1" applyFill="1" applyBorder="1" applyAlignment="1">
      <alignment horizontal="center" vertical="center"/>
    </xf>
    <xf numFmtId="49" fontId="0" fillId="10" borderId="3" xfId="0" applyFill="1" applyBorder="1" applyAlignment="1" applyProtection="1">
      <alignment horizontal="left" vertical="center" wrapText="1"/>
      <protection locked="0"/>
    </xf>
    <xf numFmtId="0" fontId="0" fillId="6" borderId="3" xfId="0" applyNumberFormat="1" applyFill="1" applyBorder="1" applyAlignment="1">
      <alignment horizontal="left" vertical="center" wrapText="1" indent="1"/>
    </xf>
    <xf numFmtId="0" fontId="0" fillId="6" borderId="3" xfId="0" applyNumberFormat="1" applyFill="1" applyBorder="1" applyAlignment="1">
      <alignment vertical="center" wrapText="1"/>
    </xf>
    <xf numFmtId="49" fontId="0" fillId="6" borderId="3" xfId="0" applyFill="1" applyBorder="1" applyAlignment="1">
      <alignment horizontal="center" vertical="center"/>
    </xf>
    <xf numFmtId="0" fontId="0" fillId="6" borderId="3" xfId="0" applyNumberFormat="1" applyFill="1" applyBorder="1" applyAlignment="1">
      <alignment horizontal="center" vertical="center" wrapText="1"/>
    </xf>
    <xf numFmtId="0" fontId="0" fillId="6" borderId="0" xfId="0" applyNumberFormat="1" applyFill="1" applyAlignment="1"/>
    <xf numFmtId="0" fontId="0" fillId="6" borderId="0" xfId="0" applyNumberFormat="1" applyFill="1" applyAlignment="1">
      <alignment horizontal="center"/>
    </xf>
    <xf numFmtId="0" fontId="48" fillId="6" borderId="0" xfId="0" applyNumberFormat="1" applyFont="1" applyFill="1" applyAlignment="1">
      <alignment horizontal="center"/>
    </xf>
    <xf numFmtId="0" fontId="48" fillId="6" borderId="0" xfId="0" applyNumberFormat="1" applyFont="1" applyFill="1" applyAlignment="1"/>
    <xf numFmtId="0" fontId="49" fillId="6" borderId="0" xfId="0" applyNumberFormat="1" applyFont="1" applyFill="1" applyAlignment="1"/>
    <xf numFmtId="0" fontId="50" fillId="6" borderId="0" xfId="0" applyNumberFormat="1" applyFont="1" applyFill="1" applyAlignment="1">
      <alignment horizontal="right" vertical="center"/>
    </xf>
    <xf numFmtId="0" fontId="50" fillId="6" borderId="0" xfId="0" applyNumberFormat="1" applyFont="1" applyFill="1" applyAlignment="1">
      <alignment horizontal="right" vertical="top"/>
    </xf>
    <xf numFmtId="0" fontId="7" fillId="6" borderId="0" xfId="0" applyNumberFormat="1" applyFont="1" applyFill="1" applyAlignment="1">
      <alignment horizontal="center" vertical="center"/>
    </xf>
    <xf numFmtId="0" fontId="17" fillId="0" borderId="0" xfId="0" applyNumberFormat="1" applyFont="1" applyAlignment="1">
      <alignment vertical="top" wrapText="1"/>
    </xf>
    <xf numFmtId="0" fontId="2" fillId="8" borderId="5" xfId="0" applyNumberFormat="1" applyFont="1" applyFill="1" applyBorder="1" applyAlignment="1">
      <alignment horizontal="center"/>
    </xf>
    <xf numFmtId="0" fontId="43" fillId="8" borderId="6" xfId="0" applyNumberFormat="1" applyFont="1" applyFill="1" applyBorder="1" applyAlignment="1">
      <alignment horizontal="left" vertical="center"/>
    </xf>
    <xf numFmtId="0" fontId="43" fillId="8" borderId="4" xfId="0" applyNumberFormat="1" applyFont="1" applyFill="1" applyBorder="1" applyAlignment="1">
      <alignment horizontal="left" vertical="center"/>
    </xf>
    <xf numFmtId="0" fontId="51" fillId="6" borderId="0" xfId="0" applyNumberFormat="1" applyFont="1" applyFill="1" applyAlignment="1">
      <alignment vertical="center"/>
    </xf>
    <xf numFmtId="0" fontId="51" fillId="6" borderId="0" xfId="0" applyNumberFormat="1" applyFont="1" applyFill="1" applyAlignment="1">
      <alignment vertical="center" wrapText="1"/>
    </xf>
    <xf numFmtId="49" fontId="2" fillId="6" borderId="3" xfId="0" applyFont="1" applyFill="1" applyBorder="1" applyAlignment="1">
      <alignment horizontal="center" vertical="center" wrapText="1"/>
    </xf>
    <xf numFmtId="0" fontId="2" fillId="6" borderId="3" xfId="0" applyNumberFormat="1" applyFont="1" applyFill="1" applyBorder="1" applyAlignment="1">
      <alignment vertical="center" wrapText="1"/>
    </xf>
    <xf numFmtId="0" fontId="38" fillId="6" borderId="0" xfId="0" applyNumberFormat="1" applyFont="1" applyFill="1" applyAlignment="1"/>
    <xf numFmtId="0" fontId="24" fillId="6" borderId="0" xfId="0" applyNumberFormat="1" applyFont="1" applyFill="1" applyAlignment="1"/>
    <xf numFmtId="0" fontId="34" fillId="6" borderId="0" xfId="0" applyNumberFormat="1" applyFont="1" applyFill="1" applyAlignment="1"/>
    <xf numFmtId="0" fontId="34" fillId="6" borderId="0" xfId="0" applyNumberFormat="1" applyFont="1" applyFill="1" applyAlignment="1">
      <alignment horizontal="center"/>
    </xf>
    <xf numFmtId="0" fontId="31" fillId="0" borderId="0" xfId="0" applyNumberFormat="1" applyFont="1" applyAlignment="1">
      <alignment vertical="center" wrapText="1"/>
    </xf>
    <xf numFmtId="0" fontId="33" fillId="6" borderId="0" xfId="0" applyNumberFormat="1" applyFont="1" applyFill="1" applyAlignment="1">
      <alignment horizontal="right" vertical="center"/>
    </xf>
    <xf numFmtId="0" fontId="33" fillId="6" borderId="0" xfId="0" applyNumberFormat="1" applyFont="1" applyFill="1" applyAlignment="1">
      <alignment horizontal="right" vertical="center" wrapText="1"/>
    </xf>
    <xf numFmtId="4" fontId="33" fillId="0" borderId="0" xfId="0" applyNumberFormat="1" applyFont="1" applyAlignment="1">
      <alignment horizontal="right" vertical="center" wrapText="1"/>
    </xf>
    <xf numFmtId="0" fontId="33" fillId="0" borderId="0" xfId="0" applyNumberFormat="1" applyFont="1" applyAlignment="1">
      <alignment horizontal="left" vertical="center" wrapText="1" indent="1"/>
    </xf>
    <xf numFmtId="0" fontId="5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wrapText="1"/>
    </xf>
    <xf numFmtId="0" fontId="37" fillId="0" borderId="0" xfId="0" applyNumberFormat="1" applyFont="1" applyAlignment="1">
      <alignment horizontal="center" vertical="center" wrapText="1"/>
    </xf>
    <xf numFmtId="0" fontId="2" fillId="6" borderId="15" xfId="0" applyNumberFormat="1" applyFont="1" applyFill="1" applyBorder="1" applyAlignment="1">
      <alignment vertical="center" wrapText="1"/>
    </xf>
    <xf numFmtId="49" fontId="7" fillId="6" borderId="6" xfId="0" applyFont="1" applyFill="1" applyBorder="1" applyAlignment="1">
      <alignment horizontal="center" vertical="center" wrapText="1"/>
    </xf>
    <xf numFmtId="0" fontId="52" fillId="0" borderId="0" xfId="0" applyNumberFormat="1" applyFont="1" applyAlignment="1">
      <alignment horizontal="center" vertical="center" wrapText="1"/>
    </xf>
    <xf numFmtId="49" fontId="46" fillId="0" borderId="3" xfId="0" applyFont="1" applyBorder="1" applyAlignment="1">
      <alignment horizontal="left" vertical="center" wrapText="1"/>
    </xf>
    <xf numFmtId="0" fontId="53" fillId="6" borderId="0" xfId="0" applyNumberFormat="1" applyFont="1" applyFill="1" applyAlignment="1">
      <alignment horizontal="center" vertical="center" wrapText="1"/>
    </xf>
    <xf numFmtId="49" fontId="46" fillId="0" borderId="8" xfId="0" applyFont="1" applyBorder="1" applyAlignment="1">
      <alignment horizontal="left" vertical="center" wrapText="1"/>
    </xf>
    <xf numFmtId="0" fontId="20" fillId="6" borderId="0" xfId="0" applyNumberFormat="1" applyFont="1" applyFill="1" applyAlignment="1"/>
    <xf numFmtId="0" fontId="20" fillId="6" borderId="0" xfId="0" applyNumberFormat="1" applyFont="1" applyFill="1" applyAlignment="1">
      <alignment vertical="center" wrapText="1"/>
    </xf>
    <xf numFmtId="14" fontId="2" fillId="8" borderId="6" xfId="0" applyNumberFormat="1" applyFont="1" applyFill="1" applyBorder="1" applyAlignment="1">
      <alignment horizontal="center" vertical="center" wrapText="1"/>
    </xf>
    <xf numFmtId="14" fontId="54" fillId="8" borderId="6" xfId="0" applyNumberFormat="1" applyFont="1" applyFill="1" applyBorder="1" applyAlignment="1">
      <alignment horizontal="center" vertical="center" wrapText="1"/>
    </xf>
    <xf numFmtId="0" fontId="20" fillId="0" borderId="0" xfId="0" applyNumberFormat="1" applyFont="1" applyAlignment="1">
      <alignment horizontal="left" vertical="center" wrapText="1"/>
    </xf>
    <xf numFmtId="49" fontId="20" fillId="0" borderId="0" xfId="0" applyFont="1" applyAlignment="1">
      <alignment horizontal="left" vertical="center" wrapText="1"/>
    </xf>
    <xf numFmtId="49" fontId="26" fillId="0" borderId="3" xfId="0" applyFont="1" applyBorder="1" applyAlignment="1">
      <alignment horizontal="left" vertical="center" wrapText="1"/>
    </xf>
    <xf numFmtId="14" fontId="2" fillId="11" borderId="3" xfId="0" applyNumberFormat="1" applyFont="1" applyFill="1" applyBorder="1" applyAlignment="1">
      <alignment horizontal="center" vertical="center" wrapText="1"/>
    </xf>
    <xf numFmtId="49" fontId="2" fillId="11" borderId="3" xfId="0" applyFont="1" applyFill="1" applyBorder="1" applyAlignment="1">
      <alignment horizontal="center" vertical="center" wrapText="1"/>
    </xf>
    <xf numFmtId="0" fontId="55" fillId="0" borderId="0" xfId="0" applyNumberFormat="1" applyFont="1" applyAlignment="1">
      <alignment horizontal="center" vertical="center" wrapText="1"/>
    </xf>
    <xf numFmtId="0" fontId="0" fillId="6" borderId="5" xfId="0" applyNumberFormat="1" applyFill="1" applyBorder="1" applyAlignment="1">
      <alignment horizontal="left" vertical="center" wrapText="1"/>
    </xf>
    <xf numFmtId="49" fontId="22" fillId="8" borderId="6" xfId="0" applyFont="1" applyFill="1" applyBorder="1" applyAlignment="1">
      <alignment horizontal="center" vertical="center"/>
    </xf>
    <xf numFmtId="0" fontId="19" fillId="0" borderId="0" xfId="0" applyNumberFormat="1" applyFont="1" applyAlignment="1">
      <alignment horizontal="center" vertical="center" wrapText="1"/>
    </xf>
    <xf numFmtId="0" fontId="56" fillId="0" borderId="0" xfId="0" applyNumberFormat="1" applyFont="1" applyAlignment="1">
      <alignment vertical="center" wrapText="1"/>
    </xf>
    <xf numFmtId="49" fontId="19" fillId="0" borderId="0" xfId="0" applyFont="1" applyAlignment="1">
      <alignment horizontal="center" vertical="center" wrapText="1"/>
    </xf>
    <xf numFmtId="49" fontId="2" fillId="0" borderId="0" xfId="0" applyFont="1" applyAlignment="1">
      <alignment horizontal="center" vertical="top" wrapText="1"/>
    </xf>
    <xf numFmtId="49" fontId="2" fillId="10" borderId="3" xfId="0" applyFont="1" applyFill="1" applyBorder="1" applyAlignment="1" applyProtection="1">
      <alignment vertical="center" wrapText="1"/>
      <protection locked="0"/>
    </xf>
    <xf numFmtId="4" fontId="2" fillId="7" borderId="3" xfId="0" applyNumberFormat="1" applyFont="1" applyFill="1" applyBorder="1" applyAlignment="1" applyProtection="1">
      <alignment horizontal="right" vertical="center" wrapText="1"/>
      <protection locked="0"/>
    </xf>
    <xf numFmtId="0" fontId="2" fillId="0" borderId="4" xfId="0" applyNumberFormat="1" applyFont="1" applyBorder="1" applyAlignment="1">
      <alignment vertical="top" wrapText="1"/>
    </xf>
    <xf numFmtId="0" fontId="57" fillId="0" borderId="0" xfId="0" applyNumberFormat="1" applyFont="1" applyAlignment="1">
      <alignment vertical="center" wrapText="1"/>
    </xf>
    <xf numFmtId="0" fontId="27" fillId="0" borderId="0" xfId="0" applyNumberFormat="1" applyFont="1" applyAlignment="1">
      <alignment vertical="center" wrapText="1"/>
    </xf>
    <xf numFmtId="170" fontId="2" fillId="7" borderId="3" xfId="0" applyNumberFormat="1" applyFont="1" applyFill="1" applyBorder="1" applyAlignment="1" applyProtection="1">
      <alignment horizontal="right" vertical="center" wrapText="1"/>
      <protection locked="0"/>
    </xf>
    <xf numFmtId="0" fontId="2" fillId="0" borderId="20" xfId="0" applyNumberFormat="1" applyFont="1" applyBorder="1" applyAlignment="1">
      <alignment horizontal="center" vertical="center" wrapText="1"/>
    </xf>
    <xf numFmtId="0" fontId="2" fillId="10" borderId="3" xfId="0" applyNumberFormat="1" applyFont="1" applyFill="1" applyBorder="1" applyAlignment="1" applyProtection="1">
      <alignment horizontal="left" vertical="center" wrapText="1" indent="2"/>
      <protection locked="0"/>
    </xf>
    <xf numFmtId="49" fontId="20" fillId="0" borderId="0" xfId="0" applyFont="1" applyAlignment="1">
      <alignment horizontal="center" vertical="center" wrapText="1"/>
    </xf>
    <xf numFmtId="0" fontId="20" fillId="0" borderId="20" xfId="0" applyNumberFormat="1" applyFont="1" applyBorder="1" applyAlignment="1">
      <alignment horizontal="center" vertical="center" wrapText="1"/>
    </xf>
    <xf numFmtId="0" fontId="20" fillId="0" borderId="3" xfId="0" applyNumberFormat="1" applyFont="1" applyBorder="1" applyAlignment="1">
      <alignment horizontal="left" vertical="center" wrapText="1" indent="2"/>
    </xf>
    <xf numFmtId="0" fontId="20" fillId="0" borderId="3" xfId="0" applyNumberFormat="1" applyFont="1" applyBorder="1" applyAlignment="1">
      <alignment horizontal="center" vertical="center" wrapText="1"/>
    </xf>
    <xf numFmtId="0" fontId="20" fillId="0" borderId="3" xfId="0" applyNumberFormat="1" applyFont="1" applyBorder="1" applyAlignment="1">
      <alignment vertical="center" wrapText="1"/>
    </xf>
    <xf numFmtId="0" fontId="2" fillId="0" borderId="3" xfId="0" applyNumberFormat="1" applyFont="1" applyBorder="1" applyAlignment="1">
      <alignment horizontal="left" vertical="center" wrapText="1" indent="3"/>
    </xf>
    <xf numFmtId="49" fontId="2" fillId="10" borderId="3" xfId="0" applyFont="1" applyFill="1" applyBorder="1" applyAlignment="1" applyProtection="1">
      <alignment horizontal="center" vertical="center" wrapText="1"/>
      <protection locked="0"/>
    </xf>
    <xf numFmtId="0" fontId="2" fillId="7" borderId="3" xfId="0" applyNumberFormat="1" applyFont="1" applyFill="1" applyBorder="1" applyAlignment="1" applyProtection="1">
      <alignment horizontal="left" vertical="center" wrapText="1"/>
      <protection locked="0"/>
    </xf>
    <xf numFmtId="4" fontId="2" fillId="10" borderId="3" xfId="0" applyNumberFormat="1" applyFont="1" applyFill="1" applyBorder="1" applyAlignment="1" applyProtection="1">
      <alignment horizontal="right" vertical="center" wrapText="1"/>
      <protection locked="0"/>
    </xf>
    <xf numFmtId="4" fontId="2" fillId="5" borderId="3" xfId="0" applyNumberFormat="1" applyFont="1" applyFill="1" applyBorder="1" applyAlignment="1">
      <alignment horizontal="right" vertical="center" wrapText="1"/>
    </xf>
    <xf numFmtId="0" fontId="2" fillId="0" borderId="3" xfId="0" applyNumberFormat="1" applyFont="1" applyBorder="1" applyAlignment="1">
      <alignment horizontal="left" vertical="center" wrapText="1" indent="1"/>
    </xf>
    <xf numFmtId="49" fontId="46" fillId="0" borderId="0" xfId="0" applyFont="1" applyAlignment="1">
      <alignment horizontal="center" vertical="center" wrapText="1"/>
    </xf>
    <xf numFmtId="49" fontId="46" fillId="0" borderId="20" xfId="0" applyFont="1" applyBorder="1" applyAlignment="1">
      <alignment horizontal="center" vertical="center" wrapText="1"/>
    </xf>
    <xf numFmtId="0" fontId="46" fillId="0" borderId="3" xfId="0" applyNumberFormat="1" applyFont="1" applyBorder="1" applyAlignment="1">
      <alignment horizontal="left" vertical="center" wrapText="1" indent="2"/>
    </xf>
    <xf numFmtId="0" fontId="46" fillId="0" borderId="3" xfId="0" applyNumberFormat="1" applyFont="1" applyBorder="1" applyAlignment="1">
      <alignment horizontal="center" vertical="center" wrapText="1"/>
    </xf>
    <xf numFmtId="0" fontId="46" fillId="0" borderId="3" xfId="0" applyNumberFormat="1" applyFont="1" applyBorder="1" applyAlignment="1">
      <alignment vertical="center" wrapText="1"/>
    </xf>
    <xf numFmtId="0" fontId="58" fillId="0" borderId="0" xfId="0" applyNumberFormat="1" applyFont="1" applyAlignment="1">
      <alignment vertical="center" wrapText="1"/>
    </xf>
    <xf numFmtId="0" fontId="46" fillId="0" borderId="20"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3"/>
    </xf>
    <xf numFmtId="4" fontId="46" fillId="0" borderId="3" xfId="0" applyNumberFormat="1" applyFont="1" applyBorder="1" applyAlignment="1">
      <alignment horizontal="right" vertical="center" wrapText="1"/>
    </xf>
    <xf numFmtId="49" fontId="2" fillId="8" borderId="5" xfId="0" applyFont="1" applyFill="1" applyBorder="1" applyAlignment="1">
      <alignment vertical="center" wrapText="1"/>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4" fontId="2" fillId="0" borderId="0" xfId="0" applyNumberFormat="1" applyFont="1" applyAlignment="1">
      <alignment horizontal="center" vertical="center" wrapText="1"/>
    </xf>
    <xf numFmtId="49" fontId="22" fillId="0" borderId="0" xfId="0" applyFont="1" applyAlignment="1">
      <alignment horizontal="center" vertical="center"/>
    </xf>
    <xf numFmtId="0" fontId="2" fillId="0" borderId="3" xfId="0" applyNumberFormat="1" applyFont="1" applyBorder="1" applyAlignment="1">
      <alignment horizontal="left" vertical="center" wrapText="1" indent="2"/>
    </xf>
    <xf numFmtId="170"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center" vertical="center" wrapText="1"/>
    </xf>
    <xf numFmtId="4" fontId="2" fillId="5" borderId="8" xfId="0" applyNumberFormat="1" applyFont="1" applyFill="1" applyBorder="1" applyAlignment="1">
      <alignment horizontal="right" vertical="center" wrapText="1"/>
    </xf>
    <xf numFmtId="0" fontId="2" fillId="0" borderId="0" xfId="0" applyNumberFormat="1" applyFont="1" applyAlignment="1">
      <alignment horizontal="left" vertical="center" wrapText="1"/>
    </xf>
    <xf numFmtId="0" fontId="59" fillId="0" borderId="0" xfId="0" applyNumberFormat="1" applyFont="1" applyAlignment="1">
      <alignment vertical="center"/>
    </xf>
    <xf numFmtId="49" fontId="7" fillId="0" borderId="0" xfId="0" applyFont="1" applyAlignment="1">
      <alignment horizontal="center" vertical="center" wrapText="1"/>
    </xf>
    <xf numFmtId="49" fontId="7" fillId="0" borderId="3" xfId="0" applyFont="1" applyBorder="1" applyAlignment="1">
      <alignment horizontal="center" vertical="center" wrapText="1"/>
    </xf>
    <xf numFmtId="0" fontId="20" fillId="0" borderId="0" xfId="0" applyNumberFormat="1" applyFont="1" applyAlignment="1">
      <alignment horizontal="center" vertical="center"/>
    </xf>
    <xf numFmtId="0" fontId="2" fillId="8" borderId="5" xfId="0" applyNumberFormat="1" applyFont="1" applyFill="1" applyBorder="1" applyAlignment="1">
      <alignment horizontal="center" vertical="center" wrapText="1"/>
    </xf>
    <xf numFmtId="0" fontId="0" fillId="8" borderId="4" xfId="0" applyNumberFormat="1" applyFill="1" applyBorder="1" applyAlignment="1">
      <alignment vertical="center"/>
    </xf>
    <xf numFmtId="49" fontId="2" fillId="0" borderId="8" xfId="0" applyFont="1" applyBorder="1" applyAlignment="1">
      <alignment horizontal="center" vertical="center" wrapText="1"/>
    </xf>
    <xf numFmtId="49" fontId="48" fillId="0" borderId="3" xfId="0" applyFont="1" applyBorder="1" applyAlignment="1">
      <alignment horizontal="left" vertical="center" wrapText="1" indent="1"/>
    </xf>
    <xf numFmtId="0" fontId="47" fillId="0" borderId="0" xfId="0" applyNumberFormat="1" applyFont="1" applyAlignment="1">
      <alignment vertical="center"/>
    </xf>
    <xf numFmtId="49" fontId="12" fillId="8" borderId="4" xfId="0" applyFont="1" applyFill="1" applyBorder="1" applyAlignment="1">
      <alignment horizontal="left" vertical="center" indent="1"/>
    </xf>
    <xf numFmtId="49" fontId="22" fillId="8" borderId="4" xfId="0" applyFont="1" applyFill="1" applyBorder="1" applyAlignment="1">
      <alignment horizontal="right" vertical="center" wrapText="1"/>
    </xf>
    <xf numFmtId="0" fontId="48" fillId="13" borderId="0" xfId="0" applyNumberFormat="1" applyFont="1" applyFill="1">
      <alignment vertical="top"/>
    </xf>
    <xf numFmtId="49" fontId="3" fillId="0" borderId="0" xfId="0" applyFont="1" applyAlignment="1">
      <alignment horizontal="center" vertical="center" wrapText="1"/>
    </xf>
    <xf numFmtId="0" fontId="22" fillId="0" borderId="0" xfId="0" applyNumberFormat="1" applyFont="1" applyAlignment="1">
      <alignment horizontal="center" vertical="center" wrapText="1"/>
    </xf>
    <xf numFmtId="9" fontId="22" fillId="0" borderId="0" xfId="0" applyNumberFormat="1" applyFont="1" applyAlignment="1">
      <alignment horizontal="center" vertical="center" wrapText="1"/>
    </xf>
    <xf numFmtId="49" fontId="36" fillId="0" borderId="0" xfId="0" applyFont="1" applyAlignment="1">
      <alignment horizontal="center" vertical="center" wrapText="1"/>
    </xf>
    <xf numFmtId="0" fontId="19" fillId="0" borderId="0" xfId="0" applyNumberFormat="1" applyFont="1">
      <alignment vertical="top"/>
    </xf>
    <xf numFmtId="0" fontId="47" fillId="0" borderId="0" xfId="0" applyNumberFormat="1" applyFont="1">
      <alignment vertical="top"/>
    </xf>
    <xf numFmtId="0" fontId="60" fillId="0" borderId="0" xfId="0" applyNumberFormat="1" applyFont="1">
      <alignment vertical="top"/>
    </xf>
    <xf numFmtId="0" fontId="20" fillId="0" borderId="3" xfId="0" applyNumberFormat="1" applyFont="1" applyBorder="1" applyAlignment="1">
      <alignment horizontal="left" vertical="center" wrapText="1"/>
    </xf>
    <xf numFmtId="49" fontId="0" fillId="0" borderId="4" xfId="0" applyBorder="1" applyAlignment="1">
      <alignment horizontal="center" vertical="center" wrapText="1"/>
    </xf>
    <xf numFmtId="4" fontId="0" fillId="5" borderId="3" xfId="0" applyNumberFormat="1" applyFill="1" applyBorder="1" applyAlignment="1">
      <alignment horizontal="right" vertical="center" wrapText="1"/>
    </xf>
    <xf numFmtId="49" fontId="0" fillId="0" borderId="21" xfId="0" applyBorder="1" applyAlignment="1">
      <alignment horizontal="center" vertical="center" wrapText="1"/>
    </xf>
    <xf numFmtId="49" fontId="0" fillId="10" borderId="3" xfId="0" applyFill="1" applyBorder="1" applyAlignment="1" applyProtection="1">
      <alignment horizontal="center" vertical="center" wrapText="1"/>
      <protection locked="0"/>
    </xf>
    <xf numFmtId="4" fontId="19" fillId="0" borderId="3" xfId="0" applyNumberFormat="1" applyFont="1" applyBorder="1" applyAlignment="1">
      <alignment horizontal="right" vertical="center" wrapText="1"/>
    </xf>
    <xf numFmtId="49" fontId="0" fillId="8" borderId="18" xfId="0" applyFill="1" applyBorder="1" applyAlignment="1">
      <alignment horizontal="center" vertical="center"/>
    </xf>
    <xf numFmtId="49" fontId="0" fillId="8" borderId="6" xfId="0" applyFill="1" applyBorder="1" applyAlignment="1">
      <alignment horizontal="center" vertical="center"/>
    </xf>
    <xf numFmtId="0" fontId="12" fillId="0" borderId="3" xfId="0" applyNumberFormat="1" applyFont="1" applyBorder="1" applyAlignment="1">
      <alignment horizontal="left" vertical="center" indent="1"/>
    </xf>
    <xf numFmtId="0" fontId="17" fillId="0" borderId="0" xfId="0" applyNumberFormat="1" applyFont="1" applyAlignment="1">
      <alignment horizontal="right" vertical="top" wrapText="1"/>
    </xf>
    <xf numFmtId="0" fontId="2" fillId="0" borderId="0" xfId="0" applyNumberFormat="1" applyFont="1" applyAlignment="1">
      <alignment horizontal="left" vertical="top" wrapText="1"/>
    </xf>
    <xf numFmtId="4" fontId="2" fillId="0" borderId="3" xfId="0" applyNumberFormat="1" applyFont="1" applyBorder="1" applyAlignment="1">
      <alignment horizontal="center" vertical="center" wrapText="1"/>
    </xf>
    <xf numFmtId="49" fontId="26" fillId="7" borderId="5" xfId="0" applyFont="1" applyFill="1" applyBorder="1" applyAlignment="1" applyProtection="1">
      <alignment horizontal="left" vertical="center" wrapText="1"/>
      <protection locked="0"/>
    </xf>
    <xf numFmtId="0" fontId="17" fillId="0" borderId="0" xfId="0" applyNumberFormat="1" applyFont="1">
      <alignment vertical="top"/>
    </xf>
    <xf numFmtId="49" fontId="2" fillId="0" borderId="22" xfId="0" applyFont="1" applyBorder="1" applyAlignment="1">
      <alignment horizontal="center" vertical="center" wrapText="1"/>
    </xf>
    <xf numFmtId="0" fontId="2" fillId="0" borderId="22" xfId="0" applyNumberFormat="1" applyFont="1" applyBorder="1" applyAlignment="1">
      <alignment horizontal="left" vertical="center" wrapText="1"/>
    </xf>
    <xf numFmtId="0" fontId="2" fillId="0" borderId="22" xfId="0" applyNumberFormat="1" applyFont="1" applyBorder="1" applyAlignment="1">
      <alignment horizontal="left" vertical="center" wrapText="1" indent="1"/>
    </xf>
    <xf numFmtId="4" fontId="2" fillId="10" borderId="22" xfId="0" applyNumberFormat="1" applyFont="1" applyFill="1" applyBorder="1" applyAlignment="1" applyProtection="1">
      <alignment horizontal="right" vertical="center" wrapText="1"/>
      <protection locked="0"/>
    </xf>
    <xf numFmtId="49" fontId="2" fillId="0" borderId="23" xfId="0" applyFont="1" applyBorder="1" applyAlignment="1">
      <alignment horizontal="center" vertical="center" wrapText="1"/>
    </xf>
    <xf numFmtId="0" fontId="2" fillId="0" borderId="22" xfId="0" applyNumberFormat="1" applyFont="1" applyBorder="1" applyAlignment="1">
      <alignment horizontal="left" vertical="center" wrapText="1" indent="2"/>
    </xf>
    <xf numFmtId="49" fontId="2" fillId="0" borderId="0" xfId="0" applyFont="1" applyAlignment="1">
      <alignment horizontal="left" vertical="center" wrapText="1"/>
    </xf>
    <xf numFmtId="3" fontId="2" fillId="0" borderId="5" xfId="0" applyNumberFormat="1" applyFont="1" applyBorder="1" applyAlignment="1">
      <alignment vertical="center" wrapText="1"/>
    </xf>
    <xf numFmtId="0" fontId="2" fillId="0" borderId="4" xfId="0" applyNumberFormat="1" applyFont="1" applyBorder="1" applyAlignment="1">
      <alignment vertical="center" wrapText="1"/>
    </xf>
    <xf numFmtId="4" fontId="2" fillId="7" borderId="5" xfId="0" applyNumberFormat="1" applyFont="1" applyFill="1" applyBorder="1" applyAlignment="1" applyProtection="1">
      <alignment horizontal="right" vertical="center" wrapText="1"/>
      <protection locked="0"/>
    </xf>
    <xf numFmtId="4" fontId="2" fillId="0" borderId="5" xfId="0" applyNumberFormat="1" applyFont="1" applyBorder="1" applyAlignment="1">
      <alignment horizontal="right" vertical="center" wrapText="1"/>
    </xf>
    <xf numFmtId="4" fontId="2" fillId="0" borderId="18" xfId="0" applyNumberFormat="1" applyFont="1" applyBorder="1" applyAlignment="1">
      <alignment horizontal="right" vertical="center" wrapText="1"/>
    </xf>
    <xf numFmtId="0" fontId="2" fillId="0" borderId="5" xfId="0" applyNumberFormat="1" applyFont="1" applyBorder="1" applyAlignment="1">
      <alignment horizontal="center" vertical="center" wrapText="1"/>
    </xf>
    <xf numFmtId="3" fontId="2" fillId="10" borderId="5" xfId="0" applyNumberFormat="1" applyFont="1" applyFill="1" applyBorder="1" applyAlignment="1" applyProtection="1">
      <alignment vertical="center" wrapText="1"/>
      <protection locked="0"/>
    </xf>
    <xf numFmtId="49" fontId="2" fillId="7" borderId="5" xfId="0" applyFont="1" applyFill="1" applyBorder="1" applyAlignment="1" applyProtection="1">
      <alignment horizontal="left" vertical="center" wrapText="1"/>
      <protection locked="0"/>
    </xf>
    <xf numFmtId="4" fontId="2" fillId="5" borderId="5" xfId="0" applyNumberFormat="1" applyFont="1" applyFill="1" applyBorder="1" applyAlignment="1">
      <alignment horizontal="right" vertical="center" wrapText="1"/>
    </xf>
    <xf numFmtId="0" fontId="0" fillId="0" borderId="5" xfId="0" applyNumberFormat="1" applyBorder="1" applyAlignment="1">
      <alignment horizontal="center" vertical="center"/>
    </xf>
    <xf numFmtId="49" fontId="0" fillId="0" borderId="3" xfId="0" applyBorder="1" applyAlignment="1">
      <alignment horizontal="left" vertical="center" wrapText="1" indent="1"/>
    </xf>
    <xf numFmtId="0" fontId="2" fillId="0" borderId="4" xfId="0" applyNumberFormat="1" applyFont="1" applyBorder="1" applyAlignment="1">
      <alignment horizontal="center" vertical="center" wrapText="1"/>
    </xf>
    <xf numFmtId="49" fontId="0" fillId="0" borderId="5" xfId="0" applyBorder="1" applyAlignment="1">
      <alignment horizontal="center" vertical="center"/>
    </xf>
    <xf numFmtId="0" fontId="2" fillId="8" borderId="10" xfId="0" applyNumberFormat="1" applyFont="1" applyFill="1" applyBorder="1" applyAlignment="1">
      <alignment vertical="center" wrapText="1"/>
    </xf>
    <xf numFmtId="0" fontId="2" fillId="0" borderId="6" xfId="0" applyNumberFormat="1" applyFont="1" applyBorder="1" applyAlignment="1">
      <alignment horizontal="center" vertical="center" wrapText="1"/>
    </xf>
    <xf numFmtId="0" fontId="2" fillId="8" borderId="19" xfId="0" applyNumberFormat="1" applyFont="1" applyFill="1" applyBorder="1" applyAlignment="1">
      <alignment vertical="center" wrapText="1"/>
    </xf>
    <xf numFmtId="49" fontId="2" fillId="10" borderId="5" xfId="0" applyFont="1" applyFill="1" applyBorder="1" applyAlignment="1" applyProtection="1">
      <alignment horizontal="left" vertical="center" wrapText="1"/>
      <protection locked="0"/>
    </xf>
    <xf numFmtId="49" fontId="0" fillId="7" borderId="3" xfId="0" applyFill="1" applyBorder="1" applyAlignment="1" applyProtection="1">
      <alignment horizontal="left" vertical="center" wrapText="1"/>
      <protection locked="0"/>
    </xf>
    <xf numFmtId="0" fontId="18" fillId="0" borderId="0" xfId="0" applyNumberFormat="1" applyFont="1" applyAlignment="1">
      <alignment horizontal="left" vertical="center" wrapText="1" indent="1"/>
    </xf>
    <xf numFmtId="0" fontId="61" fillId="0" borderId="0" xfId="0" applyNumberFormat="1" applyFont="1" applyAlignment="1">
      <alignment vertical="center" wrapText="1"/>
    </xf>
    <xf numFmtId="0" fontId="61" fillId="6" borderId="0" xfId="0" applyNumberFormat="1" applyFont="1" applyFill="1" applyAlignment="1">
      <alignment horizontal="center" vertical="center" wrapText="1"/>
    </xf>
    <xf numFmtId="0" fontId="61" fillId="6" borderId="0" xfId="0" applyNumberFormat="1" applyFont="1" applyFill="1" applyAlignment="1">
      <alignment horizontal="right" vertical="center" wrapText="1"/>
    </xf>
    <xf numFmtId="0" fontId="19" fillId="0" borderId="0" xfId="0" applyNumberFormat="1" applyFont="1" applyAlignment="1">
      <alignment horizontal="center" vertical="top"/>
    </xf>
    <xf numFmtId="49" fontId="2" fillId="11" borderId="3" xfId="0" applyFont="1" applyFill="1" applyBorder="1" applyAlignment="1">
      <alignment horizontal="left" vertical="center" wrapText="1" indent="1"/>
    </xf>
    <xf numFmtId="0" fontId="2" fillId="0" borderId="5" xfId="0" applyNumberFormat="1" applyFont="1" applyBorder="1" applyAlignment="1">
      <alignment vertical="center" wrapText="1"/>
    </xf>
    <xf numFmtId="0" fontId="2" fillId="0" borderId="0" xfId="0" applyNumberFormat="1" applyFont="1" applyAlignment="1">
      <alignment horizontal="right" vertical="center"/>
    </xf>
    <xf numFmtId="49" fontId="26" fillId="8" borderId="4" xfId="0" applyFont="1" applyFill="1" applyBorder="1" applyAlignment="1">
      <alignment horizontal="left" vertical="center" wrapText="1"/>
    </xf>
    <xf numFmtId="0" fontId="62" fillId="0" borderId="0" xfId="0" applyNumberFormat="1" applyFont="1" applyAlignment="1">
      <alignment vertical="center"/>
    </xf>
    <xf numFmtId="0" fontId="63" fillId="0" borderId="0" xfId="0" applyNumberFormat="1" applyFont="1" applyAlignment="1">
      <alignment vertical="center"/>
    </xf>
    <xf numFmtId="49" fontId="20" fillId="0" borderId="13" xfId="0" applyFont="1" applyBorder="1">
      <alignment vertical="top"/>
    </xf>
    <xf numFmtId="0" fontId="20" fillId="0" borderId="13" xfId="0" applyNumberFormat="1" applyFont="1" applyBorder="1" applyAlignment="1">
      <alignment vertical="center" wrapText="1"/>
    </xf>
    <xf numFmtId="0" fontId="2" fillId="0" borderId="4" xfId="0" applyNumberFormat="1" applyFont="1" applyBorder="1" applyAlignment="1">
      <alignment horizontal="left" vertical="center" wrapText="1" indent="1"/>
    </xf>
    <xf numFmtId="0" fontId="45" fillId="0" borderId="13" xfId="0" applyNumberFormat="1" applyFont="1" applyBorder="1" applyAlignment="1">
      <alignment vertical="center" wrapText="1"/>
    </xf>
    <xf numFmtId="4" fontId="2" fillId="0" borderId="22" xfId="0" applyNumberFormat="1" applyFont="1" applyBorder="1" applyAlignment="1">
      <alignment horizontal="center" vertical="center" wrapText="1"/>
    </xf>
    <xf numFmtId="0" fontId="2" fillId="0" borderId="24" xfId="0" applyNumberFormat="1" applyFont="1" applyBorder="1" applyAlignment="1">
      <alignment horizontal="left" vertical="center" wrapText="1"/>
    </xf>
    <xf numFmtId="0" fontId="2" fillId="0" borderId="24" xfId="0" applyNumberFormat="1" applyFont="1" applyBorder="1" applyAlignment="1">
      <alignment horizontal="left" vertical="center" wrapText="1" indent="1"/>
    </xf>
    <xf numFmtId="4" fontId="2" fillId="10" borderId="24" xfId="0" applyNumberFormat="1" applyFont="1" applyFill="1" applyBorder="1" applyAlignment="1" applyProtection="1">
      <alignment horizontal="right" vertical="center" wrapText="1"/>
      <protection locked="0"/>
    </xf>
    <xf numFmtId="4" fontId="2" fillId="0" borderId="24" xfId="0" applyNumberFormat="1" applyFont="1" applyBorder="1" applyAlignment="1">
      <alignment horizontal="center" vertical="center" wrapText="1"/>
    </xf>
    <xf numFmtId="49" fontId="2" fillId="0" borderId="25" xfId="0" applyFont="1" applyBorder="1" applyAlignment="1">
      <alignment horizontal="center" vertical="center" wrapText="1"/>
    </xf>
    <xf numFmtId="4" fontId="2" fillId="10" borderId="5" xfId="0" applyNumberFormat="1" applyFont="1" applyFill="1" applyBorder="1" applyAlignment="1" applyProtection="1">
      <alignment horizontal="right" vertical="center" wrapText="1"/>
      <protection locked="0"/>
    </xf>
    <xf numFmtId="4" fontId="2" fillId="10" borderId="25" xfId="0" applyNumberFormat="1" applyFont="1" applyFill="1" applyBorder="1" applyAlignment="1" applyProtection="1">
      <alignment horizontal="right" vertical="center" wrapText="1"/>
      <protection locked="0"/>
    </xf>
    <xf numFmtId="0" fontId="19" fillId="0" borderId="0" xfId="0" applyNumberFormat="1" applyFont="1" applyAlignment="1">
      <alignment horizontal="left" vertical="center" wrapText="1"/>
    </xf>
    <xf numFmtId="0" fontId="27" fillId="0" borderId="0" xfId="0" applyNumberFormat="1" applyFont="1" applyAlignment="1">
      <alignment horizontal="left" vertical="center" wrapText="1"/>
    </xf>
    <xf numFmtId="4" fontId="2" fillId="0" borderId="26" xfId="0" applyNumberFormat="1" applyFont="1" applyBorder="1" applyAlignment="1">
      <alignment horizontal="center" vertical="center" wrapText="1"/>
    </xf>
    <xf numFmtId="4" fontId="2" fillId="10" borderId="26" xfId="0" applyNumberFormat="1" applyFont="1" applyFill="1" applyBorder="1" applyAlignment="1" applyProtection="1">
      <alignment horizontal="right" vertical="center" wrapText="1"/>
      <protection locked="0"/>
    </xf>
    <xf numFmtId="4" fontId="2" fillId="10" borderId="14" xfId="0" applyNumberFormat="1" applyFont="1" applyFill="1" applyBorder="1" applyAlignment="1" applyProtection="1">
      <alignment horizontal="right" vertical="center" wrapText="1"/>
      <protection locked="0"/>
    </xf>
    <xf numFmtId="49" fontId="2" fillId="0" borderId="24" xfId="0" applyFont="1" applyBorder="1" applyAlignment="1">
      <alignment horizontal="center" vertical="center" wrapText="1"/>
    </xf>
    <xf numFmtId="0" fontId="2" fillId="0" borderId="26" xfId="0" applyNumberFormat="1" applyFont="1" applyBorder="1" applyAlignment="1">
      <alignment horizontal="left" vertical="center" wrapText="1"/>
    </xf>
    <xf numFmtId="0" fontId="2" fillId="0" borderId="11" xfId="0" applyNumberFormat="1" applyFont="1" applyBorder="1" applyAlignment="1">
      <alignment vertical="center" wrapText="1"/>
    </xf>
    <xf numFmtId="170" fontId="2" fillId="5" borderId="3" xfId="0" applyNumberFormat="1" applyFont="1" applyFill="1" applyBorder="1" applyAlignment="1">
      <alignment horizontal="right" vertical="center" wrapText="1"/>
    </xf>
    <xf numFmtId="49" fontId="64" fillId="10" borderId="3" xfId="0" applyFont="1" applyFill="1" applyBorder="1" applyAlignment="1" applyProtection="1">
      <alignment horizontal="left" vertical="center" wrapText="1" indent="1"/>
      <protection locked="0"/>
    </xf>
    <xf numFmtId="0" fontId="43" fillId="6" borderId="0" xfId="0" applyNumberFormat="1" applyFont="1" applyFill="1" applyAlignment="1">
      <alignment horizontal="right" vertical="center"/>
    </xf>
    <xf numFmtId="49" fontId="0" fillId="0" borderId="3" xfId="0" applyBorder="1">
      <alignment vertical="top"/>
    </xf>
    <xf numFmtId="49" fontId="0" fillId="4" borderId="3" xfId="0" applyFill="1" applyBorder="1">
      <alignment vertical="top"/>
    </xf>
    <xf numFmtId="49" fontId="0" fillId="4" borderId="8" xfId="0" applyFill="1" applyBorder="1">
      <alignment vertical="top"/>
    </xf>
    <xf numFmtId="49" fontId="0" fillId="14" borderId="8" xfId="0" applyFill="1" applyBorder="1">
      <alignment vertical="top"/>
    </xf>
    <xf numFmtId="49" fontId="0" fillId="0" borderId="5" xfId="0" applyBorder="1">
      <alignment vertical="top"/>
    </xf>
    <xf numFmtId="49" fontId="0" fillId="0" borderId="5" xfId="0" applyBorder="1" applyAlignment="1">
      <alignment horizontal="center" vertical="top"/>
    </xf>
    <xf numFmtId="49" fontId="0" fillId="0" borderId="6" xfId="0" applyBorder="1" applyAlignment="1">
      <alignment horizontal="center" vertical="top"/>
    </xf>
    <xf numFmtId="49" fontId="0" fillId="3" borderId="3" xfId="0" applyFill="1" applyBorder="1">
      <alignment vertical="top"/>
    </xf>
    <xf numFmtId="49" fontId="0" fillId="15" borderId="3" xfId="0" applyFill="1" applyBorder="1">
      <alignment vertical="top"/>
    </xf>
    <xf numFmtId="49" fontId="0" fillId="2" borderId="3" xfId="0" applyFill="1" applyBorder="1">
      <alignment vertical="top"/>
    </xf>
    <xf numFmtId="0" fontId="22" fillId="6" borderId="0" xfId="0" applyNumberFormat="1" applyFont="1" applyFill="1" applyAlignment="1">
      <alignment vertical="center" wrapText="1"/>
    </xf>
    <xf numFmtId="0" fontId="26" fillId="0" borderId="0" xfId="0" applyNumberFormat="1" applyFont="1" applyAlignment="1">
      <alignment horizontal="left" vertical="center" indent="1"/>
    </xf>
    <xf numFmtId="0" fontId="0" fillId="6" borderId="0" xfId="0" applyNumberFormat="1" applyFill="1" applyAlignment="1">
      <alignment horizontal="right" vertical="center" wrapText="1" indent="1"/>
    </xf>
    <xf numFmtId="0" fontId="0" fillId="6" borderId="0" xfId="0" applyNumberFormat="1" applyFill="1" applyAlignment="1">
      <alignment horizontal="left" vertical="center" wrapText="1" indent="1"/>
    </xf>
    <xf numFmtId="14" fontId="2" fillId="6" borderId="0" xfId="0" applyNumberFormat="1" applyFont="1" applyFill="1" applyAlignment="1">
      <alignment horizontal="center" vertical="center" wrapText="1"/>
    </xf>
    <xf numFmtId="168" fontId="2" fillId="0" borderId="5" xfId="0" applyNumberFormat="1" applyFont="1" applyBorder="1" applyAlignment="1">
      <alignment horizontal="center" vertical="center" wrapText="1"/>
    </xf>
    <xf numFmtId="0" fontId="2" fillId="0" borderId="14" xfId="0" applyNumberFormat="1" applyFont="1" applyBorder="1" applyAlignment="1">
      <alignment horizontal="center" vertical="center" wrapText="1"/>
    </xf>
    <xf numFmtId="49" fontId="0" fillId="16" borderId="3" xfId="0" applyFill="1" applyBorder="1">
      <alignment vertical="top"/>
    </xf>
    <xf numFmtId="0" fontId="65" fillId="0" borderId="0" xfId="0" applyNumberFormat="1" applyFont="1" applyAlignment="1">
      <alignment horizontal="left" vertical="center" wrapText="1"/>
    </xf>
    <xf numFmtId="14" fontId="65" fillId="6" borderId="0" xfId="0" applyNumberFormat="1" applyFont="1" applyFill="1" applyAlignment="1">
      <alignment horizontal="left" vertical="center" wrapText="1"/>
    </xf>
    <xf numFmtId="14" fontId="66" fillId="0" borderId="0" xfId="0" applyNumberFormat="1" applyFont="1" applyAlignment="1">
      <alignment horizontal="center" vertical="center" wrapText="1"/>
    </xf>
    <xf numFmtId="14" fontId="67" fillId="0" borderId="3" xfId="0" applyNumberFormat="1" applyFont="1" applyBorder="1" applyAlignment="1">
      <alignment horizontal="left" vertical="center" wrapText="1"/>
    </xf>
    <xf numFmtId="49" fontId="2" fillId="8" borderId="10" xfId="0" applyFont="1" applyFill="1" applyBorder="1" applyAlignment="1">
      <alignment horizontal="center" vertical="center" wrapText="1"/>
    </xf>
    <xf numFmtId="49" fontId="2" fillId="5" borderId="14" xfId="0" applyFont="1" applyFill="1" applyBorder="1" applyAlignment="1">
      <alignment horizontal="center" vertical="center" wrapText="1"/>
    </xf>
    <xf numFmtId="49" fontId="19" fillId="0" borderId="3" xfId="0" applyFont="1" applyBorder="1" applyAlignment="1">
      <alignment horizontal="left" vertical="center" wrapText="1"/>
    </xf>
    <xf numFmtId="14" fontId="2" fillId="11" borderId="14" xfId="0" applyNumberFormat="1" applyFont="1" applyFill="1" applyBorder="1" applyAlignment="1">
      <alignment horizontal="left" vertical="center" wrapText="1" indent="1"/>
    </xf>
    <xf numFmtId="49" fontId="2" fillId="8" borderId="5" xfId="0" applyFont="1" applyFill="1" applyBorder="1" applyAlignment="1">
      <alignment horizontal="right" vertical="center" wrapText="1"/>
    </xf>
    <xf numFmtId="0" fontId="20" fillId="0" borderId="14" xfId="0" applyNumberFormat="1" applyFont="1" applyBorder="1" applyAlignment="1">
      <alignment horizontal="center" vertical="center" wrapText="1"/>
    </xf>
    <xf numFmtId="49" fontId="2" fillId="0" borderId="4" xfId="0" applyFont="1" applyBorder="1" applyAlignment="1">
      <alignment horizontal="center" vertical="top"/>
    </xf>
    <xf numFmtId="49" fontId="2" fillId="0" borderId="3" xfId="0" applyFont="1" applyBorder="1" applyAlignment="1">
      <alignment horizontal="center" vertical="top"/>
    </xf>
    <xf numFmtId="49" fontId="2" fillId="0" borderId="5" xfId="0" applyFont="1" applyBorder="1" applyAlignment="1">
      <alignment horizontal="center" vertical="top"/>
    </xf>
    <xf numFmtId="0" fontId="7" fillId="0" borderId="15" xfId="0" applyNumberFormat="1" applyFont="1" applyBorder="1" applyAlignment="1">
      <alignment vertical="top" wrapText="1"/>
    </xf>
    <xf numFmtId="0" fontId="7" fillId="0" borderId="0" xfId="0" applyNumberFormat="1" applyFont="1" applyAlignment="1">
      <alignment vertical="top" wrapText="1"/>
    </xf>
    <xf numFmtId="0" fontId="19" fillId="0" borderId="14" xfId="0" applyNumberFormat="1" applyFont="1" applyBorder="1" applyAlignment="1">
      <alignment horizontal="center" vertical="center" wrapText="1"/>
    </xf>
    <xf numFmtId="0" fontId="20" fillId="0" borderId="3" xfId="0" applyNumberFormat="1" applyFont="1" applyBorder="1" applyAlignment="1">
      <alignment horizontal="center" vertical="center"/>
    </xf>
    <xf numFmtId="49" fontId="48" fillId="10" borderId="3" xfId="0" applyFont="1" applyFill="1" applyBorder="1" applyAlignment="1" applyProtection="1">
      <alignment horizontal="left" vertical="center" wrapText="1" indent="1"/>
      <protection locked="0"/>
    </xf>
    <xf numFmtId="0" fontId="19" fillId="0" borderId="13" xfId="0" applyNumberFormat="1" applyFont="1" applyBorder="1" applyAlignment="1">
      <alignment vertical="center"/>
    </xf>
    <xf numFmtId="0" fontId="2" fillId="5" borderId="5" xfId="0" applyNumberFormat="1" applyFont="1" applyFill="1" applyBorder="1" applyAlignment="1">
      <alignment horizontal="left" vertical="top" wrapText="1" indent="1"/>
    </xf>
    <xf numFmtId="3" fontId="2" fillId="7" borderId="5" xfId="0" applyNumberFormat="1" applyFont="1" applyFill="1" applyBorder="1" applyAlignment="1" applyProtection="1">
      <alignment horizontal="right" vertical="center" wrapText="1"/>
      <protection locked="0"/>
    </xf>
    <xf numFmtId="0" fontId="26" fillId="0" borderId="0" xfId="0" applyNumberFormat="1" applyFont="1" applyAlignment="1">
      <alignment vertical="center" wrapText="1"/>
    </xf>
    <xf numFmtId="0" fontId="0" fillId="0" borderId="11" xfId="0" applyNumberFormat="1" applyBorder="1" applyAlignment="1">
      <alignment horizontal="center" vertical="center" wrapText="1"/>
    </xf>
    <xf numFmtId="0" fontId="0" fillId="0" borderId="21" xfId="0" applyNumberFormat="1" applyBorder="1" applyAlignment="1">
      <alignment horizontal="center" vertical="center"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54" fillId="0" borderId="8" xfId="0" applyNumberFormat="1" applyFont="1" applyBorder="1" applyAlignment="1">
      <alignment horizontal="center" vertical="center" wrapText="1"/>
    </xf>
    <xf numFmtId="0" fontId="68" fillId="0" borderId="0" xfId="0" applyNumberFormat="1" applyFont="1" applyAlignment="1">
      <alignment vertical="center" wrapText="1"/>
    </xf>
    <xf numFmtId="49" fontId="69" fillId="0" borderId="0" xfId="0" applyFont="1" applyAlignment="1">
      <alignment horizontal="center" vertical="top" wrapText="1"/>
    </xf>
    <xf numFmtId="49" fontId="69" fillId="0" borderId="0" xfId="0" applyFont="1" applyAlignment="1">
      <alignment vertical="top" wrapText="1"/>
    </xf>
    <xf numFmtId="49" fontId="65" fillId="12" borderId="3" xfId="0" applyFont="1" applyFill="1" applyBorder="1" applyAlignment="1">
      <alignment horizontal="center" vertical="top" wrapText="1"/>
    </xf>
    <xf numFmtId="49" fontId="69" fillId="0" borderId="0" xfId="0" applyFont="1" applyAlignment="1">
      <alignment horizontal="left" vertical="top" wrapText="1"/>
    </xf>
    <xf numFmtId="49" fontId="69" fillId="0" borderId="3" xfId="0" applyFont="1" applyBorder="1" applyAlignment="1">
      <alignment horizontal="left" vertical="top" wrapText="1"/>
    </xf>
    <xf numFmtId="0" fontId="69" fillId="0" borderId="3" xfId="0" applyNumberFormat="1" applyFont="1" applyBorder="1" applyAlignment="1">
      <alignment horizontal="left" vertical="top" wrapText="1"/>
    </xf>
    <xf numFmtId="0" fontId="69" fillId="12" borderId="3" xfId="0" applyNumberFormat="1" applyFont="1" applyFill="1" applyBorder="1" applyAlignment="1">
      <alignment horizontal="right" vertical="center" wrapText="1"/>
    </xf>
    <xf numFmtId="49" fontId="69" fillId="0" borderId="3" xfId="0" applyFont="1" applyBorder="1" applyAlignment="1">
      <alignment vertical="top" wrapText="1"/>
    </xf>
    <xf numFmtId="0" fontId="69" fillId="0" borderId="8" xfId="0" applyNumberFormat="1" applyFont="1" applyBorder="1" applyAlignment="1">
      <alignment horizontal="left" vertical="top" wrapText="1"/>
    </xf>
    <xf numFmtId="0" fontId="69" fillId="0" borderId="4" xfId="0" applyNumberFormat="1" applyFont="1" applyBorder="1" applyAlignment="1">
      <alignment horizontal="left" vertical="top" wrapText="1"/>
    </xf>
    <xf numFmtId="0" fontId="69" fillId="0" borderId="3" xfId="0" applyNumberFormat="1" applyFont="1" applyBorder="1" applyAlignment="1">
      <alignment vertical="top" wrapText="1"/>
    </xf>
    <xf numFmtId="0" fontId="65" fillId="12" borderId="3" xfId="0" applyNumberFormat="1" applyFont="1" applyFill="1" applyBorder="1" applyAlignment="1">
      <alignment horizontal="center" vertical="top" wrapText="1"/>
    </xf>
    <xf numFmtId="0" fontId="69" fillId="0" borderId="0" xfId="0" applyNumberFormat="1" applyFont="1" applyAlignment="1">
      <alignment vertical="top" wrapText="1"/>
    </xf>
    <xf numFmtId="0" fontId="63" fillId="0" borderId="0" xfId="0" applyNumberFormat="1" applyFont="1" applyAlignment="1">
      <alignment vertical="center" wrapText="1"/>
    </xf>
    <xf numFmtId="0" fontId="18" fillId="0" borderId="0" xfId="0" applyNumberFormat="1" applyFont="1" applyAlignment="1">
      <alignment horizontal="left" vertical="center" wrapText="1" indent="3"/>
    </xf>
    <xf numFmtId="3" fontId="0" fillId="0" borderId="4" xfId="0" applyNumberFormat="1" applyBorder="1" applyAlignment="1">
      <alignment horizontal="right" vertical="center" wrapText="1"/>
    </xf>
    <xf numFmtId="0" fontId="2" fillId="11" borderId="5" xfId="0" applyNumberFormat="1" applyFont="1" applyFill="1" applyBorder="1" applyAlignment="1">
      <alignment horizontal="left" vertical="center" wrapText="1"/>
    </xf>
    <xf numFmtId="49" fontId="7" fillId="6" borderId="3" xfId="0" applyFont="1" applyFill="1" applyBorder="1" applyAlignment="1">
      <alignment horizontal="center" vertical="center" wrapText="1"/>
    </xf>
    <xf numFmtId="49" fontId="43" fillId="8" borderId="4" xfId="0" applyFont="1" applyFill="1" applyBorder="1" applyAlignment="1">
      <alignment vertical="center"/>
    </xf>
    <xf numFmtId="49" fontId="2" fillId="6" borderId="0" xfId="0" applyFont="1" applyFill="1" applyAlignment="1">
      <alignment horizontal="center" vertical="center" wrapText="1"/>
    </xf>
    <xf numFmtId="0" fontId="2" fillId="6" borderId="0" xfId="0" applyNumberFormat="1" applyFont="1" applyFill="1" applyAlignment="1">
      <alignment horizontal="center" vertical="top" wrapText="1"/>
    </xf>
    <xf numFmtId="49" fontId="0" fillId="10" borderId="3" xfId="0" applyFill="1" applyBorder="1" applyAlignment="1" applyProtection="1">
      <alignment horizontal="left" vertical="center" wrapText="1" indent="1"/>
      <protection locked="0"/>
    </xf>
    <xf numFmtId="49" fontId="2" fillId="10" borderId="3" xfId="0" quotePrefix="1" applyFont="1" applyFill="1" applyBorder="1" applyAlignment="1" applyProtection="1">
      <alignment horizontal="left" vertical="center" wrapText="1"/>
      <protection locked="0"/>
    </xf>
    <xf numFmtId="14" fontId="2" fillId="11" borderId="14" xfId="0" applyNumberFormat="1" applyFont="1" applyFill="1" applyBorder="1" applyAlignment="1">
      <alignment horizontal="left" vertical="center" wrapText="1"/>
    </xf>
    <xf numFmtId="0" fontId="20" fillId="6" borderId="14" xfId="0" applyNumberFormat="1" applyFont="1" applyFill="1" applyBorder="1" applyAlignment="1">
      <alignment horizontal="center" vertical="center" wrapText="1"/>
    </xf>
    <xf numFmtId="0" fontId="8" fillId="6" borderId="15" xfId="0" applyNumberFormat="1" applyFont="1" applyFill="1" applyBorder="1" applyAlignment="1">
      <alignment vertical="top" wrapText="1"/>
    </xf>
    <xf numFmtId="0" fontId="8" fillId="6" borderId="0" xfId="0" applyNumberFormat="1" applyFont="1" applyFill="1" applyAlignment="1">
      <alignment vertical="top" wrapText="1"/>
    </xf>
    <xf numFmtId="14" fontId="2" fillId="11" borderId="21"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wrapText="1"/>
    </xf>
    <xf numFmtId="0" fontId="12" fillId="8" borderId="6" xfId="0" applyNumberFormat="1" applyFont="1" applyFill="1" applyBorder="1" applyAlignment="1">
      <alignment vertical="center"/>
    </xf>
    <xf numFmtId="49" fontId="19" fillId="0" borderId="0" xfId="0" applyFont="1" applyAlignment="1">
      <alignment vertical="center" wrapText="1"/>
    </xf>
    <xf numFmtId="0" fontId="70" fillId="0" borderId="0" xfId="0" applyNumberFormat="1" applyFont="1" applyAlignment="1">
      <alignment vertical="center" wrapText="1"/>
    </xf>
    <xf numFmtId="0" fontId="61" fillId="0" borderId="0" xfId="0" applyNumberFormat="1" applyFont="1" applyAlignment="1">
      <alignment horizontal="center" vertical="center" wrapText="1"/>
    </xf>
    <xf numFmtId="14" fontId="2" fillId="6" borderId="0" xfId="0" applyNumberFormat="1" applyFont="1" applyFill="1" applyAlignment="1">
      <alignment horizontal="left" vertical="center" wrapText="1"/>
    </xf>
    <xf numFmtId="49" fontId="0" fillId="3" borderId="5" xfId="0" applyFill="1" applyBorder="1">
      <alignment vertical="top"/>
    </xf>
    <xf numFmtId="49" fontId="0" fillId="0" borderId="3" xfId="0" applyBorder="1" applyAlignment="1">
      <alignment horizontal="left" vertical="center" wrapText="1"/>
    </xf>
    <xf numFmtId="0" fontId="0" fillId="10" borderId="5" xfId="0" applyNumberFormat="1" applyFill="1" applyBorder="1" applyAlignment="1" applyProtection="1">
      <alignment horizontal="left" vertical="center" wrapText="1" indent="2"/>
      <protection locked="0"/>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71" fillId="6" borderId="0" xfId="0" applyNumberFormat="1" applyFont="1" applyFill="1" applyAlignment="1">
      <alignment horizontal="right" vertical="center"/>
    </xf>
    <xf numFmtId="0" fontId="2" fillId="10" borderId="3" xfId="0" applyNumberFormat="1" applyFont="1" applyFill="1" applyBorder="1" applyAlignment="1" applyProtection="1">
      <alignment horizontal="center" vertical="center" wrapText="1"/>
      <protection locked="0"/>
    </xf>
    <xf numFmtId="49" fontId="69" fillId="0" borderId="4" xfId="0" applyFont="1" applyBorder="1" applyAlignment="1">
      <alignment horizontal="left" vertical="top" wrapText="1"/>
    </xf>
    <xf numFmtId="49" fontId="69" fillId="0" borderId="5" xfId="0" applyFont="1" applyBorder="1" applyAlignment="1">
      <alignment horizontal="left" vertical="top" wrapText="1"/>
    </xf>
    <xf numFmtId="0" fontId="69" fillId="0" borderId="8" xfId="0" applyNumberFormat="1" applyFont="1" applyBorder="1" applyAlignment="1">
      <alignment vertical="top" wrapText="1"/>
    </xf>
    <xf numFmtId="0" fontId="69" fillId="0" borderId="27" xfId="0" applyNumberFormat="1" applyFont="1" applyBorder="1" applyAlignment="1">
      <alignment horizontal="left" vertical="top" wrapText="1"/>
    </xf>
    <xf numFmtId="49" fontId="69" fillId="0" borderId="18" xfId="0" applyFont="1" applyBorder="1" applyAlignment="1">
      <alignment horizontal="left" vertical="top" wrapText="1"/>
    </xf>
    <xf numFmtId="49" fontId="69" fillId="0" borderId="3" xfId="0"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Font="1" applyBorder="1" applyAlignment="1">
      <alignment horizontal="center" vertical="top" wrapText="1"/>
    </xf>
    <xf numFmtId="49" fontId="69" fillId="0" borderId="8" xfId="0" applyFont="1" applyBorder="1" applyAlignment="1">
      <alignment horizontal="center" vertical="top" wrapText="1"/>
    </xf>
    <xf numFmtId="0" fontId="0" fillId="6" borderId="8" xfId="0" applyNumberFormat="1" applyFill="1" applyBorder="1" applyAlignment="1">
      <alignment horizontal="center" vertical="center" wrapText="1"/>
    </xf>
    <xf numFmtId="0" fontId="2" fillId="6" borderId="8" xfId="0" applyNumberFormat="1" applyFont="1" applyFill="1" applyBorder="1" applyAlignment="1">
      <alignment horizontal="center" vertical="center" wrapText="1"/>
    </xf>
    <xf numFmtId="49" fontId="72" fillId="0" borderId="0" xfId="0" applyFont="1" applyAlignment="1">
      <alignment horizontal="center" vertical="center" wrapText="1"/>
    </xf>
    <xf numFmtId="0" fontId="2" fillId="0" borderId="29" xfId="0" applyNumberFormat="1" applyFont="1" applyBorder="1" applyAlignment="1">
      <alignment vertical="center" wrapText="1"/>
    </xf>
    <xf numFmtId="0" fontId="0" fillId="6" borderId="28" xfId="0" applyNumberFormat="1" applyFill="1" applyBorder="1" applyAlignment="1">
      <alignment horizontal="center" vertical="center" wrapText="1"/>
    </xf>
    <xf numFmtId="0" fontId="2" fillId="8" borderId="21" xfId="0" applyNumberFormat="1" applyFont="1" applyFill="1" applyBorder="1" applyAlignment="1">
      <alignment vertical="center" wrapText="1"/>
    </xf>
    <xf numFmtId="0" fontId="2" fillId="6" borderId="30" xfId="0" applyNumberFormat="1" applyFont="1" applyFill="1" applyBorder="1" applyAlignment="1">
      <alignment vertical="center" wrapText="1"/>
    </xf>
    <xf numFmtId="0" fontId="22" fillId="6" borderId="30" xfId="0" applyNumberFormat="1" applyFont="1" applyFill="1" applyBorder="1" applyAlignment="1">
      <alignment horizontal="center" wrapText="1"/>
    </xf>
    <xf numFmtId="49" fontId="43" fillId="0" borderId="30" xfId="0" applyFont="1" applyBorder="1">
      <alignment vertical="top"/>
    </xf>
    <xf numFmtId="49" fontId="17" fillId="0" borderId="0" xfId="0" applyFont="1" applyAlignment="1">
      <alignment vertical="center"/>
    </xf>
    <xf numFmtId="49" fontId="73" fillId="0" borderId="0" xfId="0" applyFont="1" applyAlignment="1">
      <alignment vertical="center"/>
    </xf>
    <xf numFmtId="49" fontId="17" fillId="0" borderId="0" xfId="0" applyFont="1" applyAlignment="1">
      <alignment vertical="center" wrapText="1"/>
    </xf>
    <xf numFmtId="49" fontId="73" fillId="0" borderId="0" xfId="0" applyFont="1" applyAlignment="1">
      <alignment vertical="center" wrapText="1"/>
    </xf>
    <xf numFmtId="49" fontId="17" fillId="0" borderId="0" xfId="0" applyFont="1" applyAlignment="1">
      <alignment horizontal="center" vertical="center" wrapText="1"/>
    </xf>
    <xf numFmtId="49" fontId="73" fillId="0" borderId="0" xfId="0" applyFont="1" applyAlignment="1">
      <alignment horizontal="center" vertical="center" wrapText="1"/>
    </xf>
    <xf numFmtId="0" fontId="17" fillId="0" borderId="0" xfId="0" applyNumberFormat="1" applyFont="1" applyAlignment="1">
      <alignment horizontal="center" vertical="center" wrapText="1"/>
    </xf>
    <xf numFmtId="49" fontId="17" fillId="6" borderId="0" xfId="0" applyFont="1" applyFill="1" applyAlignment="1">
      <alignment vertical="center" wrapText="1"/>
    </xf>
    <xf numFmtId="49" fontId="17" fillId="6" borderId="0" xfId="0" applyFont="1" applyFill="1" applyAlignment="1">
      <alignment vertical="center"/>
    </xf>
    <xf numFmtId="4" fontId="17" fillId="6" borderId="0" xfId="0" applyNumberFormat="1" applyFont="1" applyFill="1" applyAlignment="1">
      <alignment vertical="center"/>
    </xf>
    <xf numFmtId="3" fontId="17" fillId="7" borderId="3" xfId="0" applyNumberFormat="1" applyFont="1" applyFill="1" applyBorder="1" applyAlignment="1" applyProtection="1">
      <alignment horizontal="right" vertical="center"/>
      <protection locked="0"/>
    </xf>
    <xf numFmtId="49" fontId="20" fillId="0" borderId="4" xfId="0" applyFont="1" applyBorder="1" applyAlignment="1">
      <alignment horizontal="left" vertical="center" indent="1"/>
    </xf>
    <xf numFmtId="0" fontId="2" fillId="0" borderId="15" xfId="0" applyNumberFormat="1" applyFont="1" applyBorder="1" applyAlignment="1">
      <alignment vertical="top" wrapText="1"/>
    </xf>
    <xf numFmtId="49" fontId="65" fillId="0" borderId="3" xfId="0" applyFont="1" applyBorder="1" applyAlignment="1">
      <alignment horizontal="center" vertical="center" wrapText="1"/>
    </xf>
    <xf numFmtId="0" fontId="65" fillId="0" borderId="3" xfId="0" applyNumberFormat="1" applyFont="1" applyBorder="1" applyAlignment="1">
      <alignment horizontal="center" vertical="center" wrapText="1"/>
    </xf>
    <xf numFmtId="49" fontId="65" fillId="0" borderId="8" xfId="0" applyFont="1" applyBorder="1" applyAlignment="1">
      <alignment horizontal="center" vertical="center" wrapText="1"/>
    </xf>
    <xf numFmtId="49" fontId="65" fillId="0" borderId="14" xfId="0" applyFont="1" applyBorder="1" applyAlignment="1">
      <alignment horizontal="center" vertical="center" wrapText="1"/>
    </xf>
    <xf numFmtId="0" fontId="65" fillId="0" borderId="8" xfId="0" applyNumberFormat="1" applyFont="1" applyBorder="1" applyAlignment="1">
      <alignment horizontal="center" vertical="center" wrapText="1"/>
    </xf>
    <xf numFmtId="49" fontId="69" fillId="0" borderId="13" xfId="0" applyFont="1" applyBorder="1" applyAlignment="1">
      <alignment horizontal="center" vertical="top" wrapText="1"/>
    </xf>
    <xf numFmtId="49" fontId="69" fillId="0" borderId="27" xfId="0" applyFont="1" applyBorder="1" applyAlignment="1">
      <alignment horizontal="left" vertical="top" wrapText="1"/>
    </xf>
    <xf numFmtId="0" fontId="65" fillId="0" borderId="3" xfId="0" applyNumberFormat="1" applyFont="1" applyBorder="1" applyAlignment="1">
      <alignment vertical="center" wrapText="1"/>
    </xf>
    <xf numFmtId="0" fontId="65" fillId="0" borderId="8" xfId="0" applyNumberFormat="1" applyFont="1" applyBorder="1" applyAlignment="1">
      <alignment vertical="center" wrapText="1"/>
    </xf>
    <xf numFmtId="0" fontId="65" fillId="0" borderId="14" xfId="0" applyNumberFormat="1" applyFont="1" applyBorder="1" applyAlignment="1">
      <alignment vertical="center" wrapText="1"/>
    </xf>
    <xf numFmtId="49" fontId="65" fillId="0" borderId="3" xfId="0" applyFont="1" applyBorder="1" applyAlignment="1">
      <alignment horizontal="left" vertical="top" wrapText="1"/>
    </xf>
    <xf numFmtId="170" fontId="2" fillId="10" borderId="8" xfId="0" applyNumberFormat="1" applyFont="1" applyFill="1" applyBorder="1" applyAlignment="1" applyProtection="1">
      <alignment horizontal="right" vertical="center" wrapText="1"/>
      <protection locked="0"/>
    </xf>
    <xf numFmtId="0" fontId="2" fillId="0" borderId="11" xfId="0" applyNumberFormat="1" applyFont="1" applyBorder="1" applyAlignment="1">
      <alignment horizontal="center" vertical="center" wrapText="1"/>
    </xf>
    <xf numFmtId="49" fontId="2" fillId="8" borderId="28" xfId="0" applyFont="1" applyFill="1" applyBorder="1" applyAlignment="1">
      <alignment vertical="center" wrapText="1"/>
    </xf>
    <xf numFmtId="49" fontId="12" fillId="8" borderId="10" xfId="0" applyFont="1" applyFill="1" applyBorder="1" applyAlignment="1">
      <alignment horizontal="left" vertical="center" indent="1"/>
    </xf>
    <xf numFmtId="0" fontId="46" fillId="0" borderId="0" xfId="0" applyNumberFormat="1" applyFont="1" applyAlignment="1">
      <alignment horizontal="center" vertical="center" wrapText="1"/>
    </xf>
    <xf numFmtId="4" fontId="2" fillId="10" borderId="4" xfId="0" applyNumberFormat="1" applyFont="1" applyFill="1" applyBorder="1" applyAlignment="1" applyProtection="1">
      <alignment horizontal="right" vertical="center" wrapText="1"/>
      <protection locked="0"/>
    </xf>
    <xf numFmtId="170" fontId="2" fillId="10" borderId="4" xfId="0" applyNumberFormat="1" applyFont="1" applyFill="1" applyBorder="1" applyAlignment="1" applyProtection="1">
      <alignment horizontal="right" vertical="center" wrapText="1"/>
      <protection locked="0"/>
    </xf>
    <xf numFmtId="170" fontId="2" fillId="5" borderId="4" xfId="0" applyNumberFormat="1" applyFont="1" applyFill="1" applyBorder="1" applyAlignment="1">
      <alignment horizontal="right" vertical="center" wrapText="1"/>
    </xf>
    <xf numFmtId="4" fontId="2" fillId="10" borderId="21" xfId="0" applyNumberFormat="1" applyFont="1" applyFill="1" applyBorder="1" applyAlignment="1" applyProtection="1">
      <alignment horizontal="right" vertical="center" wrapText="1"/>
      <protection locked="0"/>
    </xf>
    <xf numFmtId="49" fontId="65" fillId="12" borderId="3" xfId="0" applyFont="1" applyFill="1" applyBorder="1" applyAlignment="1">
      <alignment horizontal="center" vertical="top"/>
    </xf>
    <xf numFmtId="49" fontId="69" fillId="0" borderId="0" xfId="0" applyFont="1">
      <alignment vertical="top"/>
    </xf>
    <xf numFmtId="49" fontId="65" fillId="0" borderId="3" xfId="0" applyFont="1" applyBorder="1" applyAlignment="1">
      <alignment horizontal="center" vertical="top" wrapText="1"/>
    </xf>
    <xf numFmtId="49" fontId="65" fillId="0" borderId="3" xfId="0" applyFont="1" applyBorder="1" applyAlignment="1">
      <alignment vertical="top" wrapText="1"/>
    </xf>
    <xf numFmtId="0" fontId="65" fillId="0" borderId="3" xfId="0" applyNumberFormat="1" applyFont="1" applyBorder="1" applyAlignment="1">
      <alignment vertical="top" wrapText="1"/>
    </xf>
    <xf numFmtId="49" fontId="65" fillId="0" borderId="3" xfId="0" applyFont="1" applyBorder="1">
      <alignment vertical="top"/>
    </xf>
    <xf numFmtId="49" fontId="69" fillId="0" borderId="3" xfId="0" applyFont="1" applyBorder="1">
      <alignment vertical="top"/>
    </xf>
    <xf numFmtId="49" fontId="65" fillId="0" borderId="0" xfId="0" applyFont="1" applyAlignment="1">
      <alignment horizontal="center" vertical="center" wrapText="1"/>
    </xf>
    <xf numFmtId="49" fontId="65" fillId="0" borderId="0" xfId="0" applyFont="1" applyAlignment="1">
      <alignment horizontal="left" vertical="center" wrapText="1"/>
    </xf>
    <xf numFmtId="49" fontId="65" fillId="17" borderId="0" xfId="0" applyFont="1" applyFill="1" applyAlignment="1">
      <alignment horizontal="center" vertical="center" wrapText="1"/>
    </xf>
    <xf numFmtId="0" fontId="65" fillId="0" borderId="0" xfId="0" applyNumberFormat="1" applyFont="1" applyAlignment="1">
      <alignment vertical="center" wrapText="1"/>
    </xf>
    <xf numFmtId="0" fontId="20" fillId="0" borderId="3" xfId="0" applyNumberFormat="1" applyFont="1" applyBorder="1" applyAlignment="1">
      <alignment horizontal="left" vertical="center" wrapText="1" indent="3"/>
    </xf>
    <xf numFmtId="49" fontId="20" fillId="0" borderId="3" xfId="0" applyFont="1" applyBorder="1" applyAlignment="1">
      <alignment vertical="center" wrapText="1"/>
    </xf>
    <xf numFmtId="0" fontId="20" fillId="0" borderId="8" xfId="0" applyNumberFormat="1" applyFont="1" applyBorder="1" applyAlignment="1">
      <alignment vertical="top" wrapText="1"/>
    </xf>
    <xf numFmtId="0" fontId="20" fillId="0" borderId="27" xfId="0" applyNumberFormat="1" applyFont="1" applyBorder="1" applyAlignment="1">
      <alignment horizontal="left" vertical="center" wrapText="1" indent="1"/>
    </xf>
    <xf numFmtId="0" fontId="20" fillId="0" borderId="27" xfId="0" applyNumberFormat="1" applyFont="1" applyBorder="1" applyAlignment="1">
      <alignment horizontal="center" vertical="center" wrapText="1"/>
    </xf>
    <xf numFmtId="0" fontId="20" fillId="0" borderId="8" xfId="0" applyNumberFormat="1" applyFont="1" applyBorder="1" applyAlignment="1">
      <alignment vertical="center" wrapText="1"/>
    </xf>
    <xf numFmtId="0" fontId="20" fillId="0" borderId="14" xfId="0" applyNumberFormat="1" applyFont="1" applyBorder="1" applyAlignment="1">
      <alignment horizontal="left" vertical="center" wrapText="1" indent="1"/>
    </xf>
    <xf numFmtId="0" fontId="20" fillId="0" borderId="8" xfId="0" applyNumberFormat="1" applyFont="1" applyBorder="1" applyAlignment="1">
      <alignment horizontal="left" vertical="center" wrapText="1" indent="1"/>
    </xf>
    <xf numFmtId="49" fontId="69" fillId="12" borderId="3" xfId="0" applyFont="1" applyFill="1" applyBorder="1" applyAlignment="1">
      <alignment horizontal="center" vertical="top" wrapText="1"/>
    </xf>
    <xf numFmtId="49" fontId="69" fillId="12" borderId="3" xfId="0" applyFont="1" applyFill="1" applyBorder="1" applyAlignment="1">
      <alignment horizontal="left" vertical="top" wrapText="1"/>
    </xf>
    <xf numFmtId="49" fontId="69" fillId="12" borderId="0" xfId="0" applyFont="1" applyFill="1" applyAlignment="1">
      <alignment horizontal="left" vertical="top" wrapText="1"/>
    </xf>
    <xf numFmtId="0" fontId="65" fillId="0" borderId="5" xfId="0" applyNumberFormat="1" applyFont="1" applyBorder="1" applyAlignment="1">
      <alignment horizontal="center" vertical="center" wrapText="1"/>
    </xf>
    <xf numFmtId="0" fontId="65" fillId="0" borderId="5" xfId="0" applyNumberFormat="1" applyFont="1" applyBorder="1" applyAlignment="1">
      <alignment horizontal="center" vertical="center"/>
    </xf>
    <xf numFmtId="49" fontId="20" fillId="6" borderId="3" xfId="0" applyFont="1" applyFill="1" applyBorder="1" applyAlignment="1">
      <alignment horizontal="center" vertical="center"/>
    </xf>
    <xf numFmtId="0" fontId="20" fillId="6" borderId="3" xfId="0" applyNumberFormat="1" applyFont="1" applyFill="1" applyBorder="1" applyAlignment="1">
      <alignment horizontal="left" vertical="center" wrapText="1" indent="1"/>
    </xf>
    <xf numFmtId="0" fontId="20" fillId="6" borderId="3" xfId="0" applyNumberFormat="1" applyFont="1" applyFill="1" applyBorder="1" applyAlignment="1">
      <alignment vertical="center" wrapText="1"/>
    </xf>
    <xf numFmtId="49" fontId="20" fillId="0" borderId="3" xfId="0" applyFont="1" applyBorder="1" applyAlignment="1">
      <alignment horizontal="center" vertical="center"/>
    </xf>
    <xf numFmtId="0" fontId="20" fillId="0" borderId="3" xfId="0" applyNumberFormat="1" applyFont="1" applyBorder="1" applyAlignment="1">
      <alignment horizontal="left" vertical="center" wrapText="1" indent="1"/>
    </xf>
    <xf numFmtId="0" fontId="20" fillId="6" borderId="3" xfId="0" applyNumberFormat="1" applyFont="1" applyFill="1" applyBorder="1" applyAlignment="1">
      <alignment horizontal="left" vertical="center" wrapText="1" indent="2"/>
    </xf>
    <xf numFmtId="49" fontId="20" fillId="0" borderId="3" xfId="0" applyFont="1" applyBorder="1" applyAlignment="1">
      <alignment horizontal="left" vertical="center" wrapText="1"/>
    </xf>
    <xf numFmtId="2" fontId="2" fillId="0" borderId="14" xfId="0" applyNumberFormat="1" applyFont="1" applyBorder="1" applyAlignment="1">
      <alignment horizontal="center" vertical="center" wrapText="1"/>
    </xf>
    <xf numFmtId="0" fontId="74" fillId="0" borderId="0" xfId="0" applyNumberFormat="1" applyFont="1" applyAlignment="1">
      <alignment horizontal="center" vertical="center" wrapText="1"/>
    </xf>
    <xf numFmtId="0" fontId="75" fillId="6" borderId="0" xfId="0" applyNumberFormat="1" applyFont="1" applyFill="1" applyAlignment="1">
      <alignment horizontal="right" vertical="center"/>
    </xf>
    <xf numFmtId="0" fontId="2" fillId="0" borderId="14" xfId="0" applyNumberFormat="1" applyFont="1" applyBorder="1" applyAlignment="1">
      <alignment horizontal="left" vertical="center" wrapText="1"/>
    </xf>
    <xf numFmtId="0" fontId="20" fillId="0" borderId="19" xfId="0" applyNumberFormat="1" applyFont="1" applyBorder="1" applyAlignment="1">
      <alignment vertical="center" wrapText="1"/>
    </xf>
    <xf numFmtId="49" fontId="26" fillId="0" borderId="5" xfId="0" applyFont="1" applyBorder="1" applyAlignment="1">
      <alignment horizontal="left" vertical="center" wrapText="1"/>
    </xf>
    <xf numFmtId="49" fontId="26" fillId="0" borderId="6" xfId="0" applyFont="1" applyBorder="1" applyAlignment="1">
      <alignment horizontal="left" vertical="center" wrapText="1"/>
    </xf>
    <xf numFmtId="4" fontId="2" fillId="0" borderId="8" xfId="0" applyNumberFormat="1" applyFont="1" applyBorder="1" applyAlignment="1">
      <alignment horizontal="center" vertical="center" wrapText="1"/>
    </xf>
    <xf numFmtId="4" fontId="2" fillId="0" borderId="23" xfId="0" applyNumberFormat="1" applyFont="1" applyBorder="1" applyAlignment="1">
      <alignment horizontal="center" vertical="center" wrapText="1"/>
    </xf>
    <xf numFmtId="49" fontId="26" fillId="0" borderId="28" xfId="0" applyFont="1" applyBorder="1" applyAlignment="1">
      <alignment horizontal="left" vertical="center" wrapText="1"/>
    </xf>
    <xf numFmtId="49" fontId="26" fillId="0" borderId="18" xfId="0" applyFont="1" applyBorder="1" applyAlignment="1">
      <alignment horizontal="left" vertical="center" wrapText="1"/>
    </xf>
    <xf numFmtId="0" fontId="2" fillId="0" borderId="27" xfId="0" applyNumberFormat="1" applyFont="1" applyBorder="1" applyAlignment="1">
      <alignment vertical="center" wrapText="1"/>
    </xf>
    <xf numFmtId="0" fontId="2" fillId="0" borderId="23" xfId="0" applyNumberFormat="1" applyFont="1" applyBorder="1" applyAlignment="1">
      <alignment horizontal="left" vertical="center" wrapText="1"/>
    </xf>
    <xf numFmtId="4" fontId="2" fillId="0" borderId="31" xfId="0" applyNumberFormat="1" applyFont="1" applyBorder="1" applyAlignment="1">
      <alignment horizontal="center" vertical="center" wrapText="1"/>
    </xf>
    <xf numFmtId="0" fontId="20" fillId="0" borderId="0" xfId="0" applyNumberFormat="1" applyFont="1" applyAlignment="1">
      <alignment horizontal="center" vertical="top"/>
    </xf>
    <xf numFmtId="0" fontId="20" fillId="0" borderId="14" xfId="0" applyNumberFormat="1" applyFont="1" applyBorder="1" applyAlignment="1">
      <alignment vertical="center" wrapText="1"/>
    </xf>
    <xf numFmtId="4" fontId="20" fillId="0" borderId="3" xfId="0" applyNumberFormat="1" applyFont="1" applyBorder="1" applyAlignment="1">
      <alignment horizontal="right" vertical="center" wrapText="1"/>
    </xf>
    <xf numFmtId="2" fontId="20" fillId="0" borderId="14" xfId="0" applyNumberFormat="1" applyFont="1" applyBorder="1" applyAlignment="1">
      <alignment horizontal="center" vertical="center" wrapText="1"/>
    </xf>
    <xf numFmtId="49" fontId="20" fillId="0" borderId="5" xfId="0" applyFont="1" applyBorder="1" applyAlignment="1">
      <alignment horizontal="left" vertical="center"/>
    </xf>
    <xf numFmtId="49" fontId="20" fillId="0" borderId="6" xfId="0" applyFont="1" applyBorder="1" applyAlignment="1">
      <alignment horizontal="left" vertical="center" indent="1"/>
    </xf>
    <xf numFmtId="49" fontId="20" fillId="0" borderId="6" xfId="0" applyFont="1" applyBorder="1" applyAlignment="1">
      <alignment horizontal="left" vertical="center"/>
    </xf>
    <xf numFmtId="0" fontId="20" fillId="0" borderId="3" xfId="0" applyNumberFormat="1" applyFont="1" applyBorder="1" applyAlignment="1">
      <alignment horizontal="left" vertical="center" indent="1"/>
    </xf>
    <xf numFmtId="49" fontId="12" fillId="0" borderId="10" xfId="0" applyFont="1" applyBorder="1" applyAlignment="1">
      <alignment horizontal="right" vertical="center"/>
    </xf>
    <xf numFmtId="0" fontId="2" fillId="11" borderId="3" xfId="0" applyNumberFormat="1" applyFont="1" applyFill="1" applyBorder="1" applyAlignment="1">
      <alignment horizontal="left" vertical="center" wrapText="1" indent="1"/>
    </xf>
    <xf numFmtId="0" fontId="34" fillId="6" borderId="0" xfId="0" applyNumberFormat="1" applyFont="1" applyFill="1" applyAlignment="1">
      <alignment horizontal="left" vertical="center" wrapText="1" indent="1"/>
    </xf>
    <xf numFmtId="49" fontId="26" fillId="7" borderId="4" xfId="0" applyFont="1" applyFill="1" applyBorder="1" applyAlignment="1" applyProtection="1">
      <alignment horizontal="left" vertical="center" wrapText="1"/>
      <protection locked="0"/>
    </xf>
    <xf numFmtId="0" fontId="2" fillId="0" borderId="19" xfId="0" applyNumberFormat="1" applyFont="1" applyBorder="1" applyAlignment="1">
      <alignment vertical="center" wrapText="1"/>
    </xf>
    <xf numFmtId="49" fontId="2" fillId="8" borderId="32" xfId="0" applyFont="1" applyFill="1" applyBorder="1" applyAlignment="1">
      <alignment horizontal="center" vertical="center" wrapText="1"/>
    </xf>
    <xf numFmtId="49" fontId="22" fillId="8" borderId="33" xfId="0" applyFont="1" applyFill="1" applyBorder="1" applyAlignment="1">
      <alignment horizontal="right" vertical="center" wrapText="1"/>
    </xf>
    <xf numFmtId="49" fontId="22" fillId="8" borderId="34" xfId="0" applyFont="1" applyFill="1" applyBorder="1" applyAlignment="1">
      <alignment horizontal="right" vertical="center" wrapText="1"/>
    </xf>
    <xf numFmtId="49" fontId="68" fillId="0" borderId="0" xfId="0" applyFont="1" applyAlignment="1">
      <alignment vertical="center" wrapText="1"/>
    </xf>
    <xf numFmtId="49" fontId="0" fillId="0" borderId="0" xfId="0" applyAlignment="1">
      <alignment vertical="center" wrapText="1"/>
    </xf>
    <xf numFmtId="49" fontId="3" fillId="18" borderId="0" xfId="0" applyFont="1" applyFill="1" applyAlignment="1">
      <alignment horizontal="center" vertical="center"/>
    </xf>
    <xf numFmtId="0" fontId="0" fillId="19" borderId="0" xfId="0" applyNumberFormat="1" applyFill="1" applyAlignment="1">
      <alignment horizontal="left" vertical="center"/>
    </xf>
    <xf numFmtId="0" fontId="0" fillId="20" borderId="3" xfId="0" applyNumberFormat="1" applyFill="1" applyBorder="1" applyAlignment="1">
      <alignment horizontal="center" vertical="center"/>
    </xf>
    <xf numFmtId="49" fontId="19" fillId="18" borderId="3" xfId="0" applyFont="1" applyFill="1" applyBorder="1" applyAlignment="1">
      <alignment horizontal="center" vertical="center"/>
    </xf>
    <xf numFmtId="49" fontId="19" fillId="21" borderId="3" xfId="0" applyFont="1" applyFill="1" applyBorder="1" applyAlignment="1">
      <alignment horizontal="center" vertical="center"/>
    </xf>
    <xf numFmtId="49" fontId="0" fillId="22" borderId="3" xfId="0" applyFill="1" applyBorder="1" applyAlignment="1">
      <alignment horizontal="center" vertical="center"/>
    </xf>
    <xf numFmtId="0" fontId="2" fillId="0" borderId="3" xfId="0" applyNumberFormat="1" applyFont="1" applyBorder="1" applyAlignment="1">
      <alignment vertical="center"/>
    </xf>
    <xf numFmtId="0" fontId="0" fillId="0" borderId="3" xfId="0" applyNumberFormat="1" applyBorder="1" applyAlignment="1">
      <alignment vertical="center"/>
    </xf>
    <xf numFmtId="49" fontId="2" fillId="0" borderId="35" xfId="0" applyFont="1" applyBorder="1" applyAlignment="1">
      <alignment vertical="center"/>
    </xf>
    <xf numFmtId="49" fontId="2" fillId="0" borderId="36" xfId="0" applyFont="1" applyBorder="1">
      <alignment vertical="top"/>
    </xf>
    <xf numFmtId="0" fontId="0" fillId="0" borderId="4" xfId="0" applyNumberFormat="1" applyBorder="1" applyAlignment="1">
      <alignment vertical="center"/>
    </xf>
    <xf numFmtId="0" fontId="0" fillId="0" borderId="3" xfId="0" applyNumberFormat="1" applyBorder="1" applyAlignment="1">
      <alignment horizontal="right" vertical="top"/>
    </xf>
    <xf numFmtId="0" fontId="0" fillId="0" borderId="3" xfId="0" applyNumberFormat="1" applyBorder="1">
      <alignment vertical="top"/>
    </xf>
    <xf numFmtId="0" fontId="2" fillId="0" borderId="4" xfId="0" applyNumberFormat="1" applyFont="1" applyBorder="1" applyAlignment="1">
      <alignment vertical="center"/>
    </xf>
    <xf numFmtId="49" fontId="2" fillId="0" borderId="3" xfId="0" applyFont="1" applyBorder="1" applyAlignment="1">
      <alignment vertical="center"/>
    </xf>
    <xf numFmtId="0" fontId="2" fillId="0" borderId="3" xfId="0" applyNumberFormat="1" applyFont="1" applyBorder="1">
      <alignment vertical="top"/>
    </xf>
    <xf numFmtId="49" fontId="2" fillId="0" borderId="3" xfId="0" applyFont="1" applyBorder="1">
      <alignment vertical="top"/>
    </xf>
    <xf numFmtId="49" fontId="2" fillId="0" borderId="5" xfId="0" applyFont="1" applyBorder="1">
      <alignment vertical="top"/>
    </xf>
    <xf numFmtId="0" fontId="0" fillId="0" borderId="8" xfId="0" applyNumberFormat="1" applyBorder="1">
      <alignment vertical="top"/>
    </xf>
    <xf numFmtId="0" fontId="2" fillId="0" borderId="8" xfId="0" applyNumberFormat="1" applyFont="1" applyBorder="1" applyAlignment="1">
      <alignment vertical="center"/>
    </xf>
    <xf numFmtId="49" fontId="2" fillId="0" borderId="22" xfId="0" applyFont="1" applyBorder="1" applyAlignment="1">
      <alignment horizontal="center" vertical="center"/>
    </xf>
    <xf numFmtId="49" fontId="0" fillId="7" borderId="22" xfId="0" applyFill="1" applyBorder="1" applyAlignment="1" applyProtection="1">
      <alignment horizontal="left" vertical="center"/>
      <protection locked="0"/>
    </xf>
    <xf numFmtId="49" fontId="0" fillId="0" borderId="22" xfId="0" applyBorder="1" applyAlignment="1">
      <alignment horizontal="right" vertical="center"/>
    </xf>
    <xf numFmtId="0" fontId="0" fillId="5" borderId="22" xfId="0" applyNumberFormat="1" applyFill="1" applyBorder="1" applyAlignment="1">
      <alignment horizontal="center" vertical="center"/>
    </xf>
    <xf numFmtId="49" fontId="0" fillId="0" borderId="22" xfId="0" applyBorder="1" applyAlignment="1">
      <alignment horizontal="center" vertical="center"/>
    </xf>
    <xf numFmtId="49" fontId="0" fillId="0" borderId="0" xfId="0" applyAlignment="1">
      <alignment horizontal="left" vertical="center"/>
    </xf>
    <xf numFmtId="0" fontId="76" fillId="0" borderId="37" xfId="0" applyNumberFormat="1" applyFont="1" applyBorder="1" applyAlignment="1">
      <alignment horizontal="center" vertical="center"/>
    </xf>
    <xf numFmtId="0" fontId="0" fillId="0" borderId="37" xfId="0" applyNumberFormat="1" applyBorder="1" applyAlignment="1">
      <alignment horizontal="center" vertical="center"/>
    </xf>
    <xf numFmtId="49" fontId="3" fillId="18" borderId="3" xfId="0" applyFont="1" applyFill="1" applyBorder="1" applyAlignment="1">
      <alignment horizontal="right" vertical="center"/>
    </xf>
    <xf numFmtId="49" fontId="2" fillId="7" borderId="28" xfId="0" applyFont="1" applyFill="1" applyBorder="1" applyProtection="1">
      <alignment vertical="top"/>
      <protection locked="0"/>
    </xf>
    <xf numFmtId="49" fontId="2" fillId="12" borderId="14" xfId="0" applyFont="1" applyFill="1" applyBorder="1">
      <alignment vertical="top"/>
    </xf>
    <xf numFmtId="49" fontId="2" fillId="12" borderId="3" xfId="0" applyFont="1" applyFill="1" applyBorder="1">
      <alignment vertical="top"/>
    </xf>
    <xf numFmtId="0" fontId="0" fillId="0" borderId="23" xfId="0" applyNumberFormat="1" applyBorder="1" applyAlignment="1">
      <alignment horizontal="center" vertical="center"/>
    </xf>
    <xf numFmtId="0" fontId="0" fillId="0" borderId="22" xfId="0" applyNumberFormat="1" applyBorder="1" applyAlignment="1">
      <alignment horizontal="center" vertical="center"/>
    </xf>
    <xf numFmtId="49" fontId="3" fillId="18" borderId="5" xfId="0" applyFont="1" applyFill="1" applyBorder="1" applyAlignment="1">
      <alignment horizontal="right" vertical="center"/>
    </xf>
    <xf numFmtId="0" fontId="0" fillId="19" borderId="0" xfId="0" applyNumberFormat="1" applyFill="1" applyAlignment="1">
      <alignment horizontal="right" vertical="center"/>
    </xf>
    <xf numFmtId="0" fontId="77" fillId="0" borderId="38" xfId="0" applyNumberFormat="1" applyFont="1" applyBorder="1" applyAlignment="1">
      <alignment horizontal="left" vertical="center" indent="1"/>
    </xf>
    <xf numFmtId="0" fontId="77" fillId="0" borderId="39" xfId="0" applyNumberFormat="1" applyFont="1" applyBorder="1" applyAlignment="1">
      <alignment horizontal="left" vertical="center" indent="1"/>
    </xf>
    <xf numFmtId="0" fontId="77" fillId="0" borderId="40" xfId="0" applyNumberFormat="1" applyFont="1" applyBorder="1" applyAlignment="1">
      <alignment horizontal="left" vertical="center" indent="1"/>
    </xf>
    <xf numFmtId="0" fontId="2" fillId="0" borderId="0" xfId="0" applyNumberFormat="1" applyFont="1" applyAlignment="1">
      <alignment horizontal="left" vertical="center" wrapText="1" indent="3"/>
    </xf>
    <xf numFmtId="49" fontId="19" fillId="18" borderId="0" xfId="0" applyFont="1" applyFill="1" applyAlignment="1">
      <alignment horizontal="center" vertical="center" wrapText="1"/>
    </xf>
    <xf numFmtId="49" fontId="78" fillId="0" borderId="7" xfId="0" applyFont="1" applyBorder="1">
      <alignment vertical="top"/>
    </xf>
    <xf numFmtId="0" fontId="2" fillId="0" borderId="5" xfId="0" applyNumberFormat="1" applyFont="1" applyBorder="1" applyAlignment="1">
      <alignment horizontal="left" vertical="center"/>
    </xf>
    <xf numFmtId="0" fontId="0" fillId="0" borderId="5" xfId="0" applyNumberFormat="1" applyBorder="1" applyAlignment="1">
      <alignment horizontal="left" vertical="center"/>
    </xf>
    <xf numFmtId="0" fontId="2" fillId="8" borderId="41" xfId="0" applyNumberFormat="1" applyFont="1" applyFill="1" applyBorder="1" applyAlignment="1">
      <alignment vertical="center" wrapText="1"/>
    </xf>
    <xf numFmtId="0" fontId="2" fillId="8" borderId="42" xfId="0" applyNumberFormat="1" applyFont="1" applyFill="1" applyBorder="1" applyAlignment="1">
      <alignment vertical="center" wrapText="1"/>
    </xf>
    <xf numFmtId="49" fontId="79" fillId="8" borderId="5" xfId="0" applyFont="1" applyFill="1" applyBorder="1" applyAlignment="1">
      <alignment horizontal="left" vertical="center" indent="1"/>
    </xf>
    <xf numFmtId="49" fontId="79" fillId="8" borderId="6" xfId="0" applyFont="1" applyFill="1" applyBorder="1" applyAlignment="1">
      <alignment horizontal="left" vertical="center" indent="1"/>
    </xf>
    <xf numFmtId="49" fontId="68" fillId="8" borderId="34" xfId="0" applyFont="1" applyFill="1" applyBorder="1" applyAlignment="1">
      <alignment horizontal="center" vertical="center"/>
    </xf>
    <xf numFmtId="49" fontId="79" fillId="8" borderId="34" xfId="0" applyFont="1" applyFill="1" applyBorder="1" applyAlignment="1">
      <alignment horizontal="left" vertical="center" indent="1"/>
    </xf>
    <xf numFmtId="0" fontId="17" fillId="11" borderId="3" xfId="0" applyNumberFormat="1" applyFont="1" applyFill="1" applyBorder="1" applyAlignment="1">
      <alignment horizontal="left" vertical="center" wrapText="1" indent="1"/>
    </xf>
    <xf numFmtId="49" fontId="17" fillId="8" borderId="6" xfId="0" applyFont="1" applyFill="1" applyBorder="1" applyAlignment="1">
      <alignment vertical="top" wrapText="1"/>
    </xf>
    <xf numFmtId="49" fontId="17" fillId="8" borderId="4" xfId="0" applyFont="1" applyFill="1" applyBorder="1" applyAlignment="1">
      <alignment vertical="top" wrapText="1"/>
    </xf>
    <xf numFmtId="49" fontId="17" fillId="8" borderId="43" xfId="0" applyFont="1" applyFill="1" applyBorder="1" applyAlignment="1">
      <alignment vertical="top" wrapText="1"/>
    </xf>
    <xf numFmtId="49" fontId="79" fillId="8" borderId="43" xfId="0" applyFont="1" applyFill="1" applyBorder="1" applyAlignment="1">
      <alignment horizontal="left" vertical="center" indent="1"/>
    </xf>
    <xf numFmtId="0" fontId="2" fillId="8" borderId="44" xfId="0" applyNumberFormat="1" applyFont="1" applyFill="1" applyBorder="1" applyAlignment="1">
      <alignment vertical="center" wrapText="1"/>
    </xf>
    <xf numFmtId="0" fontId="0" fillId="0" borderId="40" xfId="0" applyNumberFormat="1" applyBorder="1" applyAlignment="1">
      <alignment horizontal="left" vertical="center" wrapText="1"/>
    </xf>
    <xf numFmtId="0" fontId="2" fillId="0" borderId="40" xfId="0" applyNumberFormat="1" applyFont="1" applyBorder="1" applyAlignment="1">
      <alignment vertical="center" wrapText="1"/>
    </xf>
    <xf numFmtId="0" fontId="2" fillId="0" borderId="45" xfId="0" applyNumberFormat="1" applyFont="1" applyBorder="1" applyAlignment="1">
      <alignment vertical="center" wrapText="1"/>
    </xf>
    <xf numFmtId="0" fontId="2" fillId="0" borderId="46" xfId="0" applyNumberFormat="1" applyFont="1" applyBorder="1" applyAlignment="1">
      <alignment vertical="center" wrapText="1"/>
    </xf>
    <xf numFmtId="0" fontId="0" fillId="8" borderId="41" xfId="0" applyNumberFormat="1" applyFill="1" applyBorder="1" applyAlignment="1">
      <alignment horizontal="left" vertical="center"/>
    </xf>
    <xf numFmtId="49" fontId="7" fillId="0" borderId="3" xfId="0" applyFont="1" applyBorder="1" applyAlignment="1">
      <alignment horizontal="center" vertical="center"/>
    </xf>
    <xf numFmtId="49" fontId="7" fillId="12" borderId="3" xfId="0" applyFont="1" applyFill="1" applyBorder="1" applyAlignment="1">
      <alignment horizontal="center" vertical="center"/>
    </xf>
    <xf numFmtId="0" fontId="7" fillId="0" borderId="3" xfId="0" applyNumberFormat="1" applyFont="1" applyBorder="1" applyAlignment="1">
      <alignment horizontal="center" vertical="center"/>
    </xf>
    <xf numFmtId="49" fontId="7" fillId="0" borderId="14" xfId="0" applyFont="1" applyBorder="1" applyAlignment="1">
      <alignment horizontal="center" vertical="center"/>
    </xf>
    <xf numFmtId="49" fontId="19" fillId="0" borderId="8" xfId="0" applyFont="1" applyBorder="1" applyAlignment="1">
      <alignment horizontal="center" vertical="center"/>
    </xf>
    <xf numFmtId="49" fontId="2" fillId="0" borderId="8" xfId="0" applyFont="1" applyBorder="1" applyAlignment="1">
      <alignment horizontal="center" vertical="center"/>
    </xf>
    <xf numFmtId="0" fontId="2" fillId="0" borderId="8" xfId="0" applyNumberFormat="1" applyFont="1" applyBorder="1" applyAlignment="1">
      <alignment horizontal="right" vertical="center"/>
    </xf>
    <xf numFmtId="0" fontId="2" fillId="0" borderId="8" xfId="0" applyNumberFormat="1" applyFont="1" applyBorder="1" applyAlignment="1">
      <alignment horizontal="center" vertical="center"/>
    </xf>
    <xf numFmtId="0" fontId="2" fillId="0" borderId="3" xfId="0" applyNumberFormat="1" applyFont="1" applyBorder="1" applyAlignment="1">
      <alignment horizontal="right" vertical="center"/>
    </xf>
    <xf numFmtId="49" fontId="2" fillId="0" borderId="47" xfId="0" applyFont="1" applyBorder="1" applyAlignment="1">
      <alignment horizontal="center" vertical="center"/>
    </xf>
    <xf numFmtId="0" fontId="2" fillId="0" borderId="47" xfId="0" applyNumberFormat="1" applyFont="1" applyBorder="1" applyAlignment="1">
      <alignment horizontal="right" vertical="center"/>
    </xf>
    <xf numFmtId="0" fontId="2" fillId="0" borderId="47" xfId="0" applyNumberFormat="1" applyFont="1" applyBorder="1" applyAlignment="1">
      <alignment horizontal="center" vertical="center"/>
    </xf>
    <xf numFmtId="0" fontId="2" fillId="0" borderId="6" xfId="0" applyNumberFormat="1" applyFont="1" applyBorder="1" applyAlignment="1">
      <alignment horizontal="right" vertical="center"/>
    </xf>
    <xf numFmtId="0" fontId="2" fillId="0" borderId="4" xfId="0" applyNumberFormat="1" applyFont="1" applyBorder="1" applyAlignment="1">
      <alignment horizontal="right" vertical="center"/>
    </xf>
    <xf numFmtId="0" fontId="2" fillId="12" borderId="3" xfId="0" applyNumberFormat="1" applyFont="1" applyFill="1" applyBorder="1" applyAlignment="1">
      <alignment horizontal="right" vertical="center"/>
    </xf>
    <xf numFmtId="3" fontId="2" fillId="7" borderId="3" xfId="0" applyNumberFormat="1" applyFont="1" applyFill="1" applyBorder="1" applyAlignment="1" applyProtection="1">
      <alignment horizontal="right" vertical="center"/>
      <protection locked="0"/>
    </xf>
    <xf numFmtId="4" fontId="2" fillId="7" borderId="3" xfId="0" applyNumberFormat="1" applyFont="1" applyFill="1" applyBorder="1" applyAlignment="1" applyProtection="1">
      <alignment horizontal="right" vertical="center"/>
      <protection locked="0"/>
    </xf>
    <xf numFmtId="49" fontId="12" fillId="8" borderId="48" xfId="0" applyFont="1" applyFill="1" applyBorder="1" applyAlignment="1">
      <alignment horizontal="left" vertical="center" indent="1"/>
    </xf>
    <xf numFmtId="49" fontId="12" fillId="8" borderId="42" xfId="0" applyFont="1" applyFill="1" applyBorder="1" applyAlignment="1">
      <alignment horizontal="left" vertical="center" indent="1"/>
    </xf>
    <xf numFmtId="49" fontId="12" fillId="23" borderId="4" xfId="0" applyFont="1" applyFill="1" applyBorder="1" applyAlignment="1">
      <alignment horizontal="left" vertical="center" indent="1"/>
    </xf>
    <xf numFmtId="0" fontId="2" fillId="7" borderId="3" xfId="0" applyNumberFormat="1" applyFont="1" applyFill="1" applyBorder="1" applyAlignment="1" applyProtection="1">
      <alignment horizontal="left" vertical="center" indent="1"/>
      <protection locked="0"/>
    </xf>
    <xf numFmtId="0" fontId="2" fillId="19" borderId="0" xfId="0" applyNumberFormat="1" applyFont="1" applyFill="1" applyAlignment="1">
      <alignment horizontal="left" vertical="center"/>
    </xf>
    <xf numFmtId="0" fontId="2" fillId="6" borderId="3" xfId="0" applyNumberFormat="1" applyFont="1" applyFill="1" applyBorder="1" applyAlignment="1">
      <alignment horizontal="left" vertical="center" wrapText="1"/>
    </xf>
    <xf numFmtId="0" fontId="2" fillId="6" borderId="10" xfId="0" applyNumberFormat="1" applyFont="1" applyFill="1" applyBorder="1" applyAlignment="1">
      <alignment vertical="center" wrapText="1"/>
    </xf>
    <xf numFmtId="0" fontId="20" fillId="0" borderId="30" xfId="0" applyNumberFormat="1" applyFont="1" applyBorder="1" applyAlignment="1">
      <alignment vertical="center" wrapText="1"/>
    </xf>
    <xf numFmtId="49" fontId="0" fillId="5" borderId="3" xfId="0" applyFill="1" applyBorder="1" applyAlignment="1">
      <alignment horizontal="center" vertical="center"/>
    </xf>
    <xf numFmtId="49" fontId="2" fillId="0" borderId="13" xfId="0" applyFont="1" applyBorder="1">
      <alignment vertical="top"/>
    </xf>
    <xf numFmtId="0" fontId="2" fillId="0" borderId="13" xfId="0" applyNumberFormat="1" applyFont="1" applyBorder="1" applyAlignment="1">
      <alignment vertical="center" wrapText="1"/>
    </xf>
    <xf numFmtId="4" fontId="0" fillId="7" borderId="3" xfId="0" applyNumberFormat="1" applyFill="1" applyBorder="1" applyAlignment="1" applyProtection="1">
      <alignment horizontal="right" vertical="center" wrapText="1"/>
      <protection locked="0"/>
    </xf>
    <xf numFmtId="49" fontId="0" fillId="0" borderId="3" xfId="0" applyBorder="1" applyAlignment="1">
      <alignment horizontal="left" vertical="center" wrapText="1" indent="2"/>
    </xf>
    <xf numFmtId="49" fontId="0" fillId="0" borderId="3" xfId="0" applyBorder="1" applyAlignment="1">
      <alignment horizontal="left" vertical="center" wrapText="1" indent="3"/>
    </xf>
    <xf numFmtId="0" fontId="2" fillId="0" borderId="29" xfId="0" applyNumberFormat="1" applyFont="1" applyBorder="1" applyAlignment="1">
      <alignment vertical="center"/>
    </xf>
    <xf numFmtId="49" fontId="2" fillId="10" borderId="8" xfId="0" applyFont="1" applyFill="1" applyBorder="1" applyAlignment="1" applyProtection="1">
      <alignment horizontal="left" vertical="center" wrapText="1" indent="1"/>
      <protection locked="0"/>
    </xf>
    <xf numFmtId="0" fontId="2" fillId="6" borderId="19" xfId="0" applyNumberFormat="1" applyFont="1" applyFill="1" applyBorder="1" applyAlignment="1">
      <alignment vertical="center" wrapText="1"/>
    </xf>
    <xf numFmtId="0" fontId="20" fillId="6" borderId="10" xfId="0" applyNumberFormat="1" applyFont="1" applyFill="1" applyBorder="1" applyAlignment="1">
      <alignment horizontal="center" vertical="center" wrapText="1"/>
    </xf>
    <xf numFmtId="49" fontId="46" fillId="0" borderId="0" xfId="0" applyFont="1" applyAlignment="1">
      <alignment vertical="center" wrapText="1"/>
    </xf>
    <xf numFmtId="0" fontId="80" fillId="6" borderId="0" xfId="0" applyNumberFormat="1" applyFont="1" applyFill="1" applyAlignment="1">
      <alignment vertical="center" wrapText="1"/>
    </xf>
    <xf numFmtId="0" fontId="45" fillId="0" borderId="0" xfId="0" applyNumberFormat="1" applyFont="1" applyAlignment="1">
      <alignment horizontal="left" vertical="center" wrapText="1"/>
    </xf>
    <xf numFmtId="49" fontId="20" fillId="6" borderId="0" xfId="0" applyFont="1" applyFill="1" applyAlignment="1">
      <alignment horizontal="center" vertical="center" wrapText="1"/>
    </xf>
    <xf numFmtId="0" fontId="55" fillId="0" borderId="0" xfId="0" applyNumberFormat="1" applyFont="1" applyAlignment="1">
      <alignment vertical="center" wrapText="1"/>
    </xf>
    <xf numFmtId="4" fontId="0" fillId="6" borderId="5" xfId="0" applyNumberFormat="1" applyFill="1" applyBorder="1" applyAlignment="1">
      <alignment horizontal="right" vertical="center"/>
    </xf>
    <xf numFmtId="0" fontId="2" fillId="0" borderId="5" xfId="0" applyNumberFormat="1" applyFont="1" applyBorder="1" applyAlignment="1">
      <alignment horizontal="left" vertical="center" wrapText="1" indent="6"/>
    </xf>
    <xf numFmtId="49" fontId="2" fillId="8" borderId="21" xfId="0" applyFont="1" applyFill="1" applyBorder="1" applyAlignment="1">
      <alignment horizontal="center" vertical="center" wrapText="1"/>
    </xf>
    <xf numFmtId="0" fontId="20" fillId="0" borderId="0" xfId="0" applyNumberFormat="1" applyFont="1" applyAlignment="1">
      <alignment vertical="top" wrapText="1"/>
    </xf>
    <xf numFmtId="0" fontId="81" fillId="6" borderId="0" xfId="0" applyNumberFormat="1" applyFont="1" applyFill="1" applyAlignment="1">
      <alignment vertical="center" wrapText="1"/>
    </xf>
    <xf numFmtId="49" fontId="53" fillId="6" borderId="10" xfId="0" applyFont="1" applyFill="1" applyBorder="1" applyAlignment="1">
      <alignment horizontal="center" vertical="center" wrapText="1"/>
    </xf>
    <xf numFmtId="0" fontId="53" fillId="6" borderId="10" xfId="0" applyNumberFormat="1" applyFont="1" applyFill="1" applyBorder="1" applyAlignment="1">
      <alignment horizontal="center" vertical="center" wrapText="1"/>
    </xf>
    <xf numFmtId="49" fontId="2" fillId="0" borderId="0" xfId="0" applyFont="1" applyAlignment="1">
      <alignment horizontal="left" vertical="center"/>
    </xf>
    <xf numFmtId="49" fontId="2" fillId="0" borderId="0" xfId="0" applyFont="1" applyAlignment="1">
      <alignment horizontal="left" vertical="top"/>
    </xf>
    <xf numFmtId="169" fontId="2" fillId="7" borderId="3" xfId="0" applyNumberFormat="1" applyFont="1" applyFill="1" applyBorder="1" applyAlignment="1" applyProtection="1">
      <alignment horizontal="right" vertical="center" wrapText="1"/>
      <protection locked="0"/>
    </xf>
    <xf numFmtId="0" fontId="17" fillId="0" borderId="3" xfId="0" applyNumberFormat="1" applyFont="1" applyBorder="1" applyAlignment="1">
      <alignment vertical="top" wrapText="1"/>
    </xf>
    <xf numFmtId="0" fontId="2" fillId="11" borderId="3" xfId="0" applyNumberFormat="1" applyFont="1" applyFill="1" applyBorder="1" applyAlignment="1" applyProtection="1">
      <alignment horizontal="left" vertical="center" wrapText="1" indent="6"/>
      <protection locked="0"/>
    </xf>
    <xf numFmtId="0" fontId="82" fillId="0" borderId="0" xfId="0" applyNumberFormat="1" applyFont="1" applyAlignment="1">
      <alignment vertical="center"/>
    </xf>
    <xf numFmtId="0" fontId="2" fillId="0" borderId="0" xfId="0" applyNumberFormat="1" applyFont="1" applyAlignment="1">
      <alignment horizontal="left" vertical="center" indent="1"/>
    </xf>
    <xf numFmtId="49" fontId="83" fillId="8" borderId="6" xfId="0" applyFont="1" applyFill="1" applyBorder="1" applyAlignment="1">
      <alignment horizontal="left" vertical="center" indent="3"/>
    </xf>
    <xf numFmtId="49" fontId="46" fillId="8" borderId="6" xfId="0" applyFont="1" applyFill="1" applyBorder="1" applyAlignment="1">
      <alignment horizontal="center" vertical="center" wrapText="1"/>
    </xf>
    <xf numFmtId="49" fontId="40" fillId="8" borderId="6" xfId="0" applyFont="1" applyFill="1" applyBorder="1" applyAlignment="1">
      <alignment horizontal="center" vertical="center" wrapText="1"/>
    </xf>
    <xf numFmtId="49" fontId="40" fillId="8" borderId="4" xfId="0" applyFont="1" applyFill="1" applyBorder="1" applyAlignment="1">
      <alignment horizontal="center" vertical="center" wrapText="1"/>
    </xf>
    <xf numFmtId="49" fontId="83" fillId="8" borderId="6" xfId="0" applyFont="1" applyFill="1" applyBorder="1" applyAlignment="1">
      <alignment horizontal="left" vertical="center" indent="2"/>
    </xf>
    <xf numFmtId="49" fontId="83" fillId="8" borderId="6" xfId="0" applyFont="1" applyFill="1" applyBorder="1" applyAlignment="1">
      <alignment horizontal="left" vertical="center" indent="1"/>
    </xf>
    <xf numFmtId="49" fontId="83" fillId="8" borderId="6" xfId="0" applyFont="1" applyFill="1" applyBorder="1" applyAlignment="1">
      <alignment horizontal="left" vertical="center"/>
    </xf>
    <xf numFmtId="0" fontId="2" fillId="6" borderId="0" xfId="0" applyNumberFormat="1" applyFont="1" applyFill="1" applyAlignment="1">
      <alignment horizontal="left" vertical="center" wrapText="1"/>
    </xf>
    <xf numFmtId="0" fontId="0" fillId="0" borderId="0" xfId="0" applyNumberFormat="1" applyAlignment="1">
      <alignment horizontal="left" vertical="center"/>
    </xf>
    <xf numFmtId="49" fontId="53" fillId="6" borderId="10" xfId="0" applyFont="1" applyFill="1" applyBorder="1" applyAlignment="1">
      <alignment horizontal="left" vertical="center" wrapText="1"/>
    </xf>
    <xf numFmtId="49" fontId="43" fillId="8" borderId="5" xfId="0" applyFont="1" applyFill="1" applyBorder="1" applyAlignment="1">
      <alignment horizontal="left" vertical="center"/>
    </xf>
    <xf numFmtId="49" fontId="75" fillId="8" borderId="5" xfId="0" applyFont="1" applyFill="1" applyBorder="1" applyAlignment="1">
      <alignment horizontal="left" vertical="center"/>
    </xf>
    <xf numFmtId="49" fontId="40" fillId="8" borderId="5" xfId="0" applyFont="1" applyFill="1" applyBorder="1" applyAlignment="1">
      <alignment horizontal="left" vertical="top"/>
    </xf>
    <xf numFmtId="0" fontId="27" fillId="19" borderId="0" xfId="0" applyNumberFormat="1" applyFont="1" applyFill="1" applyAlignment="1">
      <alignment horizontal="left" vertical="center"/>
    </xf>
    <xf numFmtId="49" fontId="2" fillId="0" borderId="11" xfId="0" applyFont="1" applyBorder="1" applyAlignment="1">
      <alignment horizontal="left" vertical="center" wrapTex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12" fillId="0" borderId="18" xfId="0" applyNumberFormat="1" applyFont="1" applyBorder="1" applyAlignment="1">
      <alignment horizontal="left" vertical="center"/>
    </xf>
    <xf numFmtId="0" fontId="12" fillId="0" borderId="19" xfId="0" applyNumberFormat="1" applyFont="1" applyBorder="1" applyAlignment="1">
      <alignment horizontal="left" vertical="center"/>
    </xf>
    <xf numFmtId="0" fontId="0" fillId="0" borderId="19" xfId="0" applyNumberFormat="1" applyBorder="1" applyAlignment="1">
      <alignment vertical="center"/>
    </xf>
    <xf numFmtId="0" fontId="12" fillId="0" borderId="21" xfId="0" applyNumberFormat="1" applyFont="1" applyBorder="1" applyAlignment="1">
      <alignment horizontal="left" vertical="center"/>
    </xf>
    <xf numFmtId="0" fontId="17" fillId="0" borderId="8" xfId="0" applyNumberFormat="1" applyFont="1" applyBorder="1" applyAlignment="1">
      <alignment vertical="top" wrapText="1"/>
    </xf>
    <xf numFmtId="0" fontId="2" fillId="0" borderId="0" xfId="0" applyNumberFormat="1" applyFont="1" applyAlignment="1">
      <alignment horizontal="center" vertical="center"/>
    </xf>
    <xf numFmtId="49" fontId="81" fillId="0" borderId="0" xfId="0" applyFont="1">
      <alignment vertical="top"/>
    </xf>
    <xf numFmtId="49" fontId="71" fillId="0" borderId="10" xfId="0" applyFont="1" applyBorder="1" applyAlignment="1">
      <alignment horizontal="left" vertical="center"/>
    </xf>
    <xf numFmtId="49" fontId="20" fillId="0" borderId="10" xfId="0" applyFont="1" applyBorder="1" applyAlignment="1">
      <alignment horizontal="left" vertical="center" indent="3"/>
    </xf>
    <xf numFmtId="49" fontId="20" fillId="0" borderId="10" xfId="0" applyFont="1" applyBorder="1" applyAlignment="1">
      <alignment horizontal="center" vertical="center" wrapText="1"/>
    </xf>
    <xf numFmtId="49" fontId="20" fillId="0" borderId="0" xfId="0" applyFont="1" applyAlignment="1">
      <alignment horizontal="left" vertical="center"/>
    </xf>
    <xf numFmtId="49" fontId="71" fillId="0" borderId="0" xfId="0" applyFont="1" applyAlignment="1">
      <alignment horizontal="left" vertical="center"/>
    </xf>
    <xf numFmtId="49" fontId="20" fillId="0" borderId="0" xfId="0" applyFont="1" applyAlignment="1">
      <alignment horizontal="left" vertical="center" indent="2"/>
    </xf>
    <xf numFmtId="49" fontId="20" fillId="0" borderId="0" xfId="0" applyFont="1" applyAlignment="1">
      <alignment horizontal="left" vertical="center" indent="1"/>
    </xf>
    <xf numFmtId="0" fontId="0" fillId="0" borderId="4" xfId="0" applyNumberFormat="1" applyBorder="1" applyAlignment="1">
      <alignment horizontal="center" vertical="center" wrapText="1"/>
    </xf>
    <xf numFmtId="0" fontId="2" fillId="11" borderId="3" xfId="0" applyNumberFormat="1" applyFont="1" applyFill="1" applyBorder="1" applyAlignment="1">
      <alignment horizontal="left" vertical="center" wrapText="1" indent="6"/>
    </xf>
    <xf numFmtId="4" fontId="2" fillId="0" borderId="8" xfId="0" applyNumberFormat="1" applyFont="1" applyBorder="1" applyAlignment="1">
      <alignment horizontal="right" vertical="center" wrapText="1"/>
    </xf>
    <xf numFmtId="4" fontId="2" fillId="0" borderId="14" xfId="0" applyNumberFormat="1" applyFont="1" applyBorder="1" applyAlignment="1">
      <alignment horizontal="right" vertical="center" wrapText="1"/>
    </xf>
    <xf numFmtId="169" fontId="19" fillId="0" borderId="3" xfId="0" applyNumberFormat="1" applyFont="1" applyBorder="1" applyAlignment="1">
      <alignment horizontal="right" vertical="center" wrapText="1"/>
    </xf>
    <xf numFmtId="0" fontId="19" fillId="0" borderId="0" xfId="0" applyNumberFormat="1" applyFont="1" applyAlignment="1">
      <alignment horizontal="left" vertical="center" indent="1"/>
    </xf>
    <xf numFmtId="0" fontId="19" fillId="0" borderId="0" xfId="0" applyNumberFormat="1" applyFont="1" applyAlignment="1">
      <alignment horizontal="center" vertical="center"/>
    </xf>
    <xf numFmtId="49" fontId="19" fillId="0" borderId="3" xfId="0" applyFont="1" applyBorder="1" applyAlignment="1">
      <alignment vertical="center" wrapText="1"/>
    </xf>
    <xf numFmtId="0" fontId="42" fillId="0" borderId="0" xfId="0" applyNumberFormat="1" applyFont="1" applyAlignment="1">
      <alignment vertical="center" wrapText="1"/>
    </xf>
    <xf numFmtId="0" fontId="0" fillId="0" borderId="6" xfId="0" applyNumberFormat="1" applyBorder="1" applyAlignment="1">
      <alignment vertical="center"/>
    </xf>
    <xf numFmtId="0" fontId="46" fillId="0" borderId="0" xfId="0" applyNumberFormat="1" applyFont="1" applyAlignment="1">
      <alignment horizontal="left" vertical="center" indent="1"/>
    </xf>
    <xf numFmtId="0" fontId="46" fillId="0" borderId="0" xfId="0" applyNumberFormat="1" applyFont="1" applyAlignment="1">
      <alignment horizontal="center" vertical="center"/>
    </xf>
    <xf numFmtId="0" fontId="46" fillId="0" borderId="0" xfId="0" applyNumberFormat="1" applyFont="1" applyAlignment="1">
      <alignment horizontal="left" vertical="center" wrapText="1"/>
    </xf>
    <xf numFmtId="49" fontId="46" fillId="0" borderId="0" xfId="0" applyFont="1" applyAlignment="1">
      <alignment horizontal="left" vertical="center"/>
    </xf>
    <xf numFmtId="4" fontId="2" fillId="0" borderId="4" xfId="0" applyNumberFormat="1" applyFont="1" applyBorder="1" applyAlignment="1">
      <alignment horizontal="right" vertical="center" wrapText="1"/>
    </xf>
    <xf numFmtId="0" fontId="20" fillId="0" borderId="3" xfId="0" applyNumberFormat="1" applyFont="1" applyBorder="1" applyAlignment="1">
      <alignment horizontal="left" vertical="center" wrapText="1" indent="4"/>
    </xf>
    <xf numFmtId="0" fontId="20" fillId="0" borderId="3" xfId="0" applyNumberFormat="1" applyFont="1" applyBorder="1" applyAlignment="1">
      <alignment horizontal="left" vertical="center" wrapText="1" indent="6"/>
    </xf>
    <xf numFmtId="0" fontId="20" fillId="0" borderId="3" xfId="0" applyNumberFormat="1" applyFont="1" applyBorder="1" applyAlignment="1">
      <alignment vertical="top" wrapText="1"/>
    </xf>
    <xf numFmtId="49" fontId="71" fillId="0" borderId="5" xfId="0" applyFont="1" applyBorder="1" applyAlignment="1">
      <alignment horizontal="left" vertical="center"/>
    </xf>
    <xf numFmtId="49" fontId="20" fillId="0" borderId="6" xfId="0" applyFont="1" applyBorder="1" applyAlignment="1">
      <alignment horizontal="left" vertical="center" indent="4"/>
    </xf>
    <xf numFmtId="49" fontId="20" fillId="0" borderId="6" xfId="0" applyFont="1" applyBorder="1" applyAlignment="1">
      <alignment horizontal="center" vertical="center" wrapText="1"/>
    </xf>
    <xf numFmtId="49" fontId="20" fillId="0" borderId="4" xfId="0" applyFont="1" applyBorder="1" applyAlignment="1">
      <alignment horizontal="center" vertical="center" wrapText="1"/>
    </xf>
    <xf numFmtId="4" fontId="2" fillId="0" borderId="27" xfId="0" applyNumberFormat="1" applyFont="1" applyBorder="1" applyAlignment="1">
      <alignment horizontal="right" vertical="center" wrapText="1"/>
    </xf>
    <xf numFmtId="0" fontId="2" fillId="7" borderId="3" xfId="0" applyNumberFormat="1" applyFont="1" applyFill="1" applyBorder="1" applyAlignment="1" applyProtection="1">
      <alignment horizontal="left" vertical="center" wrapText="1" indent="7"/>
      <protection locked="0"/>
    </xf>
    <xf numFmtId="0" fontId="2" fillId="8" borderId="6" xfId="0" applyNumberFormat="1" applyFont="1" applyFill="1" applyBorder="1" applyAlignment="1">
      <alignment horizontal="left" vertical="center" wrapText="1" indent="6"/>
    </xf>
    <xf numFmtId="4" fontId="2" fillId="8" borderId="6" xfId="0" applyNumberFormat="1" applyFont="1" applyFill="1" applyBorder="1" applyAlignment="1">
      <alignment horizontal="right" vertical="center" wrapText="1"/>
    </xf>
    <xf numFmtId="4" fontId="20" fillId="8" borderId="6" xfId="0" applyNumberFormat="1" applyFont="1" applyFill="1" applyBorder="1" applyAlignment="1">
      <alignment horizontal="center" vertical="center" wrapText="1"/>
    </xf>
    <xf numFmtId="4" fontId="2" fillId="8" borderId="4" xfId="0" applyNumberFormat="1" applyFont="1" applyFill="1" applyBorder="1" applyAlignment="1">
      <alignment horizontal="right" vertical="center" wrapText="1"/>
    </xf>
    <xf numFmtId="4" fontId="20" fillId="8" borderId="4" xfId="0" applyNumberFormat="1" applyFont="1" applyFill="1" applyBorder="1" applyAlignment="1">
      <alignment horizontal="center" vertical="center" wrapText="1"/>
    </xf>
    <xf numFmtId="169" fontId="2" fillId="8" borderId="4" xfId="0" applyNumberFormat="1" applyFont="1" applyFill="1" applyBorder="1" applyAlignment="1">
      <alignment horizontal="right" vertical="center" wrapText="1"/>
    </xf>
    <xf numFmtId="0" fontId="20" fillId="0" borderId="3" xfId="0" applyNumberFormat="1" applyFont="1" applyBorder="1" applyAlignment="1">
      <alignment horizontal="left" vertical="center" wrapText="1" indent="5"/>
    </xf>
    <xf numFmtId="49" fontId="46" fillId="0" borderId="15" xfId="0" applyFont="1" applyBorder="1">
      <alignment vertical="top"/>
    </xf>
    <xf numFmtId="49" fontId="20" fillId="0" borderId="15" xfId="0" applyFont="1" applyBorder="1">
      <alignment vertical="top"/>
    </xf>
    <xf numFmtId="169" fontId="20" fillId="0" borderId="3" xfId="0" applyNumberFormat="1" applyFont="1" applyBorder="1" applyAlignment="1">
      <alignment horizontal="right" vertical="center" wrapText="1"/>
    </xf>
    <xf numFmtId="169" fontId="2" fillId="7" borderId="5" xfId="0" applyNumberFormat="1" applyFont="1" applyFill="1" applyBorder="1" applyAlignment="1" applyProtection="1">
      <alignment horizontal="right" vertical="center" wrapText="1"/>
      <protection locked="0"/>
    </xf>
    <xf numFmtId="4" fontId="20" fillId="0" borderId="5" xfId="0" applyNumberFormat="1" applyFont="1" applyBorder="1" applyAlignment="1">
      <alignment horizontal="center" vertical="center" wrapText="1"/>
    </xf>
    <xf numFmtId="4" fontId="2" fillId="7" borderId="4" xfId="0" applyNumberFormat="1" applyFont="1" applyFill="1" applyBorder="1" applyAlignment="1" applyProtection="1">
      <alignment horizontal="right" vertical="center" wrapText="1"/>
      <protection locked="0"/>
    </xf>
    <xf numFmtId="49" fontId="2" fillId="8" borderId="19" xfId="0" applyFont="1" applyFill="1" applyBorder="1" applyAlignment="1">
      <alignment horizontal="center" vertical="center" wrapText="1"/>
    </xf>
    <xf numFmtId="0" fontId="29" fillId="6" borderId="0" xfId="0" applyNumberFormat="1" applyFont="1" applyFill="1" applyAlignment="1">
      <alignment horizontal="center" vertical="center" wrapText="1"/>
    </xf>
    <xf numFmtId="49" fontId="0" fillId="0" borderId="10" xfId="0" applyBorder="1" applyAlignment="1">
      <alignment horizontal="left" vertical="center" wrapText="1"/>
    </xf>
    <xf numFmtId="49" fontId="2" fillId="0" borderId="10" xfId="0" applyFont="1" applyBorder="1" applyAlignment="1">
      <alignment horizontal="center" vertical="center" wrapText="1"/>
    </xf>
    <xf numFmtId="49" fontId="3" fillId="0" borderId="0" xfId="0" applyFont="1" applyAlignment="1">
      <alignment horizontal="center" vertical="center"/>
    </xf>
    <xf numFmtId="0" fontId="27" fillId="0" borderId="0" xfId="0" applyNumberFormat="1" applyFont="1" applyAlignment="1">
      <alignment horizontal="left" vertical="center"/>
    </xf>
    <xf numFmtId="0" fontId="0" fillId="0" borderId="0" xfId="0" applyNumberFormat="1" applyAlignment="1">
      <alignment horizontal="right" vertical="top"/>
    </xf>
    <xf numFmtId="0" fontId="12" fillId="8" borderId="21" xfId="0" applyNumberFormat="1" applyFont="1" applyFill="1" applyBorder="1" applyAlignment="1">
      <alignment horizontal="left" vertical="center"/>
    </xf>
    <xf numFmtId="49" fontId="20" fillId="0" borderId="5" xfId="0" applyFont="1" applyBorder="1" applyAlignment="1">
      <alignment horizontal="left" vertical="center" wrapText="1"/>
    </xf>
    <xf numFmtId="0" fontId="20" fillId="0" borderId="5" xfId="0" applyNumberFormat="1" applyFont="1" applyBorder="1" applyAlignment="1">
      <alignment horizontal="left" vertical="center"/>
    </xf>
    <xf numFmtId="0" fontId="20" fillId="0" borderId="6" xfId="0" applyNumberFormat="1" applyFont="1" applyBorder="1" applyAlignment="1">
      <alignment horizontal="left" vertical="center"/>
    </xf>
    <xf numFmtId="49" fontId="2" fillId="7" borderId="3" xfId="0" applyFont="1" applyFill="1" applyBorder="1" applyAlignment="1" applyProtection="1">
      <alignment horizontal="left" vertical="center" wrapText="1" indent="6"/>
      <protection locked="0"/>
    </xf>
    <xf numFmtId="4" fontId="2" fillId="0" borderId="28" xfId="0" applyNumberFormat="1" applyFont="1" applyBorder="1" applyAlignment="1">
      <alignment horizontal="right" vertical="center" wrapText="1"/>
    </xf>
    <xf numFmtId="49" fontId="0" fillId="8" borderId="21" xfId="0" applyFill="1" applyBorder="1" applyAlignment="1">
      <alignment horizontal="center" vertical="center" wrapText="1"/>
    </xf>
    <xf numFmtId="0" fontId="84" fillId="0" borderId="0" xfId="0" applyNumberFormat="1" applyFont="1" applyAlignment="1">
      <alignment vertical="center" wrapText="1"/>
    </xf>
    <xf numFmtId="49" fontId="20" fillId="0" borderId="3" xfId="0" applyFont="1" applyBorder="1" applyAlignment="1">
      <alignment horizontal="center" vertical="center" wrapText="1"/>
    </xf>
    <xf numFmtId="0" fontId="20" fillId="6" borderId="0" xfId="0" applyNumberFormat="1" applyFont="1" applyFill="1" applyAlignment="1">
      <alignment horizontal="center" vertical="center" wrapText="1"/>
    </xf>
    <xf numFmtId="0" fontId="2" fillId="6" borderId="15" xfId="0" applyNumberFormat="1" applyFont="1" applyFill="1" applyBorder="1" applyAlignment="1">
      <alignment horizontal="center" vertical="center" wrapText="1"/>
    </xf>
    <xf numFmtId="169" fontId="2" fillId="8" borderId="6" xfId="0" applyNumberFormat="1" applyFont="1" applyFill="1" applyBorder="1" applyAlignment="1">
      <alignment horizontal="right" vertical="center" wrapText="1"/>
    </xf>
    <xf numFmtId="0" fontId="85" fillId="0" borderId="0" xfId="0" applyNumberFormat="1" applyFont="1" applyAlignment="1">
      <alignment vertical="center" wrapText="1"/>
    </xf>
    <xf numFmtId="0" fontId="85" fillId="6" borderId="0" xfId="0" applyNumberFormat="1" applyFont="1" applyFill="1" applyAlignment="1">
      <alignment horizontal="center" vertical="center" wrapText="1"/>
    </xf>
    <xf numFmtId="0" fontId="20" fillId="6" borderId="3" xfId="0" applyNumberFormat="1" applyFont="1" applyFill="1" applyBorder="1" applyAlignment="1">
      <alignment horizontal="left" vertical="center" wrapText="1" indent="3"/>
    </xf>
    <xf numFmtId="49" fontId="12" fillId="8" borderId="19" xfId="0" applyFont="1" applyFill="1" applyBorder="1" applyAlignment="1">
      <alignment horizontal="left" vertical="center"/>
    </xf>
    <xf numFmtId="0" fontId="85" fillId="0" borderId="0" xfId="0" applyNumberFormat="1" applyFont="1" applyAlignment="1">
      <alignment horizontal="center" vertical="center" wrapText="1"/>
    </xf>
    <xf numFmtId="49" fontId="20" fillId="0" borderId="0" xfId="0" applyFont="1" applyAlignment="1">
      <alignment horizontal="left" vertical="center" wrapText="1" indent="1"/>
    </xf>
    <xf numFmtId="0" fontId="20" fillId="0" borderId="0" xfId="0" applyNumberFormat="1" applyFont="1" applyAlignment="1">
      <alignment horizontal="left" vertical="center" wrapText="1" indent="4"/>
    </xf>
    <xf numFmtId="49" fontId="2" fillId="8" borderId="5" xfId="0" applyFont="1" applyFill="1" applyBorder="1" applyAlignment="1">
      <alignment horizontal="center" vertical="center" wrapText="1"/>
    </xf>
    <xf numFmtId="0" fontId="20" fillId="0" borderId="15" xfId="0" applyNumberFormat="1" applyFont="1" applyBorder="1" applyAlignment="1">
      <alignment horizontal="left" vertical="center" wrapText="1" indent="1"/>
    </xf>
    <xf numFmtId="0" fontId="19" fillId="0" borderId="0" xfId="0" applyNumberFormat="1" applyFont="1" applyAlignment="1">
      <alignment horizontal="left" vertical="center"/>
    </xf>
    <xf numFmtId="49" fontId="19" fillId="0" borderId="0" xfId="0" applyFont="1" applyAlignment="1">
      <alignment horizontal="left" vertical="center"/>
    </xf>
    <xf numFmtId="0" fontId="42" fillId="0" borderId="0" xfId="0" applyNumberFormat="1" applyFont="1" applyAlignment="1">
      <alignment horizontal="left" vertical="center"/>
    </xf>
    <xf numFmtId="0" fontId="20" fillId="0" borderId="0" xfId="0" applyNumberFormat="1" applyFont="1" applyAlignment="1">
      <alignment horizontal="left" vertical="center"/>
    </xf>
    <xf numFmtId="49" fontId="2" fillId="0" borderId="10" xfId="0" applyFont="1" applyBorder="1" applyAlignment="1">
      <alignment horizontal="left" vertical="center" wrapText="1"/>
    </xf>
    <xf numFmtId="49" fontId="19" fillId="0" borderId="0" xfId="0" applyFont="1" applyAlignment="1">
      <alignment horizontal="left" vertical="top"/>
    </xf>
    <xf numFmtId="49" fontId="2" fillId="6" borderId="3" xfId="0" applyFont="1" applyFill="1" applyBorder="1" applyAlignment="1">
      <alignment horizontal="center" vertical="center"/>
    </xf>
    <xf numFmtId="49" fontId="2" fillId="0" borderId="3" xfId="0" applyFont="1" applyBorder="1" applyAlignment="1">
      <alignment horizontal="center" vertical="center"/>
    </xf>
    <xf numFmtId="0" fontId="20" fillId="6" borderId="3" xfId="0" applyNumberFormat="1" applyFont="1" applyFill="1" applyBorder="1" applyAlignment="1">
      <alignment horizontal="center" vertical="center"/>
    </xf>
    <xf numFmtId="0" fontId="46" fillId="6" borderId="0" xfId="0" applyNumberFormat="1" applyFont="1" applyFill="1" applyAlignment="1">
      <alignment vertical="center" wrapText="1"/>
    </xf>
    <xf numFmtId="0" fontId="40" fillId="6" borderId="0" xfId="0" applyNumberFormat="1" applyFont="1" applyFill="1" applyAlignment="1"/>
    <xf numFmtId="0" fontId="57" fillId="6" borderId="0" xfId="0" applyNumberFormat="1" applyFont="1" applyFill="1" applyAlignment="1"/>
    <xf numFmtId="0" fontId="41" fillId="6" borderId="0" xfId="0" applyNumberFormat="1" applyFont="1" applyFill="1" applyAlignment="1"/>
    <xf numFmtId="14" fontId="2" fillId="10" borderId="14" xfId="0" applyNumberFormat="1" applyFont="1" applyFill="1" applyBorder="1" applyAlignment="1" applyProtection="1">
      <alignment horizontal="left" vertical="center" wrapText="1" indent="1"/>
      <protection locked="0"/>
    </xf>
    <xf numFmtId="0" fontId="86" fillId="0" borderId="0" xfId="0" applyNumberFormat="1" applyFont="1" applyAlignment="1">
      <alignment vertical="center"/>
    </xf>
    <xf numFmtId="0" fontId="86" fillId="0" borderId="0" xfId="0" applyNumberFormat="1" applyFont="1" applyAlignment="1">
      <alignment vertical="center" wrapText="1"/>
    </xf>
    <xf numFmtId="168" fontId="2" fillId="0" borderId="14" xfId="0" applyNumberFormat="1" applyFont="1" applyBorder="1" applyAlignment="1">
      <alignment horizontal="center" vertical="center" wrapText="1"/>
    </xf>
    <xf numFmtId="14" fontId="2" fillId="10" borderId="3" xfId="0" applyNumberFormat="1" applyFont="1" applyFill="1" applyBorder="1" applyAlignment="1" applyProtection="1">
      <alignment horizontal="left" vertical="center" wrapText="1" indent="1"/>
      <protection locked="0"/>
    </xf>
    <xf numFmtId="0" fontId="2" fillId="5" borderId="14" xfId="0" applyNumberFormat="1" applyFont="1" applyFill="1" applyBorder="1" applyAlignment="1">
      <alignment horizontal="left" vertical="center" wrapText="1" indent="1"/>
    </xf>
    <xf numFmtId="168" fontId="2" fillId="0" borderId="8" xfId="0" applyNumberFormat="1" applyFont="1" applyBorder="1" applyAlignment="1">
      <alignment horizontal="center" vertical="center" wrapText="1"/>
    </xf>
    <xf numFmtId="49" fontId="22" fillId="8" borderId="18" xfId="0" applyFont="1" applyFill="1" applyBorder="1" applyAlignment="1">
      <alignment horizontal="right" vertical="center" wrapText="1"/>
    </xf>
    <xf numFmtId="49" fontId="0" fillId="8" borderId="19" xfId="0" applyFill="1" applyBorder="1" applyAlignment="1">
      <alignment horizontal="right" vertical="center" wrapText="1"/>
    </xf>
    <xf numFmtId="49" fontId="0" fillId="8" borderId="3" xfId="0" applyFill="1" applyBorder="1" applyAlignment="1">
      <alignment horizontal="right" vertical="center" wrapText="1"/>
    </xf>
    <xf numFmtId="49" fontId="22" fillId="8" borderId="19" xfId="0" applyFont="1" applyFill="1" applyBorder="1" applyAlignment="1">
      <alignment horizontal="right" vertical="center" wrapText="1"/>
    </xf>
    <xf numFmtId="49" fontId="26" fillId="10" borderId="14" xfId="0" applyFont="1" applyFill="1" applyBorder="1" applyAlignment="1" applyProtection="1">
      <alignment horizontal="left" vertical="center" wrapText="1"/>
      <protection locked="0"/>
    </xf>
    <xf numFmtId="49" fontId="26" fillId="10" borderId="18" xfId="0" applyFont="1" applyFill="1" applyBorder="1" applyAlignment="1" applyProtection="1">
      <alignment horizontal="left" vertical="center" wrapText="1"/>
      <protection locked="0"/>
    </xf>
    <xf numFmtId="49" fontId="26" fillId="8" borderId="19" xfId="0" applyFont="1" applyFill="1" applyBorder="1" applyAlignment="1">
      <alignment horizontal="left" vertical="center" wrapText="1"/>
    </xf>
    <xf numFmtId="49" fontId="26" fillId="8" borderId="14" xfId="0" applyFont="1" applyFill="1" applyBorder="1" applyAlignment="1">
      <alignment horizontal="left" vertical="center" wrapText="1"/>
    </xf>
    <xf numFmtId="0" fontId="20" fillId="0" borderId="19" xfId="0" applyNumberFormat="1" applyFont="1" applyBorder="1" applyAlignment="1">
      <alignment horizontal="center" vertical="center" wrapText="1"/>
    </xf>
    <xf numFmtId="0" fontId="28" fillId="0" borderId="0" xfId="0" applyNumberFormat="1" applyFont="1" applyAlignment="1">
      <alignment horizontal="center" vertical="center"/>
    </xf>
    <xf numFmtId="0" fontId="14" fillId="0" borderId="0" xfId="0" applyNumberFormat="1" applyFont="1" applyAlignment="1">
      <alignment horizontal="center" vertical="center" wrapText="1"/>
    </xf>
    <xf numFmtId="14" fontId="2" fillId="11" borderId="3" xfId="0" applyNumberFormat="1" applyFont="1" applyFill="1" applyBorder="1" applyAlignment="1">
      <alignment horizontal="left" vertical="center" wrapText="1"/>
    </xf>
    <xf numFmtId="168" fontId="2" fillId="0" borderId="28" xfId="0" applyNumberFormat="1" applyFont="1" applyBorder="1" applyAlignment="1">
      <alignment horizontal="center" vertical="center" wrapText="1"/>
    </xf>
    <xf numFmtId="0" fontId="19" fillId="6" borderId="0" xfId="0" applyNumberFormat="1" applyFont="1" applyFill="1" applyAlignment="1"/>
    <xf numFmtId="168" fontId="17" fillId="0" borderId="49" xfId="0" applyNumberFormat="1" applyFont="1" applyBorder="1" applyAlignment="1">
      <alignment horizontal="center" vertical="center" wrapText="1"/>
    </xf>
    <xf numFmtId="49" fontId="26" fillId="10" borderId="19" xfId="0" applyFont="1" applyFill="1" applyBorder="1" applyAlignment="1" applyProtection="1">
      <alignment horizontal="left" vertical="center" wrapText="1"/>
      <protection locked="0"/>
    </xf>
    <xf numFmtId="0" fontId="2" fillId="5" borderId="5" xfId="0" applyNumberFormat="1" applyFont="1" applyFill="1" applyBorder="1" applyAlignment="1">
      <alignment horizontal="left" vertical="top" wrapText="1"/>
    </xf>
    <xf numFmtId="49" fontId="20" fillId="0" borderId="0" xfId="0" applyFont="1" applyAlignment="1">
      <alignment horizontal="center" vertical="center"/>
    </xf>
    <xf numFmtId="49" fontId="40" fillId="0" borderId="0" xfId="0" applyFont="1">
      <alignment vertical="top"/>
    </xf>
    <xf numFmtId="0" fontId="14" fillId="0" borderId="0" xfId="0" applyNumberFormat="1" applyFont="1" applyAlignment="1">
      <alignment vertical="center"/>
    </xf>
    <xf numFmtId="0" fontId="2" fillId="0" borderId="27"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49" fontId="2" fillId="0" borderId="27" xfId="0" applyFont="1" applyBorder="1" applyAlignment="1">
      <alignment horizontal="left" vertical="center" wrapText="1"/>
    </xf>
    <xf numFmtId="49" fontId="2" fillId="0" borderId="27" xfId="0" applyFont="1" applyBorder="1" applyAlignment="1">
      <alignment horizontal="center" vertical="center" wrapText="1"/>
    </xf>
    <xf numFmtId="0" fontId="2" fillId="0" borderId="27" xfId="0" applyNumberFormat="1" applyFont="1" applyBorder="1" applyAlignment="1">
      <alignment horizontal="left" vertical="center" wrapText="1"/>
    </xf>
    <xf numFmtId="49" fontId="2" fillId="0" borderId="27" xfId="0" applyFont="1" applyBorder="1" applyAlignment="1">
      <alignment vertical="center" wrapText="1"/>
    </xf>
    <xf numFmtId="0" fontId="12" fillId="0" borderId="14" xfId="0" applyNumberFormat="1" applyFont="1" applyBorder="1" applyAlignment="1">
      <alignment horizontal="left" vertical="center"/>
    </xf>
    <xf numFmtId="0" fontId="12" fillId="0" borderId="27" xfId="0" applyNumberFormat="1" applyFont="1" applyBorder="1" applyAlignment="1">
      <alignment horizontal="left" vertical="center"/>
    </xf>
    <xf numFmtId="0" fontId="12" fillId="8" borderId="28" xfId="0" applyNumberFormat="1" applyFont="1" applyFill="1" applyBorder="1" applyAlignment="1">
      <alignment horizontal="left" vertical="center"/>
    </xf>
    <xf numFmtId="49" fontId="40" fillId="8" borderId="5" xfId="0" applyFont="1" applyFill="1" applyBorder="1">
      <alignment vertical="top"/>
    </xf>
    <xf numFmtId="49" fontId="40" fillId="8" borderId="6" xfId="0" applyFont="1" applyFill="1" applyBorder="1">
      <alignment vertical="top"/>
    </xf>
    <xf numFmtId="49" fontId="2" fillId="11" borderId="8" xfId="0" applyFont="1" applyFill="1" applyBorder="1" applyAlignment="1">
      <alignment vertical="center" wrapText="1"/>
    </xf>
    <xf numFmtId="49" fontId="19" fillId="0" borderId="0" xfId="0" applyFont="1" applyAlignment="1">
      <alignment horizontal="center" vertical="center"/>
    </xf>
    <xf numFmtId="0" fontId="87" fillId="0" borderId="0" xfId="0" applyNumberFormat="1" applyFont="1" applyAlignment="1">
      <alignment vertical="center" wrapText="1"/>
    </xf>
    <xf numFmtId="0" fontId="88" fillId="0" borderId="0" xfId="0" applyNumberFormat="1" applyFont="1" applyAlignment="1">
      <alignment vertical="center" wrapText="1"/>
    </xf>
    <xf numFmtId="0" fontId="2" fillId="0" borderId="8" xfId="0" applyNumberFormat="1" applyFont="1" applyBorder="1" applyAlignment="1">
      <alignment horizontal="left" vertical="center" wrapText="1"/>
    </xf>
    <xf numFmtId="49" fontId="2" fillId="0" borderId="10" xfId="0" applyFont="1" applyBorder="1" applyAlignment="1">
      <alignment vertical="center" wrapText="1"/>
    </xf>
    <xf numFmtId="49" fontId="8" fillId="0" borderId="10" xfId="0" applyFont="1" applyBorder="1" applyAlignment="1">
      <alignment vertical="center" wrapText="1"/>
    </xf>
    <xf numFmtId="0" fontId="2" fillId="0" borderId="10" xfId="0" applyNumberFormat="1" applyFont="1" applyBorder="1" applyAlignment="1">
      <alignment horizontal="left" vertical="center" wrapText="1"/>
    </xf>
    <xf numFmtId="49" fontId="8" fillId="0" borderId="0" xfId="0" applyFont="1" applyAlignment="1">
      <alignment vertical="center" wrapText="1"/>
    </xf>
    <xf numFmtId="0" fontId="12" fillId="0" borderId="0" xfId="0" applyNumberFormat="1" applyFont="1" applyAlignment="1">
      <alignment vertical="center"/>
    </xf>
    <xf numFmtId="49" fontId="40" fillId="0" borderId="18" xfId="0" applyFont="1" applyBorder="1">
      <alignment vertical="top"/>
    </xf>
    <xf numFmtId="49" fontId="2" fillId="0" borderId="28" xfId="0" applyFont="1" applyBorder="1" applyAlignment="1">
      <alignment vertical="center" wrapText="1"/>
    </xf>
    <xf numFmtId="49" fontId="2" fillId="0" borderId="13" xfId="0" applyFont="1" applyBorder="1" applyAlignment="1">
      <alignment vertical="center" wrapText="1"/>
    </xf>
    <xf numFmtId="0" fontId="12" fillId="0" borderId="13" xfId="0" applyNumberFormat="1" applyFont="1" applyBorder="1" applyAlignment="1">
      <alignment horizontal="left" vertical="center"/>
    </xf>
    <xf numFmtId="49" fontId="40" fillId="0" borderId="19" xfId="0" applyFont="1" applyBorder="1">
      <alignment vertical="top"/>
    </xf>
    <xf numFmtId="0" fontId="12" fillId="8" borderId="28" xfId="0" applyNumberFormat="1" applyFont="1" applyFill="1" applyBorder="1" applyAlignment="1">
      <alignment vertical="center"/>
    </xf>
    <xf numFmtId="0" fontId="8" fillId="6" borderId="3" xfId="0" applyNumberFormat="1" applyFont="1" applyFill="1" applyBorder="1" applyAlignment="1">
      <alignment horizontal="center" vertical="center" wrapText="1"/>
    </xf>
    <xf numFmtId="3"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left" vertical="center" wrapText="1" indent="1"/>
    </xf>
    <xf numFmtId="49" fontId="2" fillId="0" borderId="50" xfId="0" applyFont="1" applyBorder="1" applyAlignment="1">
      <alignment horizontal="center" vertical="center" wrapText="1"/>
    </xf>
    <xf numFmtId="49" fontId="2" fillId="0" borderId="20" xfId="0" applyFont="1" applyBorder="1" applyAlignment="1">
      <alignment horizontal="center" vertical="center" wrapText="1"/>
    </xf>
    <xf numFmtId="0" fontId="20" fillId="0" borderId="8" xfId="0" applyNumberFormat="1" applyFont="1" applyBorder="1" applyAlignment="1">
      <alignment horizontal="center" vertical="center" wrapText="1"/>
    </xf>
    <xf numFmtId="0" fontId="20" fillId="0" borderId="5" xfId="0" applyNumberFormat="1" applyFont="1" applyBorder="1" applyAlignment="1">
      <alignment vertical="center" wrapText="1"/>
    </xf>
    <xf numFmtId="0" fontId="20" fillId="0" borderId="5" xfId="0" applyNumberFormat="1" applyFont="1" applyBorder="1" applyAlignment="1">
      <alignment horizontal="left" vertical="top" wrapText="1"/>
    </xf>
    <xf numFmtId="49" fontId="2" fillId="0" borderId="51" xfId="0" applyFont="1" applyBorder="1" applyAlignment="1">
      <alignment horizontal="center" vertical="center" wrapText="1"/>
    </xf>
    <xf numFmtId="49" fontId="12" fillId="8" borderId="10" xfId="0" applyFont="1" applyFill="1" applyBorder="1" applyAlignment="1">
      <alignment horizontal="left" vertical="center" indent="2"/>
    </xf>
    <xf numFmtId="49" fontId="2" fillId="0" borderId="52" xfId="0" applyFont="1" applyBorder="1" applyAlignment="1">
      <alignment horizontal="center" vertical="center" wrapText="1"/>
    </xf>
    <xf numFmtId="4" fontId="2" fillId="10" borderId="8" xfId="0" applyNumberFormat="1" applyFont="1" applyFill="1" applyBorder="1" applyAlignment="1" applyProtection="1">
      <alignment horizontal="right" vertical="center" wrapText="1"/>
      <protection locked="0"/>
    </xf>
    <xf numFmtId="49" fontId="12" fillId="0" borderId="10" xfId="0" applyFont="1" applyBorder="1" applyAlignment="1">
      <alignment horizontal="left" vertical="center"/>
    </xf>
    <xf numFmtId="49" fontId="12" fillId="0" borderId="10" xfId="0" applyFont="1" applyBorder="1" applyAlignment="1">
      <alignment horizontal="left" vertical="center" indent="2"/>
    </xf>
    <xf numFmtId="49" fontId="16" fillId="0" borderId="10" xfId="0" applyFont="1" applyBorder="1" applyAlignment="1">
      <alignment horizontal="center" vertical="top"/>
    </xf>
    <xf numFmtId="0" fontId="2" fillId="0" borderId="10" xfId="0" applyNumberFormat="1" applyFont="1" applyBorder="1" applyAlignment="1">
      <alignment horizontal="left" vertical="top" wrapText="1"/>
    </xf>
    <xf numFmtId="49" fontId="2" fillId="11" borderId="5" xfId="0" applyFont="1" applyFill="1" applyBorder="1" applyAlignment="1">
      <alignment horizontal="left" vertical="center" wrapText="1"/>
    </xf>
    <xf numFmtId="0" fontId="0" fillId="6" borderId="14" xfId="0" applyNumberFormat="1" applyFill="1" applyBorder="1" applyAlignment="1">
      <alignment vertical="center" wrapText="1"/>
    </xf>
    <xf numFmtId="0" fontId="0" fillId="19" borderId="1" xfId="0" applyNumberFormat="1" applyFill="1" applyBorder="1" applyAlignment="1">
      <alignment horizontal="center"/>
    </xf>
    <xf numFmtId="0" fontId="0" fillId="0" borderId="1" xfId="0" applyNumberFormat="1" applyBorder="1" applyAlignment="1">
      <alignment horizontal="center"/>
    </xf>
    <xf numFmtId="0" fontId="89" fillId="0" borderId="0" xfId="0" applyNumberFormat="1" applyFont="1" applyAlignment="1">
      <alignment wrapText="1"/>
    </xf>
    <xf numFmtId="49" fontId="39" fillId="0" borderId="0" xfId="0" applyFont="1" applyAlignment="1">
      <alignment wrapText="1"/>
    </xf>
    <xf numFmtId="49" fontId="39" fillId="0" borderId="0" xfId="0" applyFont="1" applyAlignment="1">
      <alignment vertical="center" wrapText="1"/>
    </xf>
    <xf numFmtId="49" fontId="90" fillId="0" borderId="0" xfId="0" applyFont="1" applyAlignment="1">
      <alignment wrapText="1"/>
    </xf>
    <xf numFmtId="0" fontId="76" fillId="0" borderId="0" xfId="0" applyNumberFormat="1" applyFont="1" applyAlignment="1">
      <alignment horizontal="left" vertical="center" wrapText="1"/>
    </xf>
    <xf numFmtId="49" fontId="91" fillId="0" borderId="0" xfId="0" applyFont="1" applyAlignment="1">
      <alignment wrapText="1"/>
    </xf>
    <xf numFmtId="0" fontId="18" fillId="0" borderId="0" xfId="0" applyNumberFormat="1" applyFont="1" applyAlignment="1">
      <alignment horizontal="left" vertical="top" wrapText="1"/>
    </xf>
    <xf numFmtId="49" fontId="2" fillId="0" borderId="0" xfId="0" applyFont="1" applyAlignment="1">
      <alignment vertical="top" wrapText="1"/>
    </xf>
    <xf numFmtId="0" fontId="39" fillId="0" borderId="0" xfId="0" applyNumberFormat="1" applyFont="1" applyAlignment="1">
      <alignment wrapText="1"/>
    </xf>
    <xf numFmtId="0" fontId="92" fillId="0" borderId="0" xfId="0" applyNumberFormat="1" applyFont="1" applyAlignment="1">
      <alignment horizontal="left" vertical="center" wrapText="1"/>
    </xf>
    <xf numFmtId="0" fontId="93" fillId="0" borderId="0" xfId="0" applyNumberFormat="1" applyFont="1" applyAlignment="1">
      <alignment vertical="center" wrapText="1"/>
    </xf>
    <xf numFmtId="0" fontId="39" fillId="0" borderId="29" xfId="0" applyNumberFormat="1" applyFont="1" applyBorder="1" applyAlignment="1">
      <alignment wrapText="1"/>
    </xf>
    <xf numFmtId="0" fontId="39" fillId="0" borderId="0" xfId="0" applyNumberFormat="1" applyFont="1" applyAlignment="1"/>
    <xf numFmtId="0" fontId="92" fillId="0" borderId="0" xfId="0" applyNumberFormat="1" applyFont="1" applyAlignment="1"/>
    <xf numFmtId="0" fontId="94" fillId="0" borderId="0" xfId="0" applyNumberFormat="1" applyFont="1" applyAlignment="1">
      <alignment wrapText="1"/>
    </xf>
    <xf numFmtId="0" fontId="0" fillId="7" borderId="53" xfId="0" applyNumberFormat="1" applyFill="1" applyBorder="1" applyAlignment="1">
      <alignment horizontal="center" vertical="center" wrapText="1"/>
    </xf>
    <xf numFmtId="0" fontId="0" fillId="24" borderId="53" xfId="0" applyNumberFormat="1" applyFill="1" applyBorder="1" applyAlignment="1">
      <alignment horizontal="center" vertical="center" wrapText="1"/>
    </xf>
    <xf numFmtId="0" fontId="0" fillId="5" borderId="53" xfId="0" applyNumberFormat="1" applyFill="1" applyBorder="1" applyAlignment="1">
      <alignment horizontal="center" vertical="center" wrapText="1"/>
    </xf>
    <xf numFmtId="0" fontId="0" fillId="10" borderId="53" xfId="0" applyNumberFormat="1" applyFill="1" applyBorder="1" applyAlignment="1">
      <alignment horizontal="center" vertical="center" wrapText="1"/>
    </xf>
    <xf numFmtId="0" fontId="92" fillId="0" borderId="29" xfId="0" applyNumberFormat="1" applyFont="1" applyBorder="1" applyAlignment="1">
      <alignment horizontal="left" vertical="center" wrapText="1"/>
    </xf>
    <xf numFmtId="0" fontId="92" fillId="0" borderId="54" xfId="0" applyNumberFormat="1" applyFont="1" applyBorder="1" applyAlignment="1">
      <alignment horizontal="left" vertical="center" wrapText="1"/>
    </xf>
    <xf numFmtId="0" fontId="94" fillId="0" borderId="0" xfId="0" applyNumberFormat="1" applyFont="1" applyAlignment="1"/>
    <xf numFmtId="0" fontId="94" fillId="0" borderId="29" xfId="0" applyNumberFormat="1" applyFont="1" applyBorder="1" applyAlignment="1">
      <alignment wrapText="1"/>
    </xf>
    <xf numFmtId="0" fontId="39" fillId="0" borderId="55" xfId="0" applyNumberFormat="1" applyFont="1" applyBorder="1" applyAlignment="1">
      <alignment wrapText="1"/>
    </xf>
    <xf numFmtId="0" fontId="39" fillId="0" borderId="30" xfId="0" applyNumberFormat="1" applyFont="1" applyBorder="1" applyAlignment="1">
      <alignment wrapText="1"/>
    </xf>
    <xf numFmtId="0" fontId="39" fillId="0" borderId="30" xfId="0" applyNumberFormat="1" applyFont="1" applyBorder="1" applyAlignment="1">
      <alignment vertical="center" wrapText="1"/>
    </xf>
    <xf numFmtId="0" fontId="90" fillId="0" borderId="0" xfId="0" applyNumberFormat="1" applyFont="1" applyAlignment="1"/>
    <xf numFmtId="0" fontId="7" fillId="0" borderId="15" xfId="0" applyNumberFormat="1" applyFont="1" applyBorder="1" applyAlignment="1">
      <alignment horizontal="center" vertical="center" wrapText="1"/>
    </xf>
    <xf numFmtId="49" fontId="2" fillId="0" borderId="4" xfId="0" applyFont="1" applyBorder="1" applyAlignment="1">
      <alignment horizontal="center" vertical="center" wrapText="1"/>
    </xf>
    <xf numFmtId="49" fontId="95" fillId="0" borderId="0" xfId="0" applyFont="1" applyAlignment="1">
      <alignment horizontal="center" vertical="center" wrapText="1"/>
    </xf>
    <xf numFmtId="49" fontId="2" fillId="19" borderId="0" xfId="0" applyFont="1" applyFill="1" applyAlignment="1">
      <alignment horizontal="center" vertical="center"/>
    </xf>
    <xf numFmtId="171" fontId="0" fillId="10" borderId="3" xfId="0" applyNumberFormat="1" applyFill="1" applyBorder="1" applyAlignment="1" applyProtection="1">
      <alignment horizontal="left" vertical="center" wrapText="1" indent="1"/>
      <protection locked="0"/>
    </xf>
    <xf numFmtId="171" fontId="0" fillId="0" borderId="3" xfId="0" applyNumberFormat="1" applyBorder="1" applyAlignment="1">
      <alignment horizontal="left" vertical="center" wrapText="1" indent="1"/>
    </xf>
    <xf numFmtId="171" fontId="0" fillId="10" borderId="3" xfId="0" applyNumberFormat="1" applyFill="1" applyBorder="1" applyAlignment="1" applyProtection="1">
      <alignment horizontal="center" vertical="center" wrapText="1"/>
      <protection locked="0"/>
    </xf>
    <xf numFmtId="171" fontId="20" fillId="0" borderId="0" xfId="0" applyNumberFormat="1" applyFont="1" applyAlignment="1">
      <alignment horizontal="center" vertical="center" wrapText="1"/>
    </xf>
    <xf numFmtId="171" fontId="20" fillId="0" borderId="3" xfId="0" applyNumberFormat="1" applyFont="1" applyBorder="1" applyAlignment="1">
      <alignment horizontal="center" vertical="center" wrapText="1"/>
    </xf>
    <xf numFmtId="171" fontId="0" fillId="10" borderId="3" xfId="0" applyNumberFormat="1" applyFill="1" applyBorder="1" applyAlignment="1" applyProtection="1">
      <alignment horizontal="left" vertical="center" wrapText="1"/>
      <protection locked="0"/>
    </xf>
    <xf numFmtId="171" fontId="0" fillId="7" borderId="3" xfId="0" applyNumberFormat="1" applyFill="1" applyBorder="1" applyAlignment="1" applyProtection="1">
      <alignment horizontal="left" vertical="center" wrapText="1" indent="1"/>
      <protection locked="0"/>
    </xf>
    <xf numFmtId="171" fontId="0" fillId="10" borderId="4" xfId="0" applyNumberFormat="1" applyFill="1" applyBorder="1" applyAlignment="1" applyProtection="1">
      <alignment horizontal="left" vertical="center" wrapText="1"/>
      <protection locked="0"/>
    </xf>
    <xf numFmtId="0" fontId="2" fillId="0" borderId="0" xfId="0" applyNumberFormat="1" applyFont="1" applyAlignment="1">
      <alignment horizontal="left" vertical="top" indent="1"/>
    </xf>
    <xf numFmtId="0" fontId="2" fillId="5" borderId="18" xfId="0" applyNumberFormat="1" applyFont="1" applyFill="1" applyBorder="1" applyAlignment="1">
      <alignment horizontal="center" vertical="top"/>
    </xf>
    <xf numFmtId="0" fontId="0" fillId="0" borderId="25" xfId="0" applyNumberFormat="1" applyBorder="1" applyAlignment="1">
      <alignment horizontal="center" vertical="center"/>
    </xf>
    <xf numFmtId="0" fontId="0" fillId="0" borderId="24" xfId="0" applyNumberFormat="1" applyBorder="1" applyAlignment="1">
      <alignment horizontal="center" vertical="center"/>
    </xf>
    <xf numFmtId="0" fontId="2" fillId="5" borderId="18" xfId="0" applyNumberFormat="1" applyFont="1" applyFill="1" applyBorder="1" applyAlignment="1">
      <alignment horizontal="left" vertical="top"/>
    </xf>
    <xf numFmtId="0" fontId="2" fillId="0" borderId="3" xfId="0" applyNumberFormat="1" applyFont="1" applyBorder="1" applyAlignment="1">
      <alignment horizontal="left" vertical="top"/>
    </xf>
    <xf numFmtId="0" fontId="0" fillId="5" borderId="27" xfId="0" applyNumberFormat="1" applyFill="1" applyBorder="1" applyAlignment="1">
      <alignment horizontal="left" vertical="top" wrapText="1" indent="1"/>
    </xf>
    <xf numFmtId="49" fontId="2" fillId="11" borderId="27" xfId="0" applyFont="1" applyFill="1" applyBorder="1" applyAlignment="1">
      <alignment horizontal="center" vertical="top" wrapText="1"/>
    </xf>
    <xf numFmtId="49" fontId="0" fillId="10" borderId="27" xfId="0" applyFill="1" applyBorder="1" applyAlignment="1" applyProtection="1">
      <alignment horizontal="center" vertical="top" wrapText="1"/>
      <protection locked="0"/>
    </xf>
    <xf numFmtId="49" fontId="0" fillId="7" borderId="27" xfId="0" applyFill="1" applyBorder="1" applyAlignment="1" applyProtection="1">
      <alignment horizontal="center" vertical="top" wrapText="1"/>
      <protection locked="0"/>
    </xf>
    <xf numFmtId="49" fontId="2" fillId="11" borderId="27" xfId="0" applyFont="1" applyFill="1" applyBorder="1" applyAlignment="1">
      <alignment horizontal="left" vertical="top" wrapText="1"/>
    </xf>
    <xf numFmtId="49" fontId="2" fillId="10" borderId="27" xfId="0" applyFont="1" applyFill="1" applyBorder="1" applyAlignment="1" applyProtection="1">
      <alignment horizontal="left" vertical="top" wrapText="1"/>
      <protection locked="0"/>
    </xf>
    <xf numFmtId="49" fontId="0" fillId="5" borderId="27" xfId="0" applyFill="1" applyBorder="1" applyAlignment="1">
      <alignment horizontal="center" vertical="top" wrapText="1"/>
    </xf>
    <xf numFmtId="0" fontId="2" fillId="5" borderId="27" xfId="0" applyNumberFormat="1" applyFont="1" applyFill="1" applyBorder="1" applyAlignment="1">
      <alignment horizontal="center" vertical="top" wrapText="1"/>
    </xf>
    <xf numFmtId="0" fontId="2" fillId="7" borderId="27" xfId="0" applyNumberFormat="1" applyFont="1" applyFill="1" applyBorder="1" applyAlignment="1" applyProtection="1">
      <alignment horizontal="left" vertical="top" wrapText="1"/>
      <protection locked="0"/>
    </xf>
    <xf numFmtId="0" fontId="12" fillId="7" borderId="27" xfId="0" applyNumberFormat="1" applyFont="1" applyFill="1" applyBorder="1" applyAlignment="1" applyProtection="1">
      <alignment horizontal="left" vertical="center"/>
      <protection locked="0"/>
    </xf>
    <xf numFmtId="0" fontId="12" fillId="10" borderId="27" xfId="0" applyNumberFormat="1" applyFont="1" applyFill="1" applyBorder="1" applyAlignment="1" applyProtection="1">
      <alignment horizontal="left" vertical="center"/>
      <protection locked="0"/>
    </xf>
    <xf numFmtId="14" fontId="2" fillId="11" borderId="27" xfId="0" applyNumberFormat="1" applyFont="1" applyFill="1" applyBorder="1" applyAlignment="1">
      <alignment horizontal="left" vertical="center" wrapText="1" indent="1"/>
    </xf>
    <xf numFmtId="49" fontId="2" fillId="11" borderId="0" xfId="0" applyFont="1" applyFill="1" applyAlignment="1">
      <alignment horizontal="center" vertical="center" wrapText="1"/>
    </xf>
    <xf numFmtId="0" fontId="0" fillId="6" borderId="3" xfId="0" applyNumberFormat="1" applyFill="1" applyBorder="1" applyAlignment="1">
      <alignment vertical="top" wrapText="1"/>
    </xf>
    <xf numFmtId="0" fontId="19" fillId="0" borderId="3" xfId="0" applyNumberFormat="1" applyFont="1" applyBorder="1" applyAlignment="1">
      <alignment vertical="top" wrapText="1"/>
    </xf>
    <xf numFmtId="49" fontId="2" fillId="11" borderId="27" xfId="0" applyFont="1" applyFill="1" applyBorder="1" applyAlignment="1">
      <alignment vertical="center" wrapText="1"/>
    </xf>
    <xf numFmtId="49" fontId="2" fillId="11" borderId="14" xfId="0" applyFont="1" applyFill="1" applyBorder="1" applyAlignment="1">
      <alignment vertical="center" wrapText="1"/>
    </xf>
    <xf numFmtId="49" fontId="2" fillId="7" borderId="3" xfId="0" applyFont="1" applyFill="1" applyBorder="1" applyAlignment="1" applyProtection="1">
      <alignment horizontal="left" vertical="center" wrapText="1" indent="1"/>
      <protection locked="0"/>
    </xf>
    <xf numFmtId="49" fontId="2" fillId="0" borderId="0" xfId="0" applyFont="1" applyAlignment="1">
      <alignment horizontal="left" vertical="center" indent="1"/>
    </xf>
    <xf numFmtId="0" fontId="2" fillId="11" borderId="3" xfId="0" applyNumberFormat="1" applyFont="1" applyFill="1" applyBorder="1" applyAlignment="1">
      <alignment horizontal="center" vertical="center" wrapText="1"/>
    </xf>
    <xf numFmtId="171" fontId="0" fillId="10" borderId="5" xfId="0" applyNumberFormat="1" applyFill="1" applyBorder="1" applyAlignment="1" applyProtection="1">
      <alignment horizontal="left" vertical="center" wrapText="1"/>
      <protection locked="0"/>
    </xf>
    <xf numFmtId="171" fontId="0" fillId="0" borderId="2" xfId="0" applyNumberFormat="1" applyBorder="1" applyAlignment="1">
      <alignment horizontal="left" vertical="center" wrapText="1" indent="1"/>
    </xf>
    <xf numFmtId="49" fontId="2" fillId="6" borderId="17" xfId="0" applyFont="1" applyFill="1" applyBorder="1" applyAlignment="1">
      <alignment horizontal="right" vertical="center" wrapText="1" indent="1"/>
    </xf>
    <xf numFmtId="0" fontId="2" fillId="11" borderId="27" xfId="0" applyNumberFormat="1" applyFont="1" applyFill="1" applyBorder="1" applyAlignment="1">
      <alignment horizontal="center" vertical="top" wrapText="1"/>
    </xf>
    <xf numFmtId="49" fontId="2" fillId="11" borderId="27" xfId="0" applyFont="1" applyFill="1" applyBorder="1" applyAlignment="1">
      <alignment horizontal="center" vertical="center" wrapText="1"/>
    </xf>
    <xf numFmtId="0" fontId="17" fillId="0" borderId="3" xfId="0" applyNumberFormat="1" applyFont="1" applyBorder="1" applyAlignment="1">
      <alignment horizontal="center" vertical="center"/>
    </xf>
    <xf numFmtId="49" fontId="2" fillId="0" borderId="27" xfId="0" applyFont="1" applyBorder="1" applyAlignment="1">
      <alignment horizontal="center" vertical="top" wrapText="1"/>
    </xf>
    <xf numFmtId="0" fontId="7" fillId="0" borderId="3" xfId="0" applyNumberFormat="1" applyFont="1" applyBorder="1" applyAlignment="1">
      <alignment horizontal="center" vertical="center" wrapText="1"/>
    </xf>
    <xf numFmtId="0" fontId="2" fillId="6" borderId="5" xfId="0" applyNumberFormat="1" applyFont="1" applyFill="1" applyBorder="1" applyAlignment="1">
      <alignment horizontal="center" vertical="center" wrapText="1"/>
    </xf>
    <xf numFmtId="0" fontId="17" fillId="0" borderId="4" xfId="0" applyNumberFormat="1" applyFont="1" applyBorder="1" applyAlignment="1">
      <alignment horizontal="center" vertical="center"/>
    </xf>
    <xf numFmtId="49" fontId="0" fillId="9" borderId="0" xfId="0" applyFill="1">
      <alignment vertical="top"/>
    </xf>
    <xf numFmtId="0" fontId="8" fillId="6" borderId="0" xfId="0" applyNumberFormat="1" applyFont="1" applyFill="1" applyAlignment="1">
      <alignment horizontal="center"/>
    </xf>
    <xf numFmtId="49" fontId="96" fillId="10" borderId="3" xfId="0" applyFont="1" applyFill="1" applyBorder="1" applyAlignment="1" applyProtection="1">
      <alignment horizontal="left" vertical="center" wrapText="1"/>
      <protection locked="0"/>
    </xf>
    <xf numFmtId="0" fontId="8" fillId="0" borderId="15" xfId="0" applyNumberFormat="1" applyFont="1" applyBorder="1" applyAlignment="1">
      <alignment horizontal="center" vertical="center" wrapText="1"/>
    </xf>
    <xf numFmtId="49" fontId="97" fillId="0" borderId="0" xfId="0" applyFont="1" applyAlignment="1">
      <alignment horizontal="center" vertical="top" wrapText="1"/>
    </xf>
    <xf numFmtId="49" fontId="0" fillId="5" borderId="27" xfId="0" applyFill="1" applyBorder="1">
      <alignment vertical="top"/>
    </xf>
    <xf numFmtId="49" fontId="0" fillId="0" borderId="27" xfId="0" applyBorder="1">
      <alignment vertical="top"/>
    </xf>
    <xf numFmtId="49" fontId="0" fillId="10" borderId="27" xfId="0" applyFill="1" applyBorder="1" applyProtection="1">
      <alignment vertical="top"/>
      <protection locked="0"/>
    </xf>
    <xf numFmtId="49" fontId="0" fillId="10" borderId="8" xfId="0" applyFill="1" applyBorder="1" applyProtection="1">
      <alignment vertical="top"/>
      <protection locked="0"/>
    </xf>
    <xf numFmtId="49" fontId="0" fillId="10" borderId="14" xfId="0" applyFill="1" applyBorder="1" applyProtection="1">
      <alignment vertical="top"/>
      <protection locked="0"/>
    </xf>
    <xf numFmtId="49" fontId="97" fillId="0" borderId="27" xfId="0" applyFont="1" applyBorder="1" applyAlignment="1">
      <alignment horizontal="center" vertical="top" wrapText="1"/>
    </xf>
    <xf numFmtId="49" fontId="0" fillId="0" borderId="10" xfId="0" applyBorder="1">
      <alignment vertical="top"/>
    </xf>
    <xf numFmtId="49" fontId="0" fillId="0" borderId="13" xfId="0" applyBorder="1">
      <alignment vertical="top"/>
    </xf>
    <xf numFmtId="49" fontId="0" fillId="0" borderId="0" xfId="0" applyAlignment="1">
      <alignment horizontal="left" vertical="top"/>
    </xf>
    <xf numFmtId="0" fontId="0" fillId="8" borderId="6" xfId="0" applyNumberFormat="1" applyFill="1" applyBorder="1" applyAlignment="1">
      <alignment vertical="center"/>
    </xf>
    <xf numFmtId="49" fontId="0" fillId="0" borderId="27" xfId="0" applyBorder="1" applyAlignment="1">
      <alignment horizontal="left" vertical="top"/>
    </xf>
    <xf numFmtId="49" fontId="0" fillId="11" borderId="27" xfId="0" applyFill="1" applyBorder="1" applyAlignment="1">
      <alignment horizontal="left" vertical="top"/>
    </xf>
    <xf numFmtId="49" fontId="0" fillId="7" borderId="27" xfId="0" applyFill="1" applyBorder="1" applyAlignment="1" applyProtection="1">
      <alignment horizontal="left" vertical="top"/>
      <protection locked="0"/>
    </xf>
    <xf numFmtId="49" fontId="0" fillId="11" borderId="27" xfId="0" applyFill="1" applyBorder="1" applyAlignment="1" applyProtection="1">
      <alignment horizontal="left" vertical="center" wrapText="1"/>
      <protection locked="0"/>
    </xf>
    <xf numFmtId="49" fontId="0" fillId="7" borderId="27" xfId="0" applyFill="1" applyBorder="1" applyProtection="1">
      <alignment vertical="top"/>
      <protection locked="0"/>
    </xf>
    <xf numFmtId="49" fontId="8" fillId="0" borderId="27" xfId="0" applyFont="1" applyBorder="1" applyAlignment="1">
      <alignment vertical="center" wrapText="1"/>
    </xf>
    <xf numFmtId="49" fontId="8" fillId="0" borderId="27" xfId="0" applyFont="1" applyBorder="1" applyAlignment="1">
      <alignment horizontal="center" vertical="center" wrapText="1"/>
    </xf>
    <xf numFmtId="0" fontId="2" fillId="10" borderId="3" xfId="0" applyNumberFormat="1" applyFont="1" applyFill="1" applyBorder="1" applyAlignment="1" applyProtection="1">
      <alignment horizontal="left" vertical="center" wrapText="1"/>
      <protection locked="0"/>
    </xf>
    <xf numFmtId="0" fontId="2" fillId="6" borderId="14" xfId="0" applyNumberFormat="1" applyFont="1" applyFill="1" applyBorder="1" applyAlignment="1">
      <alignment horizontal="center" vertical="center" wrapText="1"/>
    </xf>
    <xf numFmtId="49" fontId="98" fillId="10" borderId="3" xfId="0" applyFont="1" applyFill="1" applyBorder="1" applyAlignment="1" applyProtection="1">
      <alignment horizontal="left" vertical="center" wrapText="1" indent="1"/>
      <protection locked="0"/>
    </xf>
    <xf numFmtId="0" fontId="18" fillId="17" borderId="53" xfId="0" applyNumberFormat="1" applyFont="1" applyFill="1" applyBorder="1" applyAlignment="1">
      <alignment horizontal="right" vertical="center" wrapText="1" indent="1"/>
    </xf>
    <xf numFmtId="0" fontId="18" fillId="17" borderId="60" xfId="0" applyNumberFormat="1" applyFont="1" applyFill="1" applyBorder="1" applyAlignment="1">
      <alignment horizontal="right" vertical="center" wrapText="1" indent="1"/>
    </xf>
    <xf numFmtId="0" fontId="18" fillId="17" borderId="29" xfId="0" applyNumberFormat="1" applyFont="1" applyFill="1" applyBorder="1" applyAlignment="1">
      <alignment horizontal="right" vertical="center" wrapText="1" indent="1"/>
    </xf>
    <xf numFmtId="0" fontId="18" fillId="17" borderId="0" xfId="0" applyNumberFormat="1" applyFont="1" applyFill="1" applyAlignment="1">
      <alignment horizontal="right" vertical="center" wrapText="1" indent="1"/>
    </xf>
    <xf numFmtId="0" fontId="94" fillId="0" borderId="0" xfId="0" applyNumberFormat="1" applyFont="1" applyAlignment="1">
      <alignment vertical="center" wrapText="1"/>
    </xf>
    <xf numFmtId="0" fontId="18" fillId="17" borderId="59" xfId="0" applyNumberFormat="1" applyFont="1" applyFill="1" applyBorder="1" applyAlignment="1">
      <alignment horizontal="right" vertical="center" wrapText="1" indent="1"/>
    </xf>
    <xf numFmtId="0" fontId="18" fillId="17" borderId="55" xfId="0" applyNumberFormat="1" applyFont="1" applyFill="1" applyBorder="1" applyAlignment="1">
      <alignment horizontal="right" vertical="center" wrapText="1" indent="1"/>
    </xf>
    <xf numFmtId="0" fontId="18" fillId="17" borderId="30" xfId="0" applyNumberFormat="1" applyFont="1" applyFill="1" applyBorder="1" applyAlignment="1">
      <alignment horizontal="right" vertical="center" wrapText="1" indent="1"/>
    </xf>
    <xf numFmtId="0" fontId="94" fillId="0" borderId="0" xfId="0" applyNumberFormat="1" applyFont="1" applyAlignment="1">
      <alignment vertical="top" wrapText="1"/>
    </xf>
    <xf numFmtId="49" fontId="39" fillId="0" borderId="0" xfId="0" applyFont="1" applyAlignment="1">
      <alignment vertical="top" wrapText="1"/>
    </xf>
    <xf numFmtId="0" fontId="76" fillId="0" borderId="0" xfId="0" applyNumberFormat="1" applyFont="1" applyAlignment="1">
      <alignment vertical="center" wrapText="1"/>
    </xf>
    <xf numFmtId="0" fontId="76" fillId="0" borderId="0" xfId="0" applyNumberFormat="1" applyFont="1" applyAlignment="1">
      <alignment vertical="center"/>
    </xf>
    <xf numFmtId="0" fontId="18" fillId="25" borderId="56" xfId="0" applyNumberFormat="1" applyFont="1" applyFill="1" applyBorder="1" applyAlignment="1">
      <alignment horizontal="center" vertical="center" wrapText="1"/>
    </xf>
    <xf numFmtId="0" fontId="18" fillId="25" borderId="57" xfId="0" applyNumberFormat="1" applyFont="1" applyFill="1" applyBorder="1" applyAlignment="1">
      <alignment horizontal="center" vertical="center" wrapText="1"/>
    </xf>
    <xf numFmtId="0" fontId="18" fillId="25" borderId="58" xfId="0" applyNumberFormat="1" applyFont="1" applyFill="1" applyBorder="1" applyAlignment="1">
      <alignment horizontal="center" vertical="center" wrapText="1"/>
    </xf>
    <xf numFmtId="0" fontId="94" fillId="0" borderId="29" xfId="0" applyNumberFormat="1" applyFont="1" applyBorder="1" applyAlignment="1">
      <alignment vertical="center" wrapText="1"/>
    </xf>
    <xf numFmtId="0" fontId="94" fillId="0" borderId="29" xfId="0" applyNumberFormat="1" applyFont="1" applyBorder="1" applyAlignment="1">
      <alignment horizontal="left" vertical="center" wrapText="1"/>
    </xf>
    <xf numFmtId="0" fontId="94" fillId="0" borderId="0" xfId="0" applyNumberFormat="1" applyFont="1" applyAlignment="1">
      <alignment horizontal="left" vertical="center" wrapText="1"/>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70" fillId="0" borderId="0" xfId="0" applyNumberFormat="1" applyFont="1" applyAlignment="1">
      <alignment horizontal="left" vertical="center" wrapText="1"/>
    </xf>
    <xf numFmtId="14" fontId="67"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6" xfId="0" applyNumberFormat="1" applyFont="1" applyBorder="1" applyAlignment="1">
      <alignment horizontal="left" vertical="center" wrapText="1" indent="1"/>
    </xf>
    <xf numFmtId="0" fontId="2" fillId="0" borderId="6"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49" fontId="7" fillId="0" borderId="62" xfId="0" applyFont="1" applyBorder="1" applyAlignment="1">
      <alignment horizontal="center" vertical="center" wrapText="1"/>
    </xf>
    <xf numFmtId="49" fontId="7" fillId="0" borderId="63" xfId="0" applyFont="1" applyBorder="1" applyAlignment="1">
      <alignment horizontal="center" vertical="center" wrapText="1"/>
    </xf>
    <xf numFmtId="49" fontId="7" fillId="0" borderId="5" xfId="0" applyFont="1" applyBorder="1" applyAlignment="1">
      <alignment horizontal="center" vertical="center" wrapText="1"/>
    </xf>
    <xf numFmtId="49" fontId="7" fillId="0" borderId="4" xfId="0" applyFont="1" applyBorder="1" applyAlignment="1">
      <alignment horizontal="center" vertical="center" wrapText="1"/>
    </xf>
    <xf numFmtId="0" fontId="2" fillId="0" borderId="11" xfId="0" applyNumberFormat="1" applyFont="1" applyBorder="1" applyAlignment="1">
      <alignment horizontal="left" vertical="center" wrapText="1" indent="1"/>
    </xf>
    <xf numFmtId="0" fontId="2" fillId="0" borderId="8" xfId="0" applyNumberFormat="1" applyFont="1" applyBorder="1" applyAlignment="1">
      <alignment horizontal="left" vertical="center" wrapText="1" indent="1"/>
    </xf>
    <xf numFmtId="0" fontId="2" fillId="0" borderId="28" xfId="0" applyNumberFormat="1" applyFont="1" applyBorder="1" applyAlignment="1">
      <alignment horizontal="left" vertical="center" wrapText="1" indent="1"/>
    </xf>
    <xf numFmtId="0" fontId="2" fillId="0" borderId="21" xfId="0" applyNumberFormat="1" applyFont="1" applyBorder="1" applyAlignment="1">
      <alignment horizontal="left" vertical="center" indent="1"/>
    </xf>
    <xf numFmtId="0" fontId="2" fillId="0" borderId="14" xfId="0" applyNumberFormat="1" applyFont="1" applyBorder="1" applyAlignment="1">
      <alignment horizontal="left" vertical="center" indent="1"/>
    </xf>
    <xf numFmtId="0" fontId="2" fillId="0" borderId="18" xfId="0" applyNumberFormat="1" applyFont="1" applyBorder="1" applyAlignment="1">
      <alignment horizontal="left" vertical="center" indent="1"/>
    </xf>
    <xf numFmtId="0" fontId="2" fillId="13"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48" fillId="0" borderId="28" xfId="0" applyNumberFormat="1" applyFont="1" applyBorder="1" applyAlignment="1">
      <alignment horizontal="center" vertical="center" wrapText="1"/>
    </xf>
    <xf numFmtId="0" fontId="48" fillId="0" borderId="10" xfId="0" applyNumberFormat="1" applyFont="1" applyBorder="1" applyAlignment="1">
      <alignment horizontal="center" vertical="center" wrapText="1"/>
    </xf>
    <xf numFmtId="0" fontId="0" fillId="0" borderId="0" xfId="0" applyNumberFormat="1" applyAlignment="1">
      <alignment horizontal="left" vertical="center" wrapText="1" indent="2"/>
    </xf>
    <xf numFmtId="0" fontId="0" fillId="0" borderId="0" xfId="0" applyNumberFormat="1" applyAlignment="1">
      <alignment horizontal="left" vertical="center" indent="2"/>
    </xf>
    <xf numFmtId="0" fontId="48" fillId="0" borderId="3" xfId="0" applyNumberFormat="1" applyFont="1" applyBorder="1" applyAlignment="1">
      <alignment horizontal="center" vertical="center" wrapText="1"/>
    </xf>
    <xf numFmtId="0" fontId="2" fillId="0" borderId="64" xfId="0" applyNumberFormat="1" applyFont="1" applyBorder="1" applyAlignment="1">
      <alignment horizontal="center" vertical="center" wrapText="1"/>
    </xf>
    <xf numFmtId="0" fontId="2" fillId="0" borderId="65" xfId="0" applyNumberFormat="1" applyFont="1" applyBorder="1" applyAlignment="1">
      <alignment horizontal="center" vertical="center" wrapText="1"/>
    </xf>
    <xf numFmtId="0" fontId="2" fillId="11" borderId="8" xfId="0" applyNumberFormat="1" applyFont="1" applyFill="1" applyBorder="1" applyAlignment="1" applyProtection="1">
      <alignment horizontal="left" vertical="center" wrapText="1" indent="1"/>
      <protection locked="0"/>
    </xf>
    <xf numFmtId="0" fontId="2" fillId="11" borderId="14" xfId="0" applyNumberFormat="1" applyFont="1" applyFill="1" applyBorder="1" applyAlignment="1" applyProtection="1">
      <alignment horizontal="left" vertical="center" wrapText="1" indent="1"/>
      <protection locked="0"/>
    </xf>
    <xf numFmtId="49" fontId="2" fillId="11" borderId="3" xfId="0" applyFont="1" applyFill="1" applyBorder="1" applyAlignment="1">
      <alignment horizontal="center" vertical="center" wrapText="1"/>
    </xf>
    <xf numFmtId="49" fontId="2" fillId="0" borderId="3" xfId="0" applyFont="1" applyBorder="1" applyAlignment="1">
      <alignment horizontal="center" vertical="center" wrapText="1"/>
    </xf>
    <xf numFmtId="0" fontId="2" fillId="11" borderId="8" xfId="0" applyNumberFormat="1" applyFont="1" applyFill="1" applyBorder="1" applyAlignment="1">
      <alignment horizontal="left" vertical="center" wrapText="1" indent="2"/>
    </xf>
    <xf numFmtId="0" fontId="2" fillId="11" borderId="27" xfId="0" applyNumberFormat="1" applyFont="1" applyFill="1" applyBorder="1" applyAlignment="1">
      <alignment horizontal="left" vertical="center" wrapText="1" indent="2"/>
    </xf>
    <xf numFmtId="0" fontId="2" fillId="11" borderId="14" xfId="0" applyNumberFormat="1" applyFont="1" applyFill="1" applyBorder="1" applyAlignment="1">
      <alignment horizontal="left" vertical="center" wrapText="1" indent="2"/>
    </xf>
    <xf numFmtId="49" fontId="2" fillId="11" borderId="14" xfId="0" applyFont="1" applyFill="1" applyBorder="1" applyAlignment="1">
      <alignment horizontal="center" vertical="center" wrapText="1"/>
    </xf>
    <xf numFmtId="14" fontId="54" fillId="0" borderId="61" xfId="0" applyNumberFormat="1" applyFont="1" applyBorder="1" applyAlignment="1">
      <alignment horizontal="center" vertical="center" wrapText="1"/>
    </xf>
    <xf numFmtId="0" fontId="2" fillId="0" borderId="61" xfId="0" applyNumberFormat="1" applyFont="1" applyBorder="1" applyAlignment="1">
      <alignment horizontal="center" vertical="center" wrapText="1"/>
    </xf>
    <xf numFmtId="49" fontId="2" fillId="0" borderId="10" xfId="0" applyFont="1" applyBorder="1" applyAlignment="1">
      <alignment horizontal="center" vertical="center" wrapText="1"/>
    </xf>
    <xf numFmtId="49" fontId="2" fillId="0" borderId="0" xfId="0" applyFont="1" applyAlignment="1">
      <alignment horizontal="center" vertical="center" wrapText="1"/>
    </xf>
    <xf numFmtId="0" fontId="0" fillId="0" borderId="3" xfId="0" applyNumberFormat="1" applyBorder="1" applyAlignment="1">
      <alignment horizontal="center" vertical="top"/>
    </xf>
    <xf numFmtId="49" fontId="0" fillId="0" borderId="3" xfId="0" applyBorder="1">
      <alignment vertical="top"/>
    </xf>
    <xf numFmtId="0" fontId="2" fillId="0" borderId="3" xfId="0" applyNumberFormat="1" applyFont="1" applyBorder="1" applyAlignment="1">
      <alignment horizontal="left" vertical="top" wrapText="1"/>
    </xf>
    <xf numFmtId="49" fontId="0" fillId="0" borderId="3" xfId="0" applyBorder="1" applyAlignment="1">
      <alignment horizontal="left" vertical="top"/>
    </xf>
    <xf numFmtId="0" fontId="2" fillId="11" borderId="8" xfId="0" applyNumberFormat="1" applyFont="1" applyFill="1" applyBorder="1" applyAlignment="1">
      <alignment horizontal="center" vertical="top" wrapText="1"/>
    </xf>
    <xf numFmtId="0" fontId="2" fillId="11" borderId="27" xfId="0" applyNumberFormat="1" applyFont="1" applyFill="1" applyBorder="1" applyAlignment="1">
      <alignment horizontal="center" vertical="top" wrapText="1"/>
    </xf>
    <xf numFmtId="0" fontId="2" fillId="11" borderId="14" xfId="0" applyNumberFormat="1" applyFont="1" applyFill="1" applyBorder="1" applyAlignment="1">
      <alignment horizontal="center" vertical="top" wrapText="1"/>
    </xf>
    <xf numFmtId="0" fontId="0" fillId="0" borderId="28" xfId="0" applyNumberFormat="1" applyBorder="1" applyAlignment="1">
      <alignment horizontal="center" vertical="center"/>
    </xf>
    <xf numFmtId="0" fontId="0" fillId="0" borderId="13" xfId="0" applyNumberFormat="1" applyBorder="1" applyAlignment="1">
      <alignment horizontal="center" vertical="center"/>
    </xf>
    <xf numFmtId="0" fontId="0" fillId="0" borderId="10" xfId="0" applyNumberFormat="1" applyBorder="1" applyAlignment="1">
      <alignment horizontal="center" vertical="center"/>
    </xf>
    <xf numFmtId="0" fontId="0" fillId="0" borderId="0" xfId="0" applyNumberFormat="1" applyAlignment="1">
      <alignment horizontal="center" vertical="center"/>
    </xf>
    <xf numFmtId="49" fontId="2" fillId="0" borderId="10" xfId="0" applyFont="1" applyBorder="1" applyAlignment="1">
      <alignment horizontal="left" vertical="center" wrapText="1"/>
    </xf>
    <xf numFmtId="49" fontId="2" fillId="0" borderId="0" xfId="0" applyFont="1" applyAlignment="1">
      <alignment horizontal="left" vertical="center" wrapText="1"/>
    </xf>
    <xf numFmtId="49" fontId="0" fillId="0" borderId="0" xfId="0" applyAlignment="1">
      <alignment horizontal="left" vertical="top"/>
    </xf>
    <xf numFmtId="0" fontId="0" fillId="0" borderId="10" xfId="0" applyNumberFormat="1" applyBorder="1" applyAlignment="1">
      <alignment horizontal="left" vertical="center" wrapText="1"/>
    </xf>
    <xf numFmtId="0" fontId="0" fillId="0" borderId="0" xfId="0" applyNumberFormat="1" applyAlignment="1">
      <alignment horizontal="left" vertical="center" wrapText="1"/>
    </xf>
    <xf numFmtId="49" fontId="0" fillId="0" borderId="0" xfId="0" applyAlignment="1">
      <alignment horizontal="left" vertical="center" wrapText="1"/>
    </xf>
    <xf numFmtId="49" fontId="0" fillId="0" borderId="10" xfId="0" applyBorder="1" applyAlignment="1">
      <alignment horizontal="left" vertical="center" wrapText="1"/>
    </xf>
    <xf numFmtId="0" fontId="0" fillId="0" borderId="0" xfId="0" quotePrefix="1" applyNumberFormat="1" applyAlignment="1">
      <alignment horizontal="left" vertical="top" wrapText="1" indent="1"/>
    </xf>
    <xf numFmtId="0" fontId="0" fillId="0" borderId="0" xfId="0" applyNumberFormat="1" applyAlignment="1">
      <alignment horizontal="left" vertical="top" wrapText="1" indent="1"/>
    </xf>
    <xf numFmtId="0" fontId="0" fillId="0" borderId="0" xfId="0" applyNumberFormat="1" applyAlignment="1">
      <alignment horizontal="left" vertical="top" wrapText="1"/>
    </xf>
    <xf numFmtId="0" fontId="0" fillId="0" borderId="8" xfId="0" applyNumberFormat="1" applyBorder="1" applyAlignment="1">
      <alignment horizontal="center" vertical="top"/>
    </xf>
    <xf numFmtId="0" fontId="0" fillId="0" borderId="27" xfId="0" applyNumberFormat="1" applyBorder="1" applyAlignment="1">
      <alignment horizontal="center" vertical="top"/>
    </xf>
    <xf numFmtId="0" fontId="0" fillId="0" borderId="14" xfId="0" applyNumberFormat="1" applyBorder="1" applyAlignment="1">
      <alignment horizontal="center" vertical="top"/>
    </xf>
    <xf numFmtId="0" fontId="2" fillId="0" borderId="8" xfId="0" applyNumberFormat="1" applyFont="1" applyBorder="1" applyAlignment="1">
      <alignment horizontal="left" vertical="top" wrapText="1"/>
    </xf>
    <xf numFmtId="0" fontId="2" fillId="0" borderId="27" xfId="0" applyNumberFormat="1" applyFont="1" applyBorder="1" applyAlignment="1">
      <alignment horizontal="left" vertical="top" wrapText="1"/>
    </xf>
    <xf numFmtId="0" fontId="2" fillId="0" borderId="14" xfId="0" applyNumberFormat="1" applyFont="1" applyBorder="1" applyAlignment="1">
      <alignment horizontal="left" vertical="top" wrapText="1"/>
    </xf>
    <xf numFmtId="49" fontId="20" fillId="6" borderId="19" xfId="0" applyFont="1" applyFill="1" applyBorder="1" applyAlignment="1">
      <alignment horizontal="center" vertical="center" wrapText="1"/>
    </xf>
    <xf numFmtId="0" fontId="46" fillId="0" borderId="15" xfId="0" applyNumberFormat="1" applyFont="1" applyBorder="1" applyAlignment="1">
      <alignment horizontal="left" vertical="center" wrapText="1" indent="1"/>
    </xf>
    <xf numFmtId="0" fontId="46" fillId="0" borderId="27" xfId="0" applyNumberFormat="1" applyFont="1" applyBorder="1" applyAlignment="1">
      <alignment horizontal="left" vertical="center" wrapText="1" indent="1"/>
    </xf>
    <xf numFmtId="0" fontId="46" fillId="0" borderId="13" xfId="0" applyNumberFormat="1" applyFont="1" applyBorder="1" applyAlignment="1">
      <alignment horizontal="left" vertical="center" wrapText="1" indent="1"/>
    </xf>
    <xf numFmtId="0" fontId="2" fillId="0" borderId="19" xfId="0" applyNumberFormat="1" applyFont="1" applyBorder="1" applyAlignment="1">
      <alignment horizontal="left" vertical="center" indent="1"/>
    </xf>
    <xf numFmtId="0" fontId="0" fillId="0" borderId="3" xfId="0" applyNumberFormat="1" applyBorder="1" applyAlignment="1">
      <alignment horizontal="center" vertical="center" wrapText="1"/>
    </xf>
    <xf numFmtId="0" fontId="18" fillId="0" borderId="10" xfId="0" applyNumberFormat="1" applyFont="1" applyBorder="1" applyAlignment="1">
      <alignment horizontal="left" vertical="center" wrapText="1" indent="1"/>
    </xf>
    <xf numFmtId="0" fontId="2" fillId="0" borderId="8"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0" fontId="2" fillId="0" borderId="15" xfId="0" applyNumberFormat="1" applyFont="1" applyBorder="1" applyAlignment="1">
      <alignment horizontal="center" vertical="center" wrapText="1"/>
    </xf>
    <xf numFmtId="0" fontId="2" fillId="0" borderId="27" xfId="0" applyNumberFormat="1" applyFont="1" applyBorder="1" applyAlignment="1">
      <alignment horizontal="center" vertical="center" wrapText="1"/>
    </xf>
    <xf numFmtId="0" fontId="2" fillId="0" borderId="18" xfId="0" applyNumberFormat="1" applyFont="1" applyBorder="1" applyAlignment="1">
      <alignment horizontal="center" vertical="center" wrapText="1"/>
    </xf>
    <xf numFmtId="0" fontId="2" fillId="0" borderId="21" xfId="0" applyNumberFormat="1" applyFont="1" applyBorder="1" applyAlignment="1">
      <alignment horizontal="center" vertical="center" wrapText="1"/>
    </xf>
    <xf numFmtId="49" fontId="2" fillId="0" borderId="3" xfId="0" applyFont="1" applyBorder="1" applyAlignment="1">
      <alignment horizontal="center" vertical="center"/>
    </xf>
    <xf numFmtId="49" fontId="2" fillId="0" borderId="8" xfId="0" applyFont="1" applyBorder="1" applyAlignment="1">
      <alignment horizontal="center" vertical="center"/>
    </xf>
    <xf numFmtId="0" fontId="2" fillId="0" borderId="3"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2" fillId="0" borderId="28" xfId="0" applyNumberFormat="1" applyFont="1" applyBorder="1" applyAlignment="1">
      <alignment horizontal="left" vertical="center" wrapText="1"/>
    </xf>
    <xf numFmtId="49" fontId="2" fillId="11" borderId="8" xfId="0" applyFont="1" applyFill="1" applyBorder="1" applyAlignment="1">
      <alignment horizontal="center" vertical="center" wrapText="1"/>
    </xf>
    <xf numFmtId="49" fontId="2" fillId="11" borderId="27" xfId="0" applyFont="1" applyFill="1" applyBorder="1" applyAlignment="1">
      <alignment horizontal="center" vertical="center" wrapText="1"/>
    </xf>
    <xf numFmtId="0" fontId="2" fillId="0" borderId="10" xfId="0" applyNumberFormat="1" applyFont="1" applyBorder="1" applyAlignment="1">
      <alignment horizontal="center" vertical="center"/>
    </xf>
    <xf numFmtId="0" fontId="2" fillId="0" borderId="0" xfId="0" applyNumberFormat="1" applyFont="1" applyAlignment="1">
      <alignment horizontal="center" vertical="center"/>
    </xf>
    <xf numFmtId="0" fontId="12" fillId="0" borderId="19" xfId="0" applyNumberFormat="1" applyFont="1" applyBorder="1" applyAlignment="1">
      <alignment horizontal="left" vertical="center"/>
    </xf>
    <xf numFmtId="0" fontId="12" fillId="0" borderId="21" xfId="0" applyNumberFormat="1" applyFont="1" applyBorder="1" applyAlignment="1">
      <alignment horizontal="left" vertical="center"/>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2" fillId="0" borderId="5" xfId="0" applyNumberFormat="1" applyFont="1" applyBorder="1" applyAlignment="1">
      <alignment horizontal="left" vertical="center" wrapText="1"/>
    </xf>
    <xf numFmtId="0" fontId="18" fillId="0" borderId="19" xfId="0" applyNumberFormat="1" applyFont="1" applyBorder="1" applyAlignment="1">
      <alignment horizontal="left" vertical="center" wrapText="1" indent="1"/>
    </xf>
    <xf numFmtId="49" fontId="2" fillId="6" borderId="0" xfId="0" applyFont="1" applyFill="1" applyAlignment="1">
      <alignment horizontal="center" vertical="center" wrapText="1"/>
    </xf>
    <xf numFmtId="0" fontId="17" fillId="0" borderId="0" xfId="0" applyNumberFormat="1" applyFont="1" applyAlignment="1">
      <alignment horizontal="right" vertical="top" wrapText="1"/>
    </xf>
    <xf numFmtId="49" fontId="0" fillId="6" borderId="3" xfId="0" applyFill="1" applyBorder="1" applyAlignment="1">
      <alignment horizontal="center" vertical="center" wrapText="1"/>
    </xf>
    <xf numFmtId="49" fontId="2" fillId="6" borderId="3" xfId="0" applyFont="1" applyFill="1" applyBorder="1" applyAlignment="1">
      <alignment horizontal="center" vertical="center" wrapText="1"/>
    </xf>
    <xf numFmtId="0" fontId="2" fillId="6" borderId="0" xfId="0" applyNumberFormat="1" applyFont="1" applyFill="1" applyAlignment="1">
      <alignment horizontal="center" vertical="center" wrapText="1"/>
    </xf>
    <xf numFmtId="0" fontId="17" fillId="0" borderId="0" xfId="0" applyNumberFormat="1" applyFont="1" applyAlignment="1">
      <alignment horizontal="left" vertical="top" wrapText="1" indent="1"/>
    </xf>
    <xf numFmtId="0" fontId="67" fillId="6" borderId="0" xfId="0" applyNumberFormat="1" applyFont="1" applyFill="1" applyAlignment="1">
      <alignment horizontal="left" vertical="center" wrapText="1"/>
    </xf>
    <xf numFmtId="0" fontId="0" fillId="6" borderId="3" xfId="0" applyNumberForma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2" fillId="0" borderId="19" xfId="0" applyNumberFormat="1" applyFont="1" applyBorder="1" applyAlignment="1">
      <alignment horizontal="left" vertical="center" wrapText="1" indent="1"/>
    </xf>
    <xf numFmtId="0" fontId="2" fillId="6" borderId="8" xfId="0" applyNumberFormat="1" applyFont="1" applyFill="1" applyBorder="1" applyAlignment="1">
      <alignment horizontal="left" vertical="top" wrapText="1"/>
    </xf>
    <xf numFmtId="0" fontId="2" fillId="6" borderId="27" xfId="0" applyNumberFormat="1" applyFont="1" applyFill="1" applyBorder="1" applyAlignment="1">
      <alignment horizontal="left" vertical="top" wrapText="1"/>
    </xf>
    <xf numFmtId="0" fontId="2" fillId="6" borderId="14" xfId="0" applyNumberFormat="1" applyFont="1" applyFill="1" applyBorder="1" applyAlignment="1">
      <alignment horizontal="left" vertical="top" wrapText="1"/>
    </xf>
    <xf numFmtId="0" fontId="0" fillId="0" borderId="5" xfId="0" applyNumberFormat="1" applyBorder="1" applyAlignment="1">
      <alignment horizontal="center" vertical="center"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0" fillId="0" borderId="11" xfId="0" applyNumberFormat="1" applyBorder="1" applyAlignment="1">
      <alignment horizontal="center" vertical="center" wrapText="1"/>
    </xf>
    <xf numFmtId="0" fontId="0" fillId="0" borderId="21" xfId="0" applyNumberFormat="1" applyBorder="1" applyAlignment="1">
      <alignment horizontal="center" vertical="center" wrapText="1"/>
    </xf>
    <xf numFmtId="0" fontId="0" fillId="0" borderId="28" xfId="0" applyNumberFormat="1" applyBorder="1" applyAlignment="1">
      <alignment horizontal="center" vertical="center" wrapText="1"/>
    </xf>
    <xf numFmtId="0" fontId="0" fillId="0" borderId="18" xfId="0" applyNumberFormat="1" applyBorder="1" applyAlignment="1">
      <alignment horizontal="center" vertical="center" wrapText="1"/>
    </xf>
    <xf numFmtId="0" fontId="0" fillId="0" borderId="8" xfId="0" applyNumberFormat="1" applyBorder="1" applyAlignment="1">
      <alignment horizontal="left" vertical="top" wrapText="1"/>
    </xf>
    <xf numFmtId="0" fontId="0" fillId="0" borderId="14" xfId="0" applyNumberFormat="1" applyBorder="1" applyAlignment="1">
      <alignment horizontal="left" vertical="top" wrapText="1"/>
    </xf>
    <xf numFmtId="0" fontId="2" fillId="0" borderId="21" xfId="0" applyNumberFormat="1" applyFont="1" applyBorder="1" applyAlignment="1">
      <alignment horizontal="left" vertical="center" wrapText="1" indent="1"/>
    </xf>
    <xf numFmtId="0" fontId="2" fillId="0" borderId="14" xfId="0" applyNumberFormat="1" applyFont="1" applyBorder="1" applyAlignment="1">
      <alignment horizontal="left" vertical="center" wrapText="1" indent="1"/>
    </xf>
    <xf numFmtId="0" fontId="2" fillId="0" borderId="18" xfId="0" applyNumberFormat="1" applyFont="1" applyBorder="1" applyAlignment="1">
      <alignment horizontal="left" vertical="center" wrapText="1" indent="1"/>
    </xf>
    <xf numFmtId="0" fontId="19" fillId="0" borderId="0" xfId="0" applyNumberFormat="1" applyFont="1" applyAlignment="1">
      <alignment horizontal="center" vertical="center" wrapText="1"/>
    </xf>
    <xf numFmtId="0" fontId="0" fillId="0" borderId="6" xfId="0" applyNumberFormat="1" applyBorder="1" applyAlignment="1">
      <alignment horizontal="center" vertical="center" wrapText="1"/>
    </xf>
    <xf numFmtId="0" fontId="0" fillId="0" borderId="4" xfId="0" applyNumberFormat="1" applyBorder="1" applyAlignment="1">
      <alignment horizontal="center" vertical="center" wrapText="1"/>
    </xf>
    <xf numFmtId="49" fontId="0" fillId="0" borderId="28" xfId="0" applyBorder="1" applyAlignment="1">
      <alignment horizontal="center" vertical="center" wrapText="1"/>
    </xf>
    <xf numFmtId="49" fontId="0" fillId="0" borderId="18" xfId="0" applyBorder="1" applyAlignment="1">
      <alignment horizontal="center" vertical="center" wrapText="1"/>
    </xf>
    <xf numFmtId="0" fontId="2" fillId="11" borderId="10" xfId="0" applyNumberFormat="1" applyFont="1" applyFill="1" applyBorder="1" applyAlignment="1">
      <alignment horizontal="left" vertical="center" wrapText="1"/>
    </xf>
    <xf numFmtId="0" fontId="2" fillId="11" borderId="19" xfId="0" applyNumberFormat="1" applyFont="1" applyFill="1" applyBorder="1" applyAlignment="1">
      <alignment horizontal="left" vertical="center" wrapText="1"/>
    </xf>
    <xf numFmtId="0" fontId="2" fillId="0" borderId="14" xfId="0" applyNumberFormat="1" applyFont="1" applyBorder="1" applyAlignment="1">
      <alignment horizontal="center" vertical="center" wrapText="1"/>
    </xf>
    <xf numFmtId="0" fontId="0" fillId="0" borderId="27" xfId="0" applyNumberFormat="1" applyBorder="1" applyAlignment="1">
      <alignment horizontal="left" vertical="top" wrapText="1"/>
    </xf>
    <xf numFmtId="49" fontId="2" fillId="0" borderId="3" xfId="0" applyFont="1" applyBorder="1" applyAlignment="1">
      <alignment horizontal="center" vertical="top" wrapText="1"/>
    </xf>
    <xf numFmtId="0" fontId="0" fillId="5" borderId="3" xfId="0" applyNumberFormat="1" applyFill="1" applyBorder="1" applyAlignment="1">
      <alignment horizontal="left" vertical="top" wrapText="1" indent="1"/>
    </xf>
    <xf numFmtId="49" fontId="2" fillId="11" borderId="8" xfId="0" applyFont="1" applyFill="1" applyBorder="1" applyAlignment="1">
      <alignment horizontal="center" vertical="top" wrapText="1"/>
    </xf>
    <xf numFmtId="49" fontId="2" fillId="11" borderId="14" xfId="0" applyFont="1" applyFill="1" applyBorder="1" applyAlignment="1">
      <alignment horizontal="center" vertical="top" wrapText="1"/>
    </xf>
    <xf numFmtId="171" fontId="0" fillId="10" borderId="3" xfId="0" applyNumberFormat="1" applyFill="1" applyBorder="1" applyAlignment="1" applyProtection="1">
      <alignment horizontal="center" vertical="top" wrapText="1"/>
      <protection locked="0"/>
    </xf>
    <xf numFmtId="49" fontId="0" fillId="10" borderId="3" xfId="0" applyFill="1" applyBorder="1" applyAlignment="1" applyProtection="1">
      <alignment horizontal="center" vertical="top" wrapText="1"/>
      <protection locked="0"/>
    </xf>
    <xf numFmtId="171" fontId="0" fillId="7" borderId="3" xfId="0" applyNumberFormat="1" applyFill="1" applyBorder="1" applyAlignment="1" applyProtection="1">
      <alignment horizontal="center" vertical="top" wrapText="1"/>
      <protection locked="0"/>
    </xf>
    <xf numFmtId="49" fontId="0" fillId="7" borderId="3" xfId="0" applyFill="1" applyBorder="1" applyAlignment="1" applyProtection="1">
      <alignment horizontal="center" vertical="top" wrapText="1"/>
      <protection locked="0"/>
    </xf>
    <xf numFmtId="49" fontId="2" fillId="11" borderId="3" xfId="0" applyFont="1" applyFill="1" applyBorder="1" applyAlignment="1">
      <alignment horizontal="left" vertical="top" wrapText="1"/>
    </xf>
    <xf numFmtId="0" fontId="20" fillId="0" borderId="0" xfId="0" applyNumberFormat="1" applyFont="1" applyAlignment="1">
      <alignment horizontal="center" vertical="center" wrapText="1"/>
    </xf>
    <xf numFmtId="0" fontId="0" fillId="0" borderId="3" xfId="0" applyNumberFormat="1" applyBorder="1" applyAlignment="1">
      <alignment horizontal="center" vertical="center"/>
    </xf>
    <xf numFmtId="49" fontId="2" fillId="10" borderId="3" xfId="0" applyFont="1" applyFill="1" applyBorder="1" applyAlignment="1" applyProtection="1">
      <alignment horizontal="left" vertical="top" wrapText="1"/>
      <protection locked="0"/>
    </xf>
    <xf numFmtId="49" fontId="2" fillId="0" borderId="4" xfId="0" applyFont="1" applyBorder="1" applyAlignment="1">
      <alignment horizontal="center" vertical="center" wrapText="1"/>
    </xf>
    <xf numFmtId="0" fontId="2" fillId="7" borderId="3" xfId="0" applyNumberFormat="1" applyFont="1" applyFill="1" applyBorder="1" applyAlignment="1" applyProtection="1">
      <alignment horizontal="left" vertical="top" wrapText="1"/>
      <protection locked="0"/>
    </xf>
    <xf numFmtId="49" fontId="0" fillId="10" borderId="3" xfId="0" applyFill="1" applyBorder="1" applyAlignment="1" applyProtection="1">
      <alignment horizontal="left" vertical="center" wrapText="1"/>
      <protection locked="0"/>
    </xf>
    <xf numFmtId="0" fontId="2" fillId="11" borderId="3" xfId="0" applyNumberFormat="1" applyFont="1" applyFill="1" applyBorder="1" applyAlignment="1">
      <alignment horizontal="left" vertical="top" wrapText="1"/>
    </xf>
    <xf numFmtId="49" fontId="0" fillId="11" borderId="3" xfId="0" applyFill="1" applyBorder="1" applyAlignment="1">
      <alignment horizontal="left" vertical="top"/>
    </xf>
    <xf numFmtId="49" fontId="2" fillId="0" borderId="8" xfId="0" applyFont="1" applyBorder="1" applyAlignment="1">
      <alignment horizontal="center" vertical="center" wrapText="1"/>
    </xf>
    <xf numFmtId="49" fontId="2" fillId="0" borderId="27" xfId="0" applyFont="1" applyBorder="1" applyAlignment="1">
      <alignment horizontal="center" vertical="center" wrapText="1"/>
    </xf>
    <xf numFmtId="49" fontId="2" fillId="0" borderId="14" xfId="0" applyFont="1" applyBorder="1" applyAlignment="1">
      <alignment horizontal="center" vertical="center" wrapText="1"/>
    </xf>
    <xf numFmtId="0" fontId="0" fillId="0" borderId="5" xfId="0" applyNumberFormat="1" applyBorder="1" applyAlignment="1">
      <alignment horizontal="right" vertical="center" wrapText="1" indent="1"/>
    </xf>
    <xf numFmtId="0" fontId="0" fillId="0" borderId="6" xfId="0" applyNumberFormat="1" applyBorder="1" applyAlignment="1">
      <alignment horizontal="right" vertical="center" wrapText="1" indent="1"/>
    </xf>
    <xf numFmtId="0" fontId="0" fillId="0" borderId="4" xfId="0" applyNumberFormat="1" applyBorder="1" applyAlignment="1">
      <alignment horizontal="right" vertical="center" wrapText="1" indent="1"/>
    </xf>
    <xf numFmtId="0" fontId="0" fillId="5" borderId="3" xfId="0" applyNumberFormat="1" applyFill="1" applyBorder="1" applyAlignment="1">
      <alignment horizontal="left" vertical="center" wrapText="1" indent="1"/>
    </xf>
    <xf numFmtId="49" fontId="2" fillId="11" borderId="8" xfId="0" applyFont="1" applyFill="1" applyBorder="1" applyAlignment="1">
      <alignment horizontal="left" vertical="center" wrapText="1" indent="1"/>
    </xf>
    <xf numFmtId="49" fontId="2" fillId="11" borderId="27" xfId="0" applyFont="1" applyFill="1" applyBorder="1" applyAlignment="1">
      <alignment horizontal="left" vertical="center" wrapText="1" indent="1"/>
    </xf>
    <xf numFmtId="49" fontId="2" fillId="11" borderId="14" xfId="0" applyFont="1" applyFill="1" applyBorder="1" applyAlignment="1">
      <alignment horizontal="left" vertical="center" wrapText="1" indent="1"/>
    </xf>
    <xf numFmtId="49" fontId="2" fillId="0" borderId="3" xfId="0" applyFont="1" applyBorder="1" applyAlignment="1">
      <alignment horizontal="left" vertical="center" wrapText="1"/>
    </xf>
    <xf numFmtId="49" fontId="97" fillId="0" borderId="3" xfId="0" applyFont="1" applyBorder="1" applyAlignment="1">
      <alignment horizontal="center" vertical="center" wrapText="1"/>
    </xf>
    <xf numFmtId="0" fontId="17" fillId="0" borderId="3" xfId="0" applyNumberFormat="1" applyFont="1" applyBorder="1" applyAlignment="1">
      <alignment horizontal="center" vertical="center"/>
    </xf>
    <xf numFmtId="0" fontId="0" fillId="10" borderId="3" xfId="0" applyNumberFormat="1" applyFill="1" applyBorder="1" applyAlignment="1" applyProtection="1">
      <alignment horizontal="left" vertical="center" wrapText="1"/>
      <protection locked="0"/>
    </xf>
    <xf numFmtId="49" fontId="0" fillId="10" borderId="5" xfId="0" applyFill="1" applyBorder="1" applyAlignment="1" applyProtection="1">
      <alignment horizontal="left" vertical="center" wrapText="1"/>
      <protection locked="0"/>
    </xf>
    <xf numFmtId="0" fontId="19" fillId="0" borderId="0" xfId="0" applyNumberFormat="1" applyFont="1" applyAlignment="1">
      <alignment horizontal="center" vertical="top"/>
    </xf>
    <xf numFmtId="49" fontId="8" fillId="0" borderId="8" xfId="0" applyFont="1" applyBorder="1" applyAlignment="1">
      <alignment horizontal="center" vertical="top" wrapText="1"/>
    </xf>
    <xf numFmtId="49" fontId="2" fillId="0" borderId="27" xfId="0" applyFont="1" applyBorder="1" applyAlignment="1">
      <alignment horizontal="center" vertical="top" wrapText="1"/>
    </xf>
    <xf numFmtId="49" fontId="2" fillId="0" borderId="14" xfId="0" applyFont="1" applyBorder="1" applyAlignment="1">
      <alignment horizontal="center" vertical="top" wrapText="1"/>
    </xf>
    <xf numFmtId="49" fontId="2" fillId="10" borderId="5" xfId="0" applyFont="1" applyFill="1" applyBorder="1" applyAlignment="1" applyProtection="1">
      <alignment horizontal="left" vertical="center" wrapText="1" indent="1"/>
      <protection locked="0"/>
    </xf>
    <xf numFmtId="49" fontId="2" fillId="10" borderId="3" xfId="0" applyFont="1" applyFill="1" applyBorder="1" applyAlignment="1" applyProtection="1">
      <alignment horizontal="left" vertical="center" wrapText="1" indent="1"/>
      <protection locked="0"/>
    </xf>
    <xf numFmtId="0" fontId="2" fillId="0" borderId="14" xfId="0" applyNumberFormat="1" applyFont="1" applyBorder="1" applyAlignment="1">
      <alignment horizontal="left" vertical="center" wrapText="1"/>
    </xf>
    <xf numFmtId="0" fontId="0" fillId="11" borderId="3" xfId="0" applyNumberFormat="1" applyFill="1" applyBorder="1" applyAlignment="1" applyProtection="1">
      <alignment horizontal="left" vertical="center" wrapText="1"/>
      <protection locked="0"/>
    </xf>
    <xf numFmtId="49" fontId="0" fillId="11" borderId="3" xfId="0" applyFill="1" applyBorder="1" applyAlignment="1" applyProtection="1">
      <alignment horizontal="left" vertical="center" wrapText="1"/>
      <protection locked="0"/>
    </xf>
    <xf numFmtId="49" fontId="2" fillId="7" borderId="3" xfId="0" applyFont="1" applyFill="1" applyBorder="1" applyAlignment="1" applyProtection="1">
      <alignment horizontal="left" vertical="center" wrapText="1"/>
      <protection locked="0"/>
    </xf>
    <xf numFmtId="49" fontId="0" fillId="7" borderId="3" xfId="0" applyFill="1" applyBorder="1" applyAlignment="1" applyProtection="1">
      <alignment horizontal="left" vertical="top"/>
      <protection locked="0"/>
    </xf>
    <xf numFmtId="0" fontId="2" fillId="11" borderId="3" xfId="0" applyNumberFormat="1" applyFont="1" applyFill="1" applyBorder="1" applyAlignment="1">
      <alignment horizontal="center" vertical="center" wrapText="1"/>
    </xf>
    <xf numFmtId="14" fontId="54" fillId="0" borderId="8" xfId="0" applyNumberFormat="1" applyFont="1" applyBorder="1" applyAlignment="1">
      <alignment horizontal="center" vertical="center" wrapText="1"/>
    </xf>
    <xf numFmtId="14" fontId="54" fillId="0" borderId="27" xfId="0" applyNumberFormat="1" applyFont="1" applyBorder="1" applyAlignment="1">
      <alignment horizontal="center" vertical="center" wrapText="1"/>
    </xf>
    <xf numFmtId="0" fontId="48" fillId="0" borderId="3" xfId="0" applyNumberFormat="1" applyFont="1" applyBorder="1" applyAlignment="1">
      <alignment horizontal="left" vertical="center" wrapText="1" indent="1"/>
    </xf>
    <xf numFmtId="0" fontId="48" fillId="0" borderId="3" xfId="0" applyNumberFormat="1" applyFont="1" applyBorder="1" applyAlignment="1">
      <alignment horizontal="left" vertical="top" indent="1"/>
    </xf>
    <xf numFmtId="0" fontId="7" fillId="0" borderId="3" xfId="0" applyNumberFormat="1" applyFont="1" applyBorder="1" applyAlignment="1">
      <alignment horizontal="center" vertical="center" wrapText="1"/>
    </xf>
    <xf numFmtId="0" fontId="2" fillId="11" borderId="3" xfId="0" applyNumberFormat="1" applyFont="1" applyFill="1" applyBorder="1" applyAlignment="1">
      <alignment horizontal="left" vertical="center" wrapText="1" indent="1"/>
    </xf>
    <xf numFmtId="49" fontId="2" fillId="11" borderId="3" xfId="0" applyFont="1" applyFill="1" applyBorder="1" applyAlignment="1">
      <alignment horizontal="center" vertical="top" wrapText="1"/>
    </xf>
    <xf numFmtId="49" fontId="2" fillId="11" borderId="5" xfId="0" applyFont="1" applyFill="1" applyBorder="1" applyAlignment="1">
      <alignment horizontal="center" vertical="top" wrapText="1"/>
    </xf>
    <xf numFmtId="49" fontId="0" fillId="5" borderId="3" xfId="0" applyFill="1" applyBorder="1" applyAlignment="1">
      <alignment horizontal="center" vertical="top" wrapText="1"/>
    </xf>
    <xf numFmtId="0" fontId="2" fillId="5" borderId="3" xfId="0" applyNumberFormat="1" applyFont="1" applyFill="1" applyBorder="1" applyAlignment="1">
      <alignment horizontal="center" vertical="top" wrapText="1"/>
    </xf>
    <xf numFmtId="49" fontId="2" fillId="11" borderId="5" xfId="0" applyFont="1" applyFill="1" applyBorder="1" applyAlignment="1">
      <alignment horizontal="center" vertical="center" wrapText="1"/>
    </xf>
    <xf numFmtId="49" fontId="12" fillId="8" borderId="42" xfId="0" applyFont="1" applyFill="1" applyBorder="1" applyAlignment="1">
      <alignment horizontal="left" vertical="center" indent="1"/>
    </xf>
    <xf numFmtId="49" fontId="2" fillId="5" borderId="3" xfId="0" applyFont="1" applyFill="1" applyBorder="1" applyAlignment="1">
      <alignment horizontal="center" vertical="center" wrapText="1"/>
    </xf>
    <xf numFmtId="49" fontId="2" fillId="5" borderId="49" xfId="0" applyFont="1" applyFill="1" applyBorder="1" applyAlignment="1">
      <alignment horizontal="center" vertical="center" wrapText="1"/>
    </xf>
    <xf numFmtId="3" fontId="2" fillId="10" borderId="3" xfId="0" applyNumberFormat="1" applyFont="1" applyFill="1" applyBorder="1" applyAlignment="1" applyProtection="1">
      <alignment horizontal="center" vertical="center" wrapText="1"/>
      <protection locked="0"/>
    </xf>
    <xf numFmtId="49" fontId="2" fillId="5" borderId="3" xfId="0" applyFont="1" applyFill="1" applyBorder="1" applyAlignment="1">
      <alignment horizontal="left" vertical="center" wrapText="1"/>
    </xf>
    <xf numFmtId="49" fontId="2" fillId="11" borderId="4" xfId="0" applyFont="1" applyFill="1" applyBorder="1" applyAlignment="1">
      <alignment horizontal="left" vertical="center" wrapText="1"/>
    </xf>
    <xf numFmtId="49" fontId="2" fillId="11" borderId="3" xfId="0" applyFont="1" applyFill="1" applyBorder="1" applyAlignment="1">
      <alignment horizontal="left" vertical="center" wrapText="1"/>
    </xf>
    <xf numFmtId="49" fontId="2" fillId="10" borderId="3" xfId="0" applyFont="1" applyFill="1" applyBorder="1" applyAlignment="1" applyProtection="1">
      <alignment horizontal="left" vertical="center" wrapText="1"/>
      <protection locked="0"/>
    </xf>
    <xf numFmtId="49" fontId="97" fillId="0" borderId="4" xfId="0" applyFont="1" applyBorder="1" applyAlignment="1">
      <alignment horizontal="center" vertical="center" wrapText="1"/>
    </xf>
    <xf numFmtId="0" fontId="2" fillId="11" borderId="8" xfId="0" applyNumberFormat="1" applyFont="1" applyFill="1" applyBorder="1" applyAlignment="1">
      <alignment horizontal="left" vertical="center" wrapText="1"/>
    </xf>
    <xf numFmtId="0" fontId="2" fillId="11" borderId="27" xfId="0" applyNumberFormat="1" applyFont="1" applyFill="1" applyBorder="1" applyAlignment="1">
      <alignment horizontal="left" vertical="center" wrapText="1"/>
    </xf>
    <xf numFmtId="49" fontId="2" fillId="11" borderId="8" xfId="0" applyFont="1" applyFill="1" applyBorder="1" applyAlignment="1">
      <alignment horizontal="left" vertical="center" wrapText="1"/>
    </xf>
    <xf numFmtId="49" fontId="2" fillId="11" borderId="14" xfId="0" applyFont="1" applyFill="1" applyBorder="1" applyAlignment="1">
      <alignment horizontal="left" vertical="center" wrapText="1"/>
    </xf>
    <xf numFmtId="49" fontId="2" fillId="0" borderId="27" xfId="0" applyFont="1" applyBorder="1" applyAlignment="1">
      <alignment horizontal="center" vertical="center"/>
    </xf>
    <xf numFmtId="0" fontId="2" fillId="0" borderId="15" xfId="0" applyNumberFormat="1" applyFont="1" applyBorder="1" applyAlignment="1">
      <alignment horizontal="center" vertical="center"/>
    </xf>
    <xf numFmtId="49" fontId="2" fillId="7" borderId="8" xfId="0" applyFont="1" applyFill="1" applyBorder="1" applyAlignment="1" applyProtection="1">
      <alignment horizontal="left" vertical="center" wrapText="1"/>
      <protection locked="0"/>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12" fillId="8" borderId="10" xfId="0" applyNumberFormat="1" applyFont="1" applyFill="1" applyBorder="1" applyAlignment="1">
      <alignment horizontal="left" vertical="center"/>
    </xf>
    <xf numFmtId="0" fontId="12" fillId="8" borderId="11" xfId="0" applyNumberFormat="1" applyFont="1" applyFill="1" applyBorder="1" applyAlignment="1">
      <alignment horizontal="left" vertical="center"/>
    </xf>
    <xf numFmtId="49" fontId="2" fillId="10" borderId="8" xfId="0" applyFont="1" applyFill="1" applyBorder="1" applyAlignment="1" applyProtection="1">
      <alignment horizontal="left" vertical="center" wrapText="1"/>
      <protection locked="0"/>
    </xf>
    <xf numFmtId="49" fontId="20" fillId="0" borderId="3" xfId="0" applyFont="1" applyBorder="1" applyAlignment="1">
      <alignment horizontal="center" vertical="center" wrapText="1"/>
    </xf>
    <xf numFmtId="0" fontId="2" fillId="6" borderId="3" xfId="0" applyNumberFormat="1" applyFont="1" applyFill="1" applyBorder="1" applyAlignment="1">
      <alignment horizontal="center" vertical="center"/>
    </xf>
    <xf numFmtId="0" fontId="2" fillId="11" borderId="5" xfId="0" applyNumberFormat="1" applyFont="1" applyFill="1" applyBorder="1" applyAlignment="1">
      <alignment horizontal="left" vertical="center" wrapText="1"/>
    </xf>
    <xf numFmtId="0" fontId="2" fillId="11" borderId="6" xfId="0" applyNumberFormat="1" applyFont="1" applyFill="1" applyBorder="1" applyAlignment="1">
      <alignment horizontal="left" vertical="center" wrapText="1"/>
    </xf>
    <xf numFmtId="0" fontId="2" fillId="11" borderId="4" xfId="0" applyNumberFormat="1" applyFont="1" applyFill="1" applyBorder="1" applyAlignment="1">
      <alignment horizontal="left" vertical="center" wrapText="1"/>
    </xf>
    <xf numFmtId="0" fontId="0" fillId="6" borderId="3" xfId="0" applyNumberFormat="1" applyFill="1" applyBorder="1" applyAlignment="1">
      <alignment horizontal="right" vertical="center" wrapText="1" indent="1"/>
    </xf>
    <xf numFmtId="171" fontId="2" fillId="5" borderId="3" xfId="0" applyNumberFormat="1" applyFont="1" applyFill="1" applyBorder="1" applyAlignment="1">
      <alignment horizontal="left" vertical="center" wrapText="1" indent="1"/>
    </xf>
    <xf numFmtId="0" fontId="2" fillId="5" borderId="3" xfId="0" applyNumberFormat="1" applyFont="1" applyFill="1" applyBorder="1" applyAlignment="1">
      <alignment horizontal="left" vertical="center" wrapText="1" indent="1"/>
    </xf>
    <xf numFmtId="0" fontId="2" fillId="5" borderId="5" xfId="0" applyNumberFormat="1" applyFont="1" applyFill="1" applyBorder="1" applyAlignment="1">
      <alignment horizontal="left" vertical="center" wrapText="1"/>
    </xf>
    <xf numFmtId="0" fontId="2" fillId="5" borderId="6" xfId="0" applyNumberFormat="1" applyFont="1" applyFill="1" applyBorder="1" applyAlignment="1">
      <alignment horizontal="left" vertical="center" wrapText="1"/>
    </xf>
    <xf numFmtId="0" fontId="2" fillId="5" borderId="4" xfId="0" applyNumberFormat="1" applyFont="1" applyFill="1" applyBorder="1" applyAlignment="1">
      <alignment horizontal="left" vertical="center" wrapText="1"/>
    </xf>
    <xf numFmtId="49" fontId="19" fillId="0" borderId="3" xfId="0" applyFont="1" applyBorder="1" applyAlignment="1">
      <alignment horizontal="center" vertical="center" wrapText="1"/>
    </xf>
    <xf numFmtId="171" fontId="19" fillId="0" borderId="3"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19" fillId="0" borderId="3" xfId="0" applyNumberFormat="1" applyFont="1" applyBorder="1" applyAlignment="1">
      <alignment horizontal="center" vertical="center"/>
    </xf>
    <xf numFmtId="0" fontId="19" fillId="0" borderId="5" xfId="0" applyNumberFormat="1" applyFont="1" applyBorder="1" applyAlignment="1">
      <alignment horizontal="center" vertical="center"/>
    </xf>
    <xf numFmtId="0" fontId="19" fillId="0" borderId="3" xfId="0" applyNumberFormat="1" applyFont="1" applyBorder="1" applyAlignment="1">
      <alignment horizontal="center" vertical="center" wrapText="1"/>
    </xf>
    <xf numFmtId="0" fontId="19" fillId="0" borderId="5" xfId="0" applyNumberFormat="1" applyFont="1" applyBorder="1" applyAlignment="1">
      <alignment horizontal="center" vertical="center" wrapText="1"/>
    </xf>
    <xf numFmtId="171" fontId="0" fillId="10" borderId="3" xfId="0" applyNumberFormat="1" applyFill="1" applyBorder="1" applyAlignment="1" applyProtection="1">
      <alignment horizontal="center" vertical="center" wrapText="1"/>
      <protection locked="0"/>
    </xf>
    <xf numFmtId="49" fontId="0" fillId="10" borderId="3" xfId="0" applyFill="1" applyBorder="1" applyAlignment="1" applyProtection="1">
      <alignment horizontal="center" vertical="center" wrapText="1"/>
      <protection locked="0"/>
    </xf>
    <xf numFmtId="171" fontId="0" fillId="10" borderId="8" xfId="0" applyNumberFormat="1" applyFill="1" applyBorder="1" applyAlignment="1" applyProtection="1">
      <alignment horizontal="center" vertical="center" wrapText="1"/>
      <protection locked="0"/>
    </xf>
    <xf numFmtId="49" fontId="0" fillId="10" borderId="14" xfId="0" applyFill="1" applyBorder="1" applyAlignment="1" applyProtection="1">
      <alignment horizontal="center" vertical="center" wrapText="1"/>
      <protection locked="0"/>
    </xf>
    <xf numFmtId="0" fontId="19" fillId="0" borderId="8"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8" fillId="0" borderId="19" xfId="0" applyNumberFormat="1" applyFont="1" applyBorder="1" applyAlignment="1">
      <alignment horizontal="center" vertical="center" wrapText="1"/>
    </xf>
    <xf numFmtId="0" fontId="2" fillId="6" borderId="3" xfId="0" applyNumberFormat="1" applyFont="1" applyFill="1" applyBorder="1" applyAlignment="1">
      <alignment horizontal="left" vertical="center" wrapText="1"/>
    </xf>
    <xf numFmtId="0" fontId="0" fillId="6" borderId="5" xfId="0" applyNumberFormat="1" applyFill="1" applyBorder="1" applyAlignment="1">
      <alignment horizontal="center" vertical="center" wrapText="1"/>
    </xf>
    <xf numFmtId="0" fontId="0" fillId="6" borderId="6" xfId="0" applyNumberFormat="1" applyFill="1" applyBorder="1" applyAlignment="1">
      <alignment horizontal="center" vertical="center" wrapText="1"/>
    </xf>
    <xf numFmtId="0" fontId="0" fillId="6" borderId="4" xfId="0" applyNumberFormat="1" applyFill="1" applyBorder="1" applyAlignment="1">
      <alignment horizontal="center" vertical="center" wrapText="1"/>
    </xf>
    <xf numFmtId="0" fontId="2" fillId="6" borderId="8" xfId="0" applyNumberFormat="1" applyFont="1" applyFill="1" applyBorder="1" applyAlignment="1">
      <alignment horizontal="center" vertical="center" wrapText="1"/>
    </xf>
    <xf numFmtId="0" fontId="2" fillId="6" borderId="27" xfId="0" applyNumberFormat="1" applyFont="1" applyFill="1" applyBorder="1" applyAlignment="1">
      <alignment horizontal="center" vertical="center" wrapText="1"/>
    </xf>
    <xf numFmtId="0" fontId="2" fillId="6" borderId="14" xfId="0" applyNumberFormat="1" applyFont="1" applyFill="1" applyBorder="1" applyAlignment="1">
      <alignment horizontal="center" vertical="center" wrapText="1"/>
    </xf>
    <xf numFmtId="49" fontId="12" fillId="8" borderId="8" xfId="0" applyFont="1" applyFill="1" applyBorder="1" applyAlignment="1">
      <alignment horizontal="center" vertical="center" textRotation="90" wrapText="1"/>
    </xf>
    <xf numFmtId="49" fontId="12" fillId="8" borderId="27" xfId="0" applyFont="1" applyFill="1" applyBorder="1" applyAlignment="1">
      <alignment horizontal="center" vertical="center" textRotation="90" wrapText="1"/>
    </xf>
    <xf numFmtId="49" fontId="12" fillId="8" borderId="14" xfId="0" applyFont="1" applyFill="1" applyBorder="1" applyAlignment="1">
      <alignment horizontal="center" vertical="center" textRotation="90" wrapText="1"/>
    </xf>
    <xf numFmtId="0" fontId="17" fillId="0" borderId="8" xfId="0" applyNumberFormat="1" applyFont="1" applyBorder="1" applyAlignment="1">
      <alignment horizontal="left" vertical="top" wrapText="1"/>
    </xf>
    <xf numFmtId="0" fontId="17" fillId="0" borderId="27" xfId="0" applyNumberFormat="1" applyFont="1" applyBorder="1" applyAlignment="1">
      <alignment horizontal="left" vertical="top" wrapText="1"/>
    </xf>
    <xf numFmtId="0" fontId="17" fillId="0" borderId="14" xfId="0" applyNumberFormat="1" applyFont="1" applyBorder="1" applyAlignment="1">
      <alignment horizontal="left" vertical="top" wrapText="1"/>
    </xf>
    <xf numFmtId="0" fontId="2" fillId="0" borderId="10" xfId="0" applyNumberFormat="1" applyFont="1" applyBorder="1" applyAlignment="1">
      <alignment horizontal="left" vertical="center" wrapText="1" indent="1"/>
    </xf>
    <xf numFmtId="0" fontId="20" fillId="0" borderId="8" xfId="0" applyNumberFormat="1" applyFont="1" applyBorder="1" applyAlignment="1">
      <alignment horizontal="center" vertical="center" wrapText="1"/>
    </xf>
    <xf numFmtId="0" fontId="20" fillId="0" borderId="14" xfId="0" applyNumberFormat="1" applyFont="1" applyBorder="1" applyAlignment="1">
      <alignment horizontal="center" vertical="center" wrapText="1"/>
    </xf>
    <xf numFmtId="0" fontId="0" fillId="6" borderId="10" xfId="0" applyNumberFormat="1" applyFill="1" applyBorder="1" applyAlignment="1">
      <alignment horizontal="center" vertical="center" wrapText="1"/>
    </xf>
    <xf numFmtId="0" fontId="20" fillId="0" borderId="5" xfId="0" applyNumberFormat="1" applyFont="1" applyBorder="1" applyAlignment="1">
      <alignment horizontal="left" vertical="center" wrapText="1"/>
    </xf>
    <xf numFmtId="0" fontId="20" fillId="0" borderId="6" xfId="0" applyNumberFormat="1" applyFont="1" applyBorder="1" applyAlignment="1">
      <alignment horizontal="left" vertical="center" wrapText="1"/>
    </xf>
    <xf numFmtId="0" fontId="20" fillId="0" borderId="4" xfId="0" applyNumberFormat="1" applyFont="1" applyBorder="1" applyAlignment="1">
      <alignment horizontal="left" vertical="center" wrapText="1"/>
    </xf>
    <xf numFmtId="0" fontId="0" fillId="0" borderId="27" xfId="0" applyNumberFormat="1" applyBorder="1" applyAlignment="1">
      <alignment horizontal="center" vertical="center" wrapText="1"/>
    </xf>
    <xf numFmtId="0" fontId="2" fillId="0" borderId="10" xfId="0" applyNumberFormat="1" applyFont="1" applyBorder="1" applyAlignment="1">
      <alignment horizontal="center" vertical="center" wrapText="1"/>
    </xf>
    <xf numFmtId="0" fontId="2" fillId="0" borderId="19" xfId="0" applyNumberFormat="1" applyFont="1" applyBorder="1" applyAlignment="1">
      <alignment horizontal="center" vertical="center" wrapText="1"/>
    </xf>
    <xf numFmtId="0" fontId="2" fillId="0" borderId="3" xfId="0" applyNumberFormat="1" applyFont="1" applyBorder="1" applyAlignment="1">
      <alignment horizontal="center" vertical="center"/>
    </xf>
    <xf numFmtId="0" fontId="2" fillId="0" borderId="5" xfId="0" applyNumberFormat="1" applyFont="1" applyBorder="1" applyAlignment="1">
      <alignment horizontal="center" vertical="center"/>
    </xf>
    <xf numFmtId="0" fontId="2" fillId="11" borderId="11" xfId="0" applyNumberFormat="1" applyFont="1" applyFill="1" applyBorder="1" applyAlignment="1">
      <alignment horizontal="left" vertical="center" wrapText="1"/>
    </xf>
    <xf numFmtId="49" fontId="2" fillId="0" borderId="3" xfId="0" applyFont="1" applyBorder="1" applyAlignment="1">
      <alignment horizontal="left" vertical="center" wrapText="1" indent="1"/>
    </xf>
    <xf numFmtId="0" fontId="0" fillId="6" borderId="28" xfId="0" applyNumberFormat="1" applyFill="1" applyBorder="1" applyAlignment="1">
      <alignment horizontal="center" vertical="center" wrapText="1"/>
    </xf>
    <xf numFmtId="0" fontId="0" fillId="6" borderId="11" xfId="0" applyNumberFormat="1" applyFill="1" applyBorder="1" applyAlignment="1">
      <alignment horizontal="center" vertical="center" wrapText="1"/>
    </xf>
    <xf numFmtId="0" fontId="0" fillId="6" borderId="13" xfId="0" applyNumberFormat="1" applyFill="1" applyBorder="1" applyAlignment="1">
      <alignment horizontal="center" vertical="center" wrapText="1"/>
    </xf>
    <xf numFmtId="0" fontId="0" fillId="6" borderId="0" xfId="0" applyNumberFormat="1" applyFill="1" applyAlignment="1">
      <alignment horizontal="center" vertical="center" wrapText="1"/>
    </xf>
    <xf numFmtId="0" fontId="0" fillId="6" borderId="18" xfId="0" applyNumberFormat="1" applyFill="1" applyBorder="1" applyAlignment="1">
      <alignment horizontal="center" vertical="center" wrapText="1"/>
    </xf>
    <xf numFmtId="0" fontId="0" fillId="6" borderId="19" xfId="0" applyNumberFormat="1" applyFill="1" applyBorder="1" applyAlignment="1">
      <alignment horizontal="center" vertical="center" wrapText="1"/>
    </xf>
    <xf numFmtId="0" fontId="0" fillId="6" borderId="21" xfId="0" applyNumberFormat="1" applyFill="1" applyBorder="1" applyAlignment="1">
      <alignment horizontal="center" vertical="center" wrapText="1"/>
    </xf>
    <xf numFmtId="0" fontId="8" fillId="0" borderId="3" xfId="0" applyNumberFormat="1" applyFont="1" applyBorder="1" applyAlignment="1">
      <alignment horizontal="center" vertical="center" wrapText="1"/>
    </xf>
    <xf numFmtId="49" fontId="2" fillId="10" borderId="8" xfId="0" applyFont="1" applyFill="1" applyBorder="1" applyAlignment="1" applyProtection="1">
      <alignment horizontal="left" vertical="center" wrapText="1" indent="6"/>
      <protection locked="0"/>
    </xf>
    <xf numFmtId="49" fontId="2" fillId="10" borderId="27" xfId="0" applyFont="1" applyFill="1" applyBorder="1" applyAlignment="1" applyProtection="1">
      <alignment horizontal="left" vertical="center" wrapText="1" indent="6"/>
      <protection locked="0"/>
    </xf>
    <xf numFmtId="49" fontId="2" fillId="10" borderId="14" xfId="0" applyFont="1" applyFill="1" applyBorder="1" applyAlignment="1" applyProtection="1">
      <alignment horizontal="left" vertical="center" wrapText="1" indent="6"/>
      <protection locked="0"/>
    </xf>
    <xf numFmtId="0" fontId="2" fillId="6" borderId="8" xfId="0" applyNumberFormat="1" applyFont="1" applyFill="1" applyBorder="1" applyAlignment="1">
      <alignment horizontal="left" vertical="center" wrapText="1"/>
    </xf>
    <xf numFmtId="0" fontId="2" fillId="6" borderId="27" xfId="0" applyNumberFormat="1" applyFont="1" applyFill="1" applyBorder="1" applyAlignment="1">
      <alignment horizontal="left" vertical="center" wrapText="1"/>
    </xf>
    <xf numFmtId="0" fontId="2" fillId="6" borderId="14" xfId="0" applyNumberFormat="1" applyFont="1" applyFill="1" applyBorder="1" applyAlignment="1">
      <alignment horizontal="left" vertical="center" wrapText="1"/>
    </xf>
    <xf numFmtId="0" fontId="20" fillId="0" borderId="15" xfId="0" applyNumberFormat="1" applyFont="1" applyBorder="1" applyAlignment="1">
      <alignment horizontal="center" vertical="top" wrapText="1"/>
    </xf>
    <xf numFmtId="0" fontId="0" fillId="6" borderId="15" xfId="0" applyNumberFormat="1" applyFill="1" applyBorder="1" applyAlignment="1">
      <alignment horizontal="center" vertical="center" wrapText="1"/>
    </xf>
    <xf numFmtId="0" fontId="2" fillId="6" borderId="28" xfId="0" applyNumberFormat="1" applyFont="1" applyFill="1" applyBorder="1" applyAlignment="1">
      <alignment horizontal="center" vertical="center" wrapText="1"/>
    </xf>
    <xf numFmtId="0" fontId="2" fillId="6" borderId="13" xfId="0" applyNumberFormat="1" applyFont="1" applyFill="1" applyBorder="1" applyAlignment="1">
      <alignment horizontal="center" vertical="center" wrapText="1"/>
    </xf>
    <xf numFmtId="0" fontId="2" fillId="6" borderId="18" xfId="0" applyNumberFormat="1" applyFont="1" applyFill="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49" fontId="2" fillId="11" borderId="3" xfId="0" applyFont="1" applyFill="1" applyBorder="1" applyAlignment="1">
      <alignment horizontal="left" vertical="center" wrapText="1" indent="1"/>
    </xf>
    <xf numFmtId="49" fontId="69" fillId="0" borderId="3" xfId="0"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Font="1" applyBorder="1" applyAlignment="1">
      <alignment horizontal="center" vertical="top" wrapText="1"/>
    </xf>
    <xf numFmtId="49" fontId="69" fillId="0" borderId="18" xfId="0" applyFont="1" applyBorder="1" applyAlignment="1">
      <alignment horizontal="center" vertical="top" wrapText="1"/>
    </xf>
    <xf numFmtId="49" fontId="69" fillId="0" borderId="5" xfId="0" applyFont="1" applyBorder="1" applyAlignment="1">
      <alignment horizontal="center" vertical="top" wrapText="1"/>
    </xf>
    <xf numFmtId="49" fontId="69" fillId="0" borderId="6" xfId="0" applyFont="1" applyBorder="1" applyAlignment="1">
      <alignment horizontal="center" vertical="top" wrapText="1"/>
    </xf>
    <xf numFmtId="49" fontId="69" fillId="0" borderId="4" xfId="0" applyFont="1" applyBorder="1" applyAlignment="1">
      <alignment horizontal="center" vertical="top" wrapText="1"/>
    </xf>
    <xf numFmtId="49" fontId="69" fillId="0" borderId="8" xfId="0" applyFont="1" applyBorder="1" applyAlignment="1">
      <alignment horizontal="center" vertical="top" wrapText="1"/>
    </xf>
    <xf numFmtId="49" fontId="69" fillId="0" borderId="27" xfId="0" applyFont="1" applyBorder="1" applyAlignment="1">
      <alignment horizontal="center" vertical="top" wrapText="1"/>
    </xf>
    <xf numFmtId="49" fontId="69" fillId="0" borderId="14" xfId="0" applyFont="1" applyBorder="1" applyAlignment="1">
      <alignment horizontal="center" vertical="top" wrapText="1"/>
    </xf>
    <xf numFmtId="4" fontId="2" fillId="5" borderId="3" xfId="0" applyNumberFormat="1" applyFont="1" applyFill="1" applyBorder="1" applyAlignment="1">
      <alignment horizontal="left" vertical="center" wrapText="1"/>
    </xf>
    <xf numFmtId="0" fontId="2" fillId="11" borderId="3" xfId="0" applyNumberFormat="1" applyFont="1" applyFill="1" applyBorder="1" applyAlignment="1" applyProtection="1">
      <alignment horizontal="left" vertical="center" wrapText="1"/>
      <protection locked="0"/>
    </xf>
    <xf numFmtId="0" fontId="2" fillId="11" borderId="5" xfId="0" applyNumberFormat="1" applyFont="1" applyFill="1" applyBorder="1" applyAlignment="1" applyProtection="1">
      <alignment horizontal="left" vertical="center" wrapText="1"/>
      <protection locked="0"/>
    </xf>
    <xf numFmtId="0" fontId="2" fillId="11" borderId="6" xfId="0" applyNumberFormat="1" applyFont="1" applyFill="1" applyBorder="1" applyAlignment="1" applyProtection="1">
      <alignment horizontal="left" vertical="center" wrapText="1"/>
      <protection locked="0"/>
    </xf>
    <xf numFmtId="0" fontId="2" fillId="11" borderId="4" xfId="0" applyNumberFormat="1" applyFont="1" applyFill="1" applyBorder="1" applyAlignment="1" applyProtection="1">
      <alignment horizontal="left" vertical="center" wrapText="1"/>
      <protection locked="0"/>
    </xf>
    <xf numFmtId="0" fontId="2" fillId="0" borderId="0" xfId="0" applyNumberFormat="1" applyFont="1" applyAlignment="1">
      <alignment horizontal="right" vertical="center" wrapText="1"/>
    </xf>
    <xf numFmtId="0" fontId="7" fillId="6" borderId="0" xfId="0" applyNumberFormat="1" applyFont="1" applyFill="1" applyAlignment="1">
      <alignment horizontal="center" vertical="center" wrapText="1"/>
    </xf>
    <xf numFmtId="0" fontId="2" fillId="5" borderId="3" xfId="0" applyNumberFormat="1" applyFont="1" applyFill="1" applyBorder="1" applyAlignment="1">
      <alignment horizontal="left" vertical="center" wrapText="1"/>
    </xf>
    <xf numFmtId="0" fontId="55" fillId="0" borderId="0" xfId="0" applyNumberFormat="1" applyFont="1" applyAlignment="1">
      <alignment horizontal="center" vertical="center" wrapText="1"/>
    </xf>
    <xf numFmtId="49" fontId="12" fillId="8" borderId="3" xfId="0" applyFont="1" applyFill="1" applyBorder="1" applyAlignment="1">
      <alignment horizontal="center" vertical="center" textRotation="90" wrapText="1"/>
    </xf>
    <xf numFmtId="0" fontId="18" fillId="0" borderId="6" xfId="0" applyNumberFormat="1" applyFont="1" applyBorder="1" applyAlignment="1">
      <alignment horizontal="left" vertical="center" wrapText="1" indent="1"/>
    </xf>
    <xf numFmtId="0" fontId="2" fillId="5" borderId="5" xfId="0" applyNumberFormat="1" applyFont="1" applyFill="1" applyBorder="1" applyAlignment="1">
      <alignment horizontal="left" vertical="center" wrapText="1" indent="1"/>
    </xf>
    <xf numFmtId="0" fontId="2" fillId="5" borderId="6" xfId="0" applyNumberFormat="1" applyFont="1" applyFill="1" applyBorder="1" applyAlignment="1">
      <alignment horizontal="left" vertical="center" wrapText="1" indent="1"/>
    </xf>
    <xf numFmtId="0" fontId="2" fillId="5" borderId="4" xfId="0" applyNumberFormat="1" applyFont="1" applyFill="1" applyBorder="1" applyAlignment="1">
      <alignment horizontal="left" vertical="center" wrapText="1" indent="1"/>
    </xf>
    <xf numFmtId="0" fontId="0" fillId="0" borderId="3" xfId="0" applyNumberFormat="1" applyBorder="1" applyAlignment="1">
      <alignment horizontal="left" vertical="center" wrapText="1"/>
    </xf>
    <xf numFmtId="0" fontId="0" fillId="0" borderId="3" xfId="0" applyNumberFormat="1" applyBorder="1" applyAlignment="1">
      <alignment horizontal="left" vertical="center" wrapText="1" indent="1"/>
    </xf>
    <xf numFmtId="0" fontId="2" fillId="5" borderId="5" xfId="0" applyNumberFormat="1" applyFont="1" applyFill="1" applyBorder="1" applyAlignment="1">
      <alignment horizontal="left" vertical="top" wrapText="1" indent="1"/>
    </xf>
    <xf numFmtId="0" fontId="2" fillId="5" borderId="4" xfId="0" applyNumberFormat="1" applyFont="1" applyFill="1" applyBorder="1" applyAlignment="1">
      <alignment horizontal="left" vertical="top" wrapText="1" indent="1"/>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2" fillId="0" borderId="5" xfId="0" applyNumberFormat="1" applyFont="1" applyBorder="1" applyAlignment="1">
      <alignment horizontal="right" vertical="center" wrapText="1"/>
    </xf>
    <xf numFmtId="0" fontId="2" fillId="0" borderId="6" xfId="0" applyNumberFormat="1" applyFont="1" applyBorder="1" applyAlignment="1">
      <alignment horizontal="right" vertical="center" wrapText="1"/>
    </xf>
    <xf numFmtId="49" fontId="2" fillId="0" borderId="0" xfId="0" applyFont="1" applyAlignment="1">
      <alignment vertical="center" wrapText="1"/>
    </xf>
    <xf numFmtId="0" fontId="8" fillId="0" borderId="15" xfId="0" applyNumberFormat="1" applyFont="1" applyBorder="1" applyAlignment="1">
      <alignment horizontal="center" vertical="center" wrapText="1"/>
    </xf>
    <xf numFmtId="0" fontId="11" fillId="6" borderId="15" xfId="0" applyNumberFormat="1" applyFont="1" applyFill="1" applyBorder="1" applyAlignment="1">
      <alignment horizontal="center" vertical="top" wrapText="1"/>
    </xf>
    <xf numFmtId="0" fontId="2" fillId="6" borderId="5" xfId="0" applyNumberFormat="1" applyFont="1" applyFill="1" applyBorder="1" applyAlignment="1">
      <alignment horizontal="center" vertical="center" wrapText="1"/>
    </xf>
    <xf numFmtId="0" fontId="2" fillId="6" borderId="6"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49" fontId="7" fillId="6" borderId="10" xfId="0" applyFont="1" applyFill="1" applyBorder="1" applyAlignment="1">
      <alignment horizontal="center" vertical="center" wrapText="1"/>
    </xf>
    <xf numFmtId="0" fontId="0" fillId="0" borderId="8" xfId="0" applyNumberFormat="1" applyBorder="1" applyAlignment="1">
      <alignment horizontal="left" vertical="center" wrapText="1"/>
    </xf>
    <xf numFmtId="0" fontId="2" fillId="7" borderId="5" xfId="0" applyNumberFormat="1" applyFont="1" applyFill="1" applyBorder="1" applyAlignment="1" applyProtection="1">
      <alignment horizontal="left" vertical="center" wrapText="1"/>
      <protection locked="0"/>
    </xf>
    <xf numFmtId="0" fontId="2" fillId="7" borderId="6" xfId="0" applyNumberFormat="1" applyFont="1" applyFill="1" applyBorder="1" applyAlignment="1" applyProtection="1">
      <alignment horizontal="left" vertical="center" wrapText="1"/>
      <protection locked="0"/>
    </xf>
    <xf numFmtId="0" fontId="2" fillId="7" borderId="4" xfId="0" applyNumberFormat="1" applyFont="1" applyFill="1" applyBorder="1" applyAlignment="1" applyProtection="1">
      <alignment horizontal="left" vertical="center" wrapText="1"/>
      <protection locked="0"/>
    </xf>
    <xf numFmtId="49" fontId="2" fillId="7" borderId="5" xfId="0" applyFont="1" applyFill="1" applyBorder="1" applyAlignment="1" applyProtection="1">
      <alignment horizontal="left" vertical="center" wrapText="1"/>
      <protection locked="0"/>
    </xf>
    <xf numFmtId="49" fontId="2" fillId="7" borderId="6" xfId="0" applyFont="1" applyFill="1" applyBorder="1" applyAlignment="1" applyProtection="1">
      <alignment horizontal="left" vertical="center" wrapText="1"/>
      <protection locked="0"/>
    </xf>
    <xf numFmtId="49" fontId="2" fillId="7" borderId="4" xfId="0" applyFont="1" applyFill="1" applyBorder="1" applyAlignment="1" applyProtection="1">
      <alignment horizontal="left" vertical="center" wrapText="1"/>
      <protection locked="0"/>
    </xf>
    <xf numFmtId="0" fontId="17" fillId="0" borderId="3" xfId="0" applyNumberFormat="1" applyFont="1" applyBorder="1" applyAlignment="1">
      <alignment horizontal="left" vertical="top" wrapText="1"/>
    </xf>
    <xf numFmtId="49" fontId="2" fillId="11" borderId="3" xfId="0" applyFont="1" applyFill="1" applyBorder="1" applyAlignment="1" applyProtection="1">
      <alignment horizontal="left" vertical="center" wrapText="1" indent="1"/>
      <protection locked="0"/>
    </xf>
    <xf numFmtId="4" fontId="2" fillId="10" borderId="3" xfId="0" applyNumberFormat="1" applyFont="1" applyFill="1" applyBorder="1" applyAlignment="1" applyProtection="1">
      <alignment horizontal="left" vertical="center" wrapText="1" indent="1"/>
      <protection locked="0"/>
    </xf>
    <xf numFmtId="49" fontId="2" fillId="7" borderId="8" xfId="0" applyFont="1" applyFill="1" applyBorder="1" applyAlignment="1" applyProtection="1">
      <alignment horizontal="left" vertical="center" wrapText="1" indent="6"/>
      <protection locked="0"/>
    </xf>
    <xf numFmtId="49" fontId="2" fillId="7" borderId="27" xfId="0" applyFont="1" applyFill="1" applyBorder="1" applyAlignment="1" applyProtection="1">
      <alignment horizontal="left" vertical="center" wrapText="1" indent="6"/>
      <protection locked="0"/>
    </xf>
    <xf numFmtId="49" fontId="2" fillId="7" borderId="14" xfId="0" applyFont="1" applyFill="1" applyBorder="1" applyAlignment="1" applyProtection="1">
      <alignment horizontal="left" vertical="center" wrapText="1" indent="6"/>
      <protection locked="0"/>
    </xf>
    <xf numFmtId="4" fontId="2" fillId="10" borderId="3" xfId="0" applyNumberFormat="1" applyFont="1" applyFill="1" applyBorder="1" applyAlignment="1" applyProtection="1">
      <alignment horizontal="center" vertical="center" wrapText="1"/>
      <protection locked="0"/>
    </xf>
    <xf numFmtId="49" fontId="2" fillId="11" borderId="11" xfId="0" applyFont="1" applyFill="1" applyBorder="1" applyAlignment="1">
      <alignment horizontal="center" vertical="center" wrapText="1"/>
    </xf>
    <xf numFmtId="49" fontId="2" fillId="11" borderId="21" xfId="0" applyFont="1" applyFill="1" applyBorder="1" applyAlignment="1">
      <alignment horizontal="center" vertical="center" wrapText="1"/>
    </xf>
    <xf numFmtId="0" fontId="20" fillId="0" borderId="10" xfId="0" applyNumberFormat="1" applyFont="1" applyBorder="1" applyAlignment="1">
      <alignment horizontal="left" vertical="center" wrapText="1"/>
    </xf>
    <xf numFmtId="49" fontId="65" fillId="17" borderId="0" xfId="0" applyFont="1" applyFill="1" applyAlignment="1">
      <alignment horizontal="center" vertical="center" textRotation="90" wrapText="1"/>
    </xf>
    <xf numFmtId="0" fontId="46" fillId="0" borderId="0" xfId="0" applyNumberFormat="1" applyFont="1" applyAlignment="1">
      <alignment horizontal="center" vertical="center" wrapText="1"/>
    </xf>
    <xf numFmtId="49" fontId="20" fillId="0" borderId="8" xfId="0" applyFont="1" applyBorder="1" applyAlignment="1">
      <alignment horizontal="center" vertical="center" wrapText="1"/>
    </xf>
    <xf numFmtId="49" fontId="20" fillId="0" borderId="27" xfId="0" applyFont="1" applyBorder="1" applyAlignment="1">
      <alignment horizontal="center" vertical="center" wrapText="1"/>
    </xf>
    <xf numFmtId="49" fontId="20" fillId="0" borderId="14" xfId="0" applyFont="1" applyBorder="1" applyAlignment="1">
      <alignment horizontal="center" vertical="center" wrapText="1"/>
    </xf>
    <xf numFmtId="0" fontId="17" fillId="0" borderId="0" xfId="0" applyNumberFormat="1" applyFont="1" applyAlignment="1">
      <alignment horizontal="left" vertical="top" wrapText="1"/>
    </xf>
    <xf numFmtId="0" fontId="20" fillId="0" borderId="6" xfId="0" applyNumberFormat="1" applyFont="1" applyBorder="1" applyAlignment="1">
      <alignment horizontal="right" vertical="center" wrapText="1" indent="1"/>
    </xf>
    <xf numFmtId="0" fontId="20" fillId="0" borderId="4" xfId="0" applyNumberFormat="1" applyFont="1" applyBorder="1" applyAlignment="1">
      <alignment horizontal="right" vertical="center" wrapText="1" indent="1"/>
    </xf>
    <xf numFmtId="0" fontId="2" fillId="5" borderId="5" xfId="0" applyNumberFormat="1" applyFont="1" applyFill="1" applyBorder="1" applyAlignment="1">
      <alignment horizontal="left" vertical="top" wrapText="1"/>
    </xf>
    <xf numFmtId="0" fontId="2" fillId="5" borderId="4" xfId="0" applyNumberFormat="1" applyFont="1" applyFill="1" applyBorder="1" applyAlignment="1">
      <alignment horizontal="left" vertical="top" wrapText="1"/>
    </xf>
    <xf numFmtId="49" fontId="2" fillId="26" borderId="0" xfId="0" applyFont="1" applyFill="1" applyAlignment="1">
      <alignment horizontal="center" vertical="center" textRotation="90" wrapText="1"/>
    </xf>
    <xf numFmtId="49" fontId="0" fillId="0" borderId="3" xfId="0" applyBorder="1" applyAlignment="1">
      <alignment horizontal="center" vertical="center" wrapText="1"/>
    </xf>
    <xf numFmtId="49" fontId="2" fillId="0" borderId="5" xfId="0" applyFont="1" applyBorder="1" applyAlignment="1">
      <alignment horizontal="center" vertical="center" wrapText="1"/>
    </xf>
    <xf numFmtId="0" fontId="2" fillId="0" borderId="0" xfId="0" applyNumberFormat="1" applyFont="1" applyAlignment="1">
      <alignment horizontal="left" vertical="center" wrapText="1"/>
    </xf>
    <xf numFmtId="0" fontId="2" fillId="6" borderId="11" xfId="0" applyNumberFormat="1" applyFont="1" applyFill="1" applyBorder="1" applyAlignment="1">
      <alignment horizontal="center" vertical="center" wrapText="1"/>
    </xf>
    <xf numFmtId="0" fontId="2" fillId="6" borderId="21" xfId="0" applyNumberFormat="1" applyFont="1" applyFill="1" applyBorder="1" applyAlignment="1">
      <alignment horizontal="center" vertical="center" wrapText="1"/>
    </xf>
    <xf numFmtId="0" fontId="2" fillId="0" borderId="53" xfId="0" applyNumberFormat="1" applyFont="1" applyBorder="1" applyAlignment="1">
      <alignment horizontal="center" vertical="center"/>
    </xf>
    <xf numFmtId="0" fontId="2" fillId="0" borderId="54" xfId="0" applyNumberFormat="1" applyFont="1" applyBorder="1" applyAlignment="1">
      <alignment horizontal="center" vertical="center"/>
    </xf>
    <xf numFmtId="0" fontId="2" fillId="0" borderId="60" xfId="0" applyNumberFormat="1" applyFont="1" applyBorder="1" applyAlignment="1">
      <alignment horizontal="center" vertical="center"/>
    </xf>
    <xf numFmtId="0" fontId="2" fillId="0" borderId="66" xfId="0" applyNumberFormat="1" applyFont="1" applyBorder="1" applyAlignment="1">
      <alignment horizontal="center" vertical="center"/>
    </xf>
    <xf numFmtId="0" fontId="2" fillId="0" borderId="34" xfId="0" applyNumberFormat="1" applyFont="1" applyBorder="1" applyAlignment="1">
      <alignment horizontal="center" vertical="center"/>
    </xf>
    <xf numFmtId="49" fontId="0" fillId="0" borderId="3" xfId="0" applyBorder="1" applyAlignment="1">
      <alignment vertical="center" wrapText="1"/>
    </xf>
    <xf numFmtId="49" fontId="0" fillId="0" borderId="3" xfId="0" applyBorder="1" applyAlignment="1">
      <alignment horizontal="left" vertical="center" wrapText="1"/>
    </xf>
    <xf numFmtId="49" fontId="0" fillId="0" borderId="8" xfId="0" applyBorder="1" applyAlignment="1">
      <alignment horizontal="center" vertical="center" wrapText="1"/>
    </xf>
    <xf numFmtId="49" fontId="0" fillId="0" borderId="27" xfId="0" applyBorder="1" applyAlignment="1">
      <alignment horizontal="center" vertical="center" wrapText="1"/>
    </xf>
    <xf numFmtId="49" fontId="0" fillId="0" borderId="14" xfId="0" applyBorder="1" applyAlignment="1">
      <alignment horizontal="center" vertical="center" wrapText="1"/>
    </xf>
    <xf numFmtId="0" fontId="0" fillId="5" borderId="3" xfId="0" applyNumberFormat="1" applyFill="1" applyBorder="1" applyAlignment="1">
      <alignment horizontal="center" vertical="center" wrapText="1"/>
    </xf>
    <xf numFmtId="49" fontId="0" fillId="0" borderId="3" xfId="0" applyBorder="1" applyAlignment="1">
      <alignment horizontal="center" vertical="center"/>
    </xf>
    <xf numFmtId="0" fontId="2" fillId="12" borderId="3" xfId="0" applyNumberFormat="1" applyFont="1" applyFill="1" applyBorder="1" applyAlignment="1">
      <alignment horizontal="center" vertical="center" wrapText="1"/>
    </xf>
    <xf numFmtId="0" fontId="2" fillId="12" borderId="5" xfId="0" applyNumberFormat="1" applyFont="1" applyFill="1" applyBorder="1" applyAlignment="1">
      <alignment horizontal="center" vertical="center" wrapText="1"/>
    </xf>
    <xf numFmtId="49" fontId="2" fillId="22" borderId="5" xfId="0" applyFont="1" applyFill="1" applyBorder="1" applyAlignment="1">
      <alignment horizontal="center" vertical="center" wrapText="1"/>
    </xf>
    <xf numFmtId="49" fontId="2" fillId="22" borderId="6" xfId="0" applyFont="1" applyFill="1" applyBorder="1" applyAlignment="1">
      <alignment horizontal="center" vertical="center" wrapText="1"/>
    </xf>
    <xf numFmtId="49" fontId="2" fillId="12" borderId="10" xfId="0" applyFont="1" applyFill="1" applyBorder="1" applyAlignment="1">
      <alignment horizontal="center" vertical="center" wrapText="1"/>
    </xf>
    <xf numFmtId="49" fontId="2" fillId="12" borderId="0" xfId="0" applyFont="1" applyFill="1" applyAlignment="1">
      <alignment horizontal="center" vertical="center" wrapText="1"/>
    </xf>
    <xf numFmtId="49" fontId="2" fillId="12" borderId="19" xfId="0"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0" fontId="2" fillId="20" borderId="5" xfId="0" applyNumberFormat="1" applyFont="1" applyFill="1" applyBorder="1" applyAlignment="1">
      <alignment horizontal="center" vertical="center" wrapText="1"/>
    </xf>
    <xf numFmtId="0" fontId="2" fillId="20" borderId="6" xfId="0" applyNumberFormat="1" applyFont="1" applyFill="1" applyBorder="1" applyAlignment="1">
      <alignment horizontal="center" vertical="center" wrapText="1"/>
    </xf>
    <xf numFmtId="0" fontId="2" fillId="20" borderId="4" xfId="0" applyNumberFormat="1" applyFont="1" applyFill="1" applyBorder="1" applyAlignment="1">
      <alignment horizontal="center" vertical="center" wrapText="1"/>
    </xf>
    <xf numFmtId="49" fontId="19" fillId="18" borderId="5" xfId="0" applyFont="1" applyFill="1" applyBorder="1" applyAlignment="1">
      <alignment horizontal="center" vertical="center" wrapText="1"/>
    </xf>
    <xf numFmtId="49" fontId="19" fillId="18" borderId="6" xfId="0" applyFont="1" applyFill="1" applyBorder="1" applyAlignment="1">
      <alignment horizontal="center" vertical="center" wrapText="1"/>
    </xf>
    <xf numFmtId="49" fontId="19" fillId="18" borderId="4" xfId="0" applyFont="1" applyFill="1" applyBorder="1" applyAlignment="1">
      <alignment horizontal="center" vertical="center" wrapText="1"/>
    </xf>
    <xf numFmtId="49" fontId="19" fillId="21" borderId="5" xfId="0" applyFont="1" applyFill="1" applyBorder="1" applyAlignment="1">
      <alignment horizontal="center" vertical="center" wrapText="1"/>
    </xf>
    <xf numFmtId="49" fontId="19" fillId="21" borderId="6" xfId="0" applyFont="1" applyFill="1" applyBorder="1" applyAlignment="1">
      <alignment horizontal="center" vertical="center" wrapText="1"/>
    </xf>
    <xf numFmtId="49" fontId="19" fillId="21" borderId="4" xfId="0" applyFont="1" applyFill="1" applyBorder="1" applyAlignment="1">
      <alignment horizontal="center" vertical="center" wrapText="1"/>
    </xf>
    <xf numFmtId="49" fontId="2" fillId="12" borderId="3" xfId="0" applyFont="1" applyFill="1" applyBorder="1" applyAlignment="1">
      <alignment horizontal="center" vertical="center" wrapText="1"/>
    </xf>
    <xf numFmtId="49" fontId="2" fillId="0" borderId="6" xfId="0" applyFont="1" applyBorder="1" applyAlignment="1">
      <alignment horizontal="center" vertical="center" wrapText="1"/>
    </xf>
    <xf numFmtId="49" fontId="2" fillId="0" borderId="0" xfId="0" applyFont="1" applyAlignment="1">
      <alignment horizontal="left" vertical="top" wrapText="1"/>
    </xf>
    <xf numFmtId="0" fontId="2" fillId="0" borderId="4" xfId="0" applyNumberFormat="1" applyFont="1" applyBorder="1" applyAlignment="1">
      <alignment horizontal="left" vertical="center" wrapText="1" indent="1"/>
    </xf>
    <xf numFmtId="0" fontId="2" fillId="0" borderId="5" xfId="0" applyNumberFormat="1" applyFont="1" applyBorder="1" applyAlignment="1">
      <alignment horizontal="left" vertical="center" wrapText="1" indent="1"/>
    </xf>
    <xf numFmtId="0" fontId="0" fillId="6" borderId="8" xfId="0" applyNumberFormat="1" applyFill="1" applyBorder="1" applyAlignment="1">
      <alignment horizontal="left" vertical="top" wrapText="1"/>
    </xf>
    <xf numFmtId="0" fontId="0" fillId="6" borderId="27" xfId="0" applyNumberFormat="1" applyFill="1" applyBorder="1" applyAlignment="1">
      <alignment horizontal="left" vertical="top" wrapText="1"/>
    </xf>
    <xf numFmtId="0" fontId="0" fillId="6" borderId="14" xfId="0" applyNumberFormat="1" applyFill="1" applyBorder="1" applyAlignment="1">
      <alignment horizontal="left" vertical="top" wrapText="1"/>
    </xf>
    <xf numFmtId="4" fontId="2" fillId="0" borderId="8" xfId="0" applyNumberFormat="1" applyFont="1" applyBorder="1" applyAlignment="1">
      <alignment horizontal="center" vertical="center" wrapText="1"/>
    </xf>
    <xf numFmtId="4" fontId="2" fillId="0" borderId="14" xfId="0" applyNumberFormat="1" applyFont="1" applyBorder="1" applyAlignment="1">
      <alignment horizontal="center" vertical="center" wrapText="1"/>
    </xf>
    <xf numFmtId="49" fontId="2" fillId="0" borderId="11" xfId="0" applyFont="1" applyBorder="1" applyAlignment="1">
      <alignment horizontal="left" vertical="top" wrapText="1"/>
    </xf>
    <xf numFmtId="49" fontId="2" fillId="0" borderId="21" xfId="0" applyFont="1" applyBorder="1" applyAlignment="1">
      <alignment horizontal="left" vertical="top" wrapText="1"/>
    </xf>
    <xf numFmtId="4" fontId="2" fillId="0" borderId="27" xfId="0" applyNumberFormat="1" applyFont="1" applyBorder="1" applyAlignment="1">
      <alignment horizontal="center" vertical="center" wrapText="1"/>
    </xf>
    <xf numFmtId="168" fontId="2" fillId="0" borderId="8" xfId="0" applyNumberFormat="1" applyFont="1" applyBorder="1" applyAlignment="1">
      <alignment horizontal="center" vertical="center" wrapText="1"/>
    </xf>
    <xf numFmtId="168" fontId="2" fillId="0" borderId="14" xfId="0" applyNumberFormat="1" applyFont="1" applyBorder="1" applyAlignment="1">
      <alignment horizontal="center" vertical="center" wrapText="1"/>
    </xf>
    <xf numFmtId="168" fontId="2" fillId="0" borderId="5" xfId="0" applyNumberFormat="1" applyFont="1" applyBorder="1" applyAlignment="1">
      <alignment horizontal="center" vertical="center" wrapText="1"/>
    </xf>
    <xf numFmtId="168" fontId="2" fillId="0" borderId="6" xfId="0" applyNumberFormat="1" applyFont="1" applyBorder="1" applyAlignment="1">
      <alignment horizontal="center" vertical="center" wrapText="1"/>
    </xf>
    <xf numFmtId="168" fontId="2" fillId="0" borderId="4" xfId="0" applyNumberFormat="1" applyFont="1" applyBorder="1" applyAlignment="1">
      <alignment horizontal="center" vertical="center" wrapText="1"/>
    </xf>
    <xf numFmtId="14" fontId="2" fillId="11" borderId="3" xfId="0" applyNumberFormat="1" applyFont="1" applyFill="1" applyBorder="1" applyAlignment="1">
      <alignment horizontal="left" vertical="center" wrapText="1"/>
    </xf>
    <xf numFmtId="49" fontId="2" fillId="11" borderId="5" xfId="0" applyFont="1" applyFill="1" applyBorder="1" applyAlignment="1">
      <alignment horizontal="left" vertical="center" wrapText="1"/>
    </xf>
    <xf numFmtId="0" fontId="2" fillId="5" borderId="14" xfId="0" applyNumberFormat="1" applyFont="1" applyFill="1" applyBorder="1" applyAlignment="1">
      <alignment horizontal="left" vertical="center" wrapText="1"/>
    </xf>
    <xf numFmtId="14" fontId="2" fillId="11" borderId="14" xfId="0" applyNumberFormat="1" applyFont="1" applyFill="1" applyBorder="1" applyAlignment="1">
      <alignment horizontal="left" vertical="center" wrapText="1"/>
    </xf>
    <xf numFmtId="168" fontId="2" fillId="0" borderId="3" xfId="0" applyNumberFormat="1" applyFont="1" applyBorder="1" applyAlignment="1">
      <alignment horizontal="center" vertical="center" wrapText="1"/>
    </xf>
    <xf numFmtId="168" fontId="17" fillId="0" borderId="48" xfId="0" applyNumberFormat="1" applyFont="1" applyBorder="1" applyAlignment="1">
      <alignment horizontal="center" vertical="center" wrapText="1"/>
    </xf>
    <xf numFmtId="168" fontId="17" fillId="0" borderId="42" xfId="0" applyNumberFormat="1" applyFont="1" applyBorder="1" applyAlignment="1">
      <alignment horizontal="center" vertical="center" wrapText="1"/>
    </xf>
    <xf numFmtId="168" fontId="17" fillId="0" borderId="67" xfId="0" applyNumberFormat="1" applyFont="1" applyBorder="1" applyAlignment="1">
      <alignment horizontal="center" vertical="center" wrapText="1"/>
    </xf>
    <xf numFmtId="49" fontId="2" fillId="11" borderId="18" xfId="0" applyFont="1" applyFill="1" applyBorder="1" applyAlignment="1">
      <alignment horizontal="left" vertical="center" wrapText="1"/>
    </xf>
    <xf numFmtId="49" fontId="0" fillId="0" borderId="6" xfId="0" applyBorder="1" applyAlignment="1">
      <alignment horizontal="left" vertical="center" indent="1"/>
    </xf>
    <xf numFmtId="49" fontId="0" fillId="0" borderId="3" xfId="0" applyBorder="1" applyAlignment="1">
      <alignment horizontal="center" vertical="top"/>
    </xf>
    <xf numFmtId="49" fontId="0" fillId="0" borderId="5" xfId="0" applyBorder="1" applyAlignment="1">
      <alignment horizontal="center"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2" name="cmdCreatePrintedForm" descr="Создание печатной формы" hidden="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3" name="UPDATE_PLAN1X_DATA" descr="update_org.png" hidden="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4" name="PHONE_PIC" descr="update_org.png" hidden="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2" name="ExcludeHelp_2" descr="Справка по листу" hidden="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a:extLst>
            <a:ext uri="{FF2B5EF4-FFF2-40B4-BE49-F238E27FC236}">
              <a16:creationId xmlns:a16="http://schemas.microsoft.com/office/drawing/2014/main" id="{00000000-0008-0000-1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a:extLst>
            <a:ext uri="{FF2B5EF4-FFF2-40B4-BE49-F238E27FC236}">
              <a16:creationId xmlns:a16="http://schemas.microsoft.com/office/drawing/2014/main" id="{00000000-0008-0000-1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2" name="UNFREEZE_PANES" descr="update_org.png" hidden="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teplovoda21@mail.ru"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5FC23-F995-8846-0B25-DC3BB7D1409F}">
  <dimension ref="A1:AB21"/>
  <sheetViews>
    <sheetView showGridLines="0" showRowColHeaders="0" workbookViewId="0"/>
  </sheetViews>
  <sheetFormatPr defaultColWidth="11" defaultRowHeight="12.75" customHeight="1"/>
  <cols>
    <col min="1" max="1" width="5.42578125" style="26" customWidth="1"/>
    <col min="2" max="2" width="9.140625" style="26" customWidth="1"/>
    <col min="3" max="3" width="16.42578125" style="26" customWidth="1"/>
    <col min="4" max="25" width="6.28515625" style="26" customWidth="1"/>
    <col min="26" max="28" width="11" style="26"/>
  </cols>
  <sheetData>
    <row r="1" spans="1:28" ht="15.75" customHeight="1">
      <c r="A1" s="946"/>
      <c r="B1" s="947"/>
      <c r="C1" s="947"/>
      <c r="D1" s="947"/>
      <c r="E1" s="947"/>
      <c r="F1" s="947"/>
      <c r="G1" s="947"/>
      <c r="H1" s="947"/>
      <c r="I1" s="947"/>
      <c r="J1" s="947"/>
      <c r="K1" s="947"/>
      <c r="L1" s="947"/>
      <c r="M1" s="947"/>
      <c r="N1" s="947"/>
      <c r="O1" s="947"/>
      <c r="P1" s="947"/>
      <c r="Q1" s="947"/>
      <c r="R1" s="947"/>
      <c r="S1" s="947"/>
      <c r="T1" s="947"/>
      <c r="U1" s="947"/>
      <c r="V1" s="947"/>
      <c r="W1" s="947"/>
      <c r="X1" s="947"/>
      <c r="Y1" s="948"/>
      <c r="Z1" s="947"/>
      <c r="AA1" s="949" t="s">
        <v>0</v>
      </c>
      <c r="AB1" s="947"/>
    </row>
    <row r="2" spans="1:28" ht="17.25" customHeight="1">
      <c r="A2" s="947"/>
      <c r="B2" s="1056" t="s">
        <v>1</v>
      </c>
      <c r="C2" s="1056"/>
      <c r="D2" s="1056"/>
      <c r="E2" s="1056"/>
      <c r="F2" s="1056"/>
      <c r="G2" s="1056"/>
      <c r="H2" s="1056"/>
      <c r="I2" s="1056"/>
      <c r="J2" s="1056"/>
      <c r="K2" s="1056"/>
      <c r="L2" s="1056"/>
      <c r="M2" s="1056"/>
      <c r="N2" s="1056"/>
      <c r="O2" s="1056"/>
      <c r="P2" s="1056"/>
      <c r="Q2" s="950"/>
      <c r="R2" s="950"/>
      <c r="S2" s="950"/>
      <c r="T2" s="950"/>
      <c r="U2" s="950"/>
      <c r="V2" s="951"/>
      <c r="W2" s="950"/>
      <c r="X2" s="950"/>
      <c r="Y2" s="948"/>
      <c r="Z2" s="947"/>
      <c r="AA2" s="949"/>
      <c r="AB2" s="947"/>
    </row>
    <row r="3" spans="1:28" ht="15.75" customHeight="1">
      <c r="A3" s="947"/>
      <c r="B3" s="1057" t="s">
        <v>2</v>
      </c>
      <c r="C3" s="1057"/>
      <c r="D3" s="1057"/>
      <c r="E3" s="1057"/>
      <c r="F3" s="1057"/>
      <c r="G3" s="1057"/>
      <c r="H3" s="1057"/>
      <c r="I3" s="1057"/>
      <c r="J3" s="1057"/>
      <c r="K3" s="1057"/>
      <c r="L3" s="1057"/>
      <c r="M3" s="1057"/>
      <c r="N3" s="1057"/>
      <c r="O3" s="1057"/>
      <c r="P3" s="1057"/>
      <c r="Q3" s="951"/>
      <c r="R3" s="951"/>
      <c r="S3" s="950"/>
      <c r="T3" s="950"/>
      <c r="U3" s="950"/>
      <c r="V3" s="951"/>
      <c r="W3" s="951"/>
      <c r="X3" s="951"/>
      <c r="Y3" s="951"/>
      <c r="Z3" s="947"/>
      <c r="AA3" s="949"/>
      <c r="AB3" s="947"/>
    </row>
    <row r="4" spans="1:28" ht="17.25" customHeight="1">
      <c r="A4" s="947"/>
      <c r="B4" s="952"/>
      <c r="C4" s="947"/>
      <c r="D4" s="951"/>
      <c r="E4" s="951"/>
      <c r="F4" s="951"/>
      <c r="G4" s="951"/>
      <c r="H4" s="951"/>
      <c r="I4" s="951"/>
      <c r="J4" s="951"/>
      <c r="K4" s="951"/>
      <c r="L4" s="951"/>
      <c r="M4" s="951"/>
      <c r="N4" s="951"/>
      <c r="O4" s="951"/>
      <c r="P4" s="951"/>
      <c r="Q4" s="951"/>
      <c r="R4" s="951"/>
      <c r="S4" s="951"/>
      <c r="T4" s="951"/>
      <c r="U4" s="951"/>
      <c r="V4" s="951"/>
      <c r="W4" s="951"/>
      <c r="X4" s="951"/>
      <c r="Y4" s="951"/>
      <c r="Z4" s="947"/>
      <c r="AA4" s="949"/>
      <c r="AB4" s="947"/>
    </row>
    <row r="5" spans="1:28" ht="22.5" customHeight="1">
      <c r="A5" s="953"/>
      <c r="B5" s="1058"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1059"/>
      <c r="D5" s="1059"/>
      <c r="E5" s="1059"/>
      <c r="F5" s="1059"/>
      <c r="G5" s="1059"/>
      <c r="H5" s="1059"/>
      <c r="I5" s="1059"/>
      <c r="J5" s="1059"/>
      <c r="K5" s="1059"/>
      <c r="L5" s="1059"/>
      <c r="M5" s="1059"/>
      <c r="N5" s="1059"/>
      <c r="O5" s="1059"/>
      <c r="P5" s="1059"/>
      <c r="Q5" s="1059"/>
      <c r="R5" s="1059"/>
      <c r="S5" s="1059"/>
      <c r="T5" s="1059"/>
      <c r="U5" s="1059"/>
      <c r="V5" s="1059"/>
      <c r="W5" s="1059"/>
      <c r="X5" s="1059"/>
      <c r="Y5" s="1060"/>
      <c r="Z5" s="953"/>
      <c r="AA5" s="949"/>
      <c r="AB5" s="953"/>
    </row>
    <row r="6" spans="1:28" ht="15" customHeight="1">
      <c r="A6" s="954"/>
      <c r="B6" s="1048" t="s">
        <v>3</v>
      </c>
      <c r="C6" s="1051"/>
      <c r="D6" s="955"/>
      <c r="E6" s="955"/>
      <c r="F6" s="955"/>
      <c r="G6" s="955"/>
      <c r="H6" s="955"/>
      <c r="I6" s="955"/>
      <c r="J6" s="955"/>
      <c r="K6" s="955"/>
      <c r="L6" s="955"/>
      <c r="M6" s="955"/>
      <c r="N6" s="955"/>
      <c r="O6" s="955"/>
      <c r="P6" s="955"/>
      <c r="Q6" s="955"/>
      <c r="R6" s="955"/>
      <c r="S6" s="955"/>
      <c r="T6" s="955"/>
      <c r="U6" s="955"/>
      <c r="V6" s="955"/>
      <c r="W6" s="955"/>
      <c r="X6" s="955"/>
      <c r="Y6" s="956"/>
      <c r="Z6" s="957"/>
      <c r="AA6" s="958"/>
      <c r="AB6" s="958"/>
    </row>
    <row r="7" spans="1:28" ht="15" customHeight="1">
      <c r="A7" s="954"/>
      <c r="B7" s="1048"/>
      <c r="C7" s="1051"/>
      <c r="D7" s="955"/>
      <c r="E7" s="955"/>
      <c r="F7" s="959"/>
      <c r="G7" s="959"/>
      <c r="H7" s="959"/>
      <c r="I7" s="959"/>
      <c r="J7" s="959"/>
      <c r="K7" s="959"/>
      <c r="L7" s="959"/>
      <c r="M7" s="959"/>
      <c r="N7" s="959"/>
      <c r="O7" s="955"/>
      <c r="P7" s="959"/>
      <c r="Q7" s="959"/>
      <c r="R7" s="959"/>
      <c r="S7" s="959"/>
      <c r="T7" s="959"/>
      <c r="U7" s="959"/>
      <c r="V7" s="959"/>
      <c r="W7" s="959"/>
      <c r="X7" s="959"/>
      <c r="Y7" s="956"/>
      <c r="Z7" s="957"/>
      <c r="AA7" s="958"/>
      <c r="AB7" s="958"/>
    </row>
    <row r="8" spans="1:28" ht="15" customHeight="1">
      <c r="A8" s="954"/>
      <c r="B8" s="1048"/>
      <c r="C8" s="1051"/>
      <c r="D8" s="960"/>
      <c r="E8" s="961" t="s">
        <v>4</v>
      </c>
      <c r="F8" s="1061" t="s">
        <v>5</v>
      </c>
      <c r="G8" s="1050"/>
      <c r="H8" s="1050"/>
      <c r="I8" s="1050"/>
      <c r="J8" s="1050"/>
      <c r="K8" s="1050"/>
      <c r="L8" s="1050"/>
      <c r="M8" s="1050"/>
      <c r="N8" s="960"/>
      <c r="O8" s="962" t="s">
        <v>4</v>
      </c>
      <c r="P8" s="1062" t="s">
        <v>6</v>
      </c>
      <c r="Q8" s="1063"/>
      <c r="R8" s="1063"/>
      <c r="S8" s="1063"/>
      <c r="T8" s="1063"/>
      <c r="U8" s="1063"/>
      <c r="V8" s="1063"/>
      <c r="W8" s="1063"/>
      <c r="X8" s="1063"/>
      <c r="Y8" s="956"/>
      <c r="Z8" s="957"/>
      <c r="AA8" s="958"/>
      <c r="AB8" s="958"/>
    </row>
    <row r="9" spans="1:28" ht="15" customHeight="1">
      <c r="A9" s="954"/>
      <c r="B9" s="1048"/>
      <c r="C9" s="1051"/>
      <c r="D9" s="960"/>
      <c r="E9" s="963" t="s">
        <v>4</v>
      </c>
      <c r="F9" s="1061" t="s">
        <v>7</v>
      </c>
      <c r="G9" s="1050"/>
      <c r="H9" s="1050"/>
      <c r="I9" s="1050"/>
      <c r="J9" s="1050"/>
      <c r="K9" s="1050"/>
      <c r="L9" s="1050"/>
      <c r="M9" s="1050"/>
      <c r="N9" s="960"/>
      <c r="O9" s="964" t="s">
        <v>4</v>
      </c>
      <c r="P9" s="1062" t="s">
        <v>8</v>
      </c>
      <c r="Q9" s="1063"/>
      <c r="R9" s="1063"/>
      <c r="S9" s="1063"/>
      <c r="T9" s="1063"/>
      <c r="U9" s="1063"/>
      <c r="V9" s="1063"/>
      <c r="W9" s="1063"/>
      <c r="X9" s="1063"/>
      <c r="Y9" s="956"/>
      <c r="Z9" s="957"/>
      <c r="AA9" s="958"/>
      <c r="AB9" s="958"/>
    </row>
    <row r="10" spans="1:28" ht="30" customHeight="1">
      <c r="A10" s="954"/>
      <c r="B10" s="1048"/>
      <c r="C10" s="1049"/>
      <c r="D10" s="965"/>
      <c r="E10" s="966"/>
      <c r="F10" s="959"/>
      <c r="G10" s="959"/>
      <c r="H10" s="959"/>
      <c r="I10" s="959"/>
      <c r="J10" s="959"/>
      <c r="K10" s="959"/>
      <c r="L10" s="959"/>
      <c r="M10" s="959"/>
      <c r="N10" s="959"/>
      <c r="O10" s="966"/>
      <c r="P10" s="959"/>
      <c r="Q10" s="959"/>
      <c r="R10" s="959"/>
      <c r="S10" s="959"/>
      <c r="T10" s="959"/>
      <c r="U10" s="959"/>
      <c r="V10" s="959"/>
      <c r="W10" s="959"/>
      <c r="X10" s="959"/>
      <c r="Y10" s="956"/>
      <c r="Z10" s="957"/>
      <c r="AA10" s="958"/>
      <c r="AB10" s="958"/>
    </row>
    <row r="11" spans="1:28" ht="19.5" customHeight="1">
      <c r="A11" s="954"/>
      <c r="B11" s="1046" t="s">
        <v>9</v>
      </c>
      <c r="C11" s="1047"/>
      <c r="D11" s="960"/>
      <c r="E11" s="967"/>
      <c r="F11" s="967"/>
      <c r="G11" s="967"/>
      <c r="H11" s="967"/>
      <c r="I11" s="967"/>
      <c r="J11" s="967"/>
      <c r="K11" s="967"/>
      <c r="L11" s="967"/>
      <c r="M11" s="967"/>
      <c r="N11" s="967"/>
      <c r="O11" s="967"/>
      <c r="P11" s="967"/>
      <c r="Q11" s="967"/>
      <c r="R11" s="967"/>
      <c r="S11" s="967"/>
      <c r="T11" s="967"/>
      <c r="U11" s="967"/>
      <c r="V11" s="967"/>
      <c r="W11" s="967"/>
      <c r="X11" s="967"/>
      <c r="Y11" s="956"/>
      <c r="Z11" s="957"/>
      <c r="AA11" s="958"/>
      <c r="AB11" s="958"/>
    </row>
    <row r="12" spans="1:28" ht="69" customHeight="1">
      <c r="A12" s="954"/>
      <c r="B12" s="1048"/>
      <c r="C12" s="1049"/>
      <c r="D12" s="968"/>
      <c r="E12" s="1050" t="s">
        <v>10</v>
      </c>
      <c r="F12" s="1050"/>
      <c r="G12" s="1050"/>
      <c r="H12" s="1050"/>
      <c r="I12" s="1050"/>
      <c r="J12" s="1050"/>
      <c r="K12" s="1050"/>
      <c r="L12" s="1050"/>
      <c r="M12" s="1050"/>
      <c r="N12" s="1050"/>
      <c r="O12" s="1050"/>
      <c r="P12" s="1050"/>
      <c r="Q12" s="1050"/>
      <c r="R12" s="1050"/>
      <c r="S12" s="1050"/>
      <c r="T12" s="1050"/>
      <c r="U12" s="1050"/>
      <c r="V12" s="1050"/>
      <c r="W12" s="1050"/>
      <c r="X12" s="1050"/>
      <c r="Y12" s="956"/>
      <c r="Z12" s="957"/>
      <c r="AA12" s="958"/>
      <c r="AB12" s="958"/>
    </row>
    <row r="13" spans="1:28" ht="15" customHeight="1">
      <c r="A13" s="954"/>
      <c r="B13" s="1046" t="s">
        <v>11</v>
      </c>
      <c r="C13" s="1047"/>
      <c r="D13" s="955"/>
      <c r="E13" s="967"/>
      <c r="F13" s="967"/>
      <c r="G13" s="967"/>
      <c r="H13" s="967"/>
      <c r="I13" s="967"/>
      <c r="J13" s="967"/>
      <c r="K13" s="967"/>
      <c r="L13" s="967"/>
      <c r="M13" s="967"/>
      <c r="N13" s="967"/>
      <c r="O13" s="967"/>
      <c r="P13" s="967"/>
      <c r="Q13" s="967"/>
      <c r="R13" s="967"/>
      <c r="S13" s="967"/>
      <c r="T13" s="967"/>
      <c r="U13" s="967"/>
      <c r="V13" s="967"/>
      <c r="W13" s="967"/>
      <c r="X13" s="967"/>
      <c r="Y13" s="956"/>
      <c r="Z13" s="957"/>
      <c r="AA13" s="958"/>
      <c r="AB13" s="958"/>
    </row>
    <row r="14" spans="1:28" ht="57" customHeight="1">
      <c r="A14" s="954"/>
      <c r="B14" s="1048"/>
      <c r="C14" s="1051"/>
      <c r="D14" s="960"/>
      <c r="E14" s="1054" t="s">
        <v>12</v>
      </c>
      <c r="F14" s="1054"/>
      <c r="G14" s="1054"/>
      <c r="H14" s="1054"/>
      <c r="I14" s="1054"/>
      <c r="J14" s="1054"/>
      <c r="K14" s="1054"/>
      <c r="L14" s="1054"/>
      <c r="M14" s="1054"/>
      <c r="N14" s="1054"/>
      <c r="O14" s="1054"/>
      <c r="P14" s="1054"/>
      <c r="Q14" s="1054"/>
      <c r="R14" s="1054"/>
      <c r="S14" s="1054"/>
      <c r="T14" s="1054"/>
      <c r="U14" s="1054"/>
      <c r="V14" s="1054"/>
      <c r="W14" s="1054"/>
      <c r="X14" s="1054"/>
      <c r="Y14" s="956"/>
      <c r="Z14" s="957"/>
      <c r="AA14" s="958"/>
      <c r="AB14" s="958"/>
    </row>
    <row r="15" spans="1:28" ht="16.5" customHeight="1">
      <c r="A15" s="954"/>
      <c r="B15" s="1052"/>
      <c r="C15" s="1053"/>
      <c r="D15" s="969"/>
      <c r="E15" s="970"/>
      <c r="F15" s="970"/>
      <c r="G15" s="970"/>
      <c r="H15" s="970"/>
      <c r="I15" s="970"/>
      <c r="J15" s="970"/>
      <c r="K15" s="970"/>
      <c r="L15" s="970"/>
      <c r="M15" s="970"/>
      <c r="N15" s="970"/>
      <c r="O15" s="970"/>
      <c r="P15" s="970"/>
      <c r="Q15" s="970"/>
      <c r="R15" s="970"/>
      <c r="S15" s="970"/>
      <c r="T15" s="970"/>
      <c r="U15" s="970"/>
      <c r="V15" s="970"/>
      <c r="W15" s="970"/>
      <c r="X15" s="970"/>
      <c r="Y15" s="971"/>
      <c r="Z15" s="957"/>
      <c r="AA15" s="972"/>
      <c r="AB15" s="958"/>
    </row>
    <row r="16" spans="1:28" ht="95.25" customHeight="1">
      <c r="A16" s="947"/>
      <c r="B16" s="1054"/>
      <c r="C16" s="1055"/>
      <c r="D16" s="1055"/>
      <c r="E16" s="1055"/>
      <c r="F16" s="1055"/>
      <c r="G16" s="1055"/>
      <c r="H16" s="1055"/>
      <c r="I16" s="1055"/>
      <c r="J16" s="1055"/>
      <c r="K16" s="1055"/>
      <c r="L16" s="1055"/>
      <c r="M16" s="1055"/>
      <c r="N16" s="1055"/>
      <c r="O16" s="1055"/>
      <c r="P16" s="1055"/>
      <c r="Q16" s="1055"/>
      <c r="R16" s="1055"/>
      <c r="S16" s="1055"/>
      <c r="T16" s="1055"/>
      <c r="U16" s="1055"/>
      <c r="V16" s="1055"/>
      <c r="W16" s="1055"/>
      <c r="X16" s="1055"/>
      <c r="Y16" s="1055"/>
      <c r="Z16" s="947"/>
      <c r="AA16" s="949"/>
      <c r="AB16" s="947"/>
    </row>
    <row r="17" spans="1:28" ht="14.25" customHeight="1">
      <c r="A17" s="947"/>
      <c r="B17" s="947"/>
      <c r="C17" s="947"/>
      <c r="D17" s="947"/>
      <c r="E17" s="947"/>
      <c r="F17" s="947"/>
      <c r="G17" s="947"/>
      <c r="H17" s="947"/>
      <c r="I17" s="947"/>
      <c r="J17" s="947"/>
      <c r="K17" s="947"/>
      <c r="L17" s="947"/>
      <c r="M17" s="947"/>
      <c r="N17" s="947"/>
      <c r="O17" s="947"/>
      <c r="P17" s="947"/>
      <c r="Q17" s="947"/>
      <c r="R17" s="947"/>
      <c r="S17" s="947"/>
      <c r="T17" s="947"/>
      <c r="U17" s="947"/>
      <c r="V17" s="947"/>
      <c r="W17" s="947"/>
      <c r="X17" s="947"/>
      <c r="Y17" s="948"/>
      <c r="Z17" s="947"/>
      <c r="AA17" s="949"/>
      <c r="AB17" s="947"/>
    </row>
    <row r="18" spans="1:28" ht="14.25" customHeight="1">
      <c r="A18" s="947"/>
      <c r="B18" s="947"/>
      <c r="C18" s="947"/>
      <c r="D18" s="947"/>
      <c r="E18" s="947"/>
      <c r="F18" s="947"/>
      <c r="G18" s="947"/>
      <c r="H18" s="947"/>
      <c r="I18" s="947"/>
      <c r="J18" s="947"/>
      <c r="K18" s="947"/>
      <c r="L18" s="947"/>
      <c r="M18" s="947"/>
      <c r="N18" s="947"/>
      <c r="O18" s="947"/>
      <c r="P18" s="947"/>
      <c r="Q18" s="947"/>
      <c r="R18" s="947"/>
      <c r="S18" s="947"/>
      <c r="T18" s="947"/>
      <c r="U18" s="947"/>
      <c r="V18" s="947"/>
      <c r="W18" s="947"/>
      <c r="X18" s="947"/>
      <c r="Y18" s="948"/>
      <c r="Z18" s="947"/>
      <c r="AA18" s="949"/>
      <c r="AB18" s="947"/>
    </row>
    <row r="19" spans="1:28" ht="14.25" customHeight="1">
      <c r="A19" s="947"/>
      <c r="B19" s="947"/>
      <c r="C19" s="947"/>
      <c r="D19" s="947"/>
      <c r="E19" s="947"/>
      <c r="F19" s="947"/>
      <c r="G19" s="947"/>
      <c r="H19" s="947"/>
      <c r="I19" s="947"/>
      <c r="J19" s="947"/>
      <c r="K19" s="947"/>
      <c r="L19" s="947"/>
      <c r="M19" s="947"/>
      <c r="N19" s="947"/>
      <c r="O19" s="947"/>
      <c r="P19" s="947"/>
      <c r="Q19" s="947"/>
      <c r="R19" s="947"/>
      <c r="S19" s="947"/>
      <c r="T19" s="947"/>
      <c r="U19" s="947"/>
      <c r="V19" s="947"/>
      <c r="W19" s="947"/>
      <c r="X19" s="947"/>
      <c r="Y19" s="948"/>
      <c r="Z19" s="947"/>
      <c r="AA19" s="949"/>
      <c r="AB19" s="947"/>
    </row>
    <row r="20" spans="1:28" ht="14.25" customHeight="1">
      <c r="A20" s="947"/>
      <c r="B20" s="947"/>
      <c r="C20" s="947"/>
      <c r="D20" s="947"/>
      <c r="E20" s="947"/>
      <c r="F20" s="947"/>
      <c r="G20" s="947"/>
      <c r="H20" s="947"/>
      <c r="I20" s="947"/>
      <c r="J20" s="947"/>
      <c r="K20" s="947"/>
      <c r="L20" s="947"/>
      <c r="M20" s="947"/>
      <c r="N20" s="947"/>
      <c r="O20" s="947"/>
      <c r="P20" s="947"/>
      <c r="Q20" s="947"/>
      <c r="R20" s="947"/>
      <c r="S20" s="947"/>
      <c r="T20" s="947"/>
      <c r="U20" s="947"/>
      <c r="V20" s="947"/>
      <c r="W20" s="947"/>
      <c r="X20" s="947"/>
      <c r="Y20" s="948"/>
      <c r="Z20" s="947"/>
      <c r="AA20" s="949"/>
      <c r="AB20" s="947"/>
    </row>
    <row r="21" spans="1:28" ht="14.25" customHeight="1">
      <c r="A21" s="947"/>
      <c r="B21" s="947"/>
      <c r="C21" s="947"/>
      <c r="D21" s="947"/>
      <c r="E21" s="947"/>
      <c r="F21" s="947"/>
      <c r="G21" s="947"/>
      <c r="H21" s="947"/>
      <c r="I21" s="947"/>
      <c r="J21" s="947"/>
      <c r="K21" s="947"/>
      <c r="L21" s="947"/>
      <c r="M21" s="947"/>
      <c r="N21" s="947"/>
      <c r="O21" s="947"/>
      <c r="P21" s="947"/>
      <c r="Q21" s="947"/>
      <c r="R21" s="947"/>
      <c r="S21" s="947"/>
      <c r="T21" s="947"/>
      <c r="U21" s="947"/>
      <c r="V21" s="947"/>
      <c r="W21" s="947"/>
      <c r="X21" s="947"/>
      <c r="Y21" s="948"/>
      <c r="Z21" s="947"/>
      <c r="AA21" s="949"/>
      <c r="AB21" s="947"/>
    </row>
  </sheetData>
  <sheetProtection formatColumns="0" formatRows="0" insertRows="0" deleteColumns="0" deleteRows="0" sort="0" autoFilter="0"/>
  <mergeCells count="13">
    <mergeCell ref="B2:P2"/>
    <mergeCell ref="B3:P3"/>
    <mergeCell ref="B5:Y5"/>
    <mergeCell ref="B6:C10"/>
    <mergeCell ref="F8:M8"/>
    <mergeCell ref="P8:X8"/>
    <mergeCell ref="F9:M9"/>
    <mergeCell ref="P9:X9"/>
    <mergeCell ref="B11:C12"/>
    <mergeCell ref="E12:X12"/>
    <mergeCell ref="B13:C15"/>
    <mergeCell ref="E14:X14"/>
    <mergeCell ref="B16:Y16"/>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F46369-4363-AAEF-8158-D7FF155793AE}">
  <sheetPr>
    <tabColor rgb="FFCCCCFF"/>
  </sheetPr>
  <dimension ref="A1:P78"/>
  <sheetViews>
    <sheetView showGridLines="0" topLeftCell="C1" zoomScale="90" workbookViewId="0">
      <selection activeCell="F72" sqref="F72"/>
    </sheetView>
  </sheetViews>
  <sheetFormatPr defaultColWidth="9.140625" defaultRowHeight="11.25" customHeight="1"/>
  <cols>
    <col min="1" max="1" width="10.7109375" style="464" hidden="1" customWidth="1"/>
    <col min="2" max="2" width="10.7109375" style="29" hidden="1" customWidth="1"/>
    <col min="3" max="3" width="3.7109375" style="7" customWidth="1"/>
    <col min="4" max="4" width="1.7109375" style="9" customWidth="1"/>
    <col min="5" max="5" width="55.28515625" style="9" customWidth="1"/>
    <col min="6" max="6" width="50.7109375" style="9" customWidth="1"/>
    <col min="7" max="7" width="1.7109375" style="56" customWidth="1"/>
    <col min="8" max="8" width="18" style="9" hidden="1" customWidth="1"/>
    <col min="9" max="9" width="9.5703125" style="218" customWidth="1"/>
    <col min="10" max="10" width="52.140625" style="60" hidden="1" customWidth="1"/>
    <col min="11" max="11" width="9.140625" style="9"/>
    <col min="12" max="12" width="78" style="9" customWidth="1"/>
    <col min="13" max="16" width="9.140625" style="9"/>
  </cols>
  <sheetData>
    <row r="1" spans="1:11" s="139" customFormat="1" ht="3" customHeight="1">
      <c r="A1" s="464"/>
      <c r="B1" s="138"/>
      <c r="F1" s="139">
        <v>26354809</v>
      </c>
      <c r="G1" s="218"/>
      <c r="H1" s="6"/>
      <c r="I1" s="218"/>
      <c r="J1" s="65"/>
    </row>
    <row r="2" spans="1:11" s="6" customFormat="1" ht="14.25" customHeight="1">
      <c r="A2" s="464"/>
      <c r="B2" s="29"/>
      <c r="E2" s="985" t="str">
        <f>code</f>
        <v>Код отчёта: PP108.OPEN.INFO.QUARTER.COLDVSNA.EIAS</v>
      </c>
      <c r="F2" s="156"/>
      <c r="G2" s="32"/>
      <c r="H2" s="32"/>
      <c r="I2" s="32"/>
      <c r="J2" s="522"/>
      <c r="K2" s="32"/>
    </row>
    <row r="3" spans="1:11" ht="14.25" customHeight="1">
      <c r="E3" s="141" t="str">
        <f>version</f>
        <v>Версия отчёта: 1.0.2</v>
      </c>
      <c r="F3" s="156"/>
      <c r="G3"/>
      <c r="H3"/>
      <c r="I3"/>
      <c r="J3" s="59"/>
      <c r="K3"/>
    </row>
    <row r="4" spans="1:11" s="133" customFormat="1" ht="6" customHeight="1">
      <c r="A4" s="464"/>
      <c r="B4" s="129"/>
      <c r="C4" s="130"/>
      <c r="D4" s="131"/>
      <c r="F4" s="140"/>
      <c r="G4" s="56"/>
      <c r="H4" s="9"/>
      <c r="I4" s="218"/>
      <c r="J4" s="413"/>
    </row>
    <row r="5" spans="1:11" ht="37.5" customHeight="1">
      <c r="D5" s="10"/>
      <c r="E5" s="1064"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1065"/>
      <c r="G5" s="456"/>
      <c r="J5" s="523"/>
    </row>
    <row r="6" spans="1:11" s="133" customFormat="1" ht="6" customHeight="1">
      <c r="A6" s="464"/>
      <c r="B6" s="129"/>
      <c r="C6" s="130"/>
      <c r="D6" s="131"/>
      <c r="E6" s="134"/>
      <c r="F6" s="135"/>
      <c r="G6" s="456"/>
      <c r="H6" s="9"/>
      <c r="I6" s="218"/>
      <c r="J6" s="413"/>
    </row>
    <row r="7" spans="1:11" ht="19.5" customHeight="1">
      <c r="D7" s="10"/>
      <c r="E7" s="234" t="s">
        <v>13</v>
      </c>
      <c r="F7" s="115" t="s">
        <v>14</v>
      </c>
      <c r="G7" s="456"/>
    </row>
    <row r="8" spans="1:11" s="133" customFormat="1" ht="6" customHeight="1">
      <c r="A8" s="465"/>
      <c r="B8" s="129"/>
      <c r="C8" s="130"/>
      <c r="D8" s="136"/>
      <c r="E8" s="134"/>
      <c r="F8" s="137"/>
      <c r="G8" s="12"/>
      <c r="H8" s="9"/>
      <c r="I8" s="218"/>
      <c r="J8" s="524"/>
    </row>
    <row r="9" spans="1:11" s="9" customFormat="1" ht="19.5" hidden="1" customHeight="1">
      <c r="A9" s="464"/>
      <c r="B9" s="29"/>
      <c r="C9" s="7"/>
      <c r="D9" s="10"/>
      <c r="E9" s="234" t="s">
        <v>15</v>
      </c>
      <c r="F9" s="208"/>
      <c r="G9" s="456"/>
      <c r="I9" s="218"/>
      <c r="J9" s="60"/>
    </row>
    <row r="10" spans="1:11" s="133" customFormat="1" ht="6" customHeight="1">
      <c r="A10" s="465"/>
      <c r="B10" s="129"/>
      <c r="C10" s="130"/>
      <c r="D10" s="136"/>
      <c r="E10" s="134"/>
      <c r="F10" s="137"/>
      <c r="G10" s="12"/>
      <c r="H10" s="9"/>
      <c r="I10" s="218"/>
      <c r="J10" s="524"/>
    </row>
    <row r="11" spans="1:11" ht="22.5" hidden="1" customHeight="1">
      <c r="A11" s="1067" t="s">
        <v>16</v>
      </c>
      <c r="D11" s="10"/>
      <c r="E11" s="234" t="s">
        <v>17</v>
      </c>
      <c r="F11" s="977" t="s">
        <v>18</v>
      </c>
      <c r="G11" s="12"/>
      <c r="H11" s="457" t="s">
        <v>19</v>
      </c>
      <c r="J11" s="60" t="s">
        <v>20</v>
      </c>
    </row>
    <row r="12" spans="1:11" ht="22.5" hidden="1" customHeight="1">
      <c r="A12" s="1067"/>
      <c r="D12" s="10"/>
      <c r="E12" s="234" t="s">
        <v>21</v>
      </c>
      <c r="F12" s="977"/>
      <c r="G12" s="8"/>
      <c r="J12" s="60" t="s">
        <v>22</v>
      </c>
    </row>
    <row r="13" spans="1:11" s="9" customFormat="1" ht="22.5" hidden="1" customHeight="1">
      <c r="A13" s="467" t="s">
        <v>23</v>
      </c>
      <c r="B13" s="29"/>
      <c r="C13" s="7"/>
      <c r="D13" s="10"/>
      <c r="E13" s="1013" t="s">
        <v>24</v>
      </c>
      <c r="F13" s="977" t="s">
        <v>18</v>
      </c>
      <c r="G13" s="12"/>
      <c r="H13"/>
      <c r="I13" s="218"/>
      <c r="J13" s="522" t="s">
        <v>25</v>
      </c>
    </row>
    <row r="14" spans="1:11" s="9" customFormat="1" ht="27" customHeight="1">
      <c r="A14" s="467" t="s">
        <v>26</v>
      </c>
      <c r="B14" s="29"/>
      <c r="C14" s="7"/>
      <c r="D14" s="10"/>
      <c r="E14" s="234" t="s">
        <v>27</v>
      </c>
      <c r="F14" s="103">
        <v>2023</v>
      </c>
      <c r="G14" s="12"/>
      <c r="H14"/>
      <c r="I14" s="218"/>
      <c r="J14" s="60" t="s">
        <v>28</v>
      </c>
    </row>
    <row r="15" spans="1:11" s="9" customFormat="1" ht="19.5" customHeight="1">
      <c r="A15" s="467" t="s">
        <v>29</v>
      </c>
      <c r="B15" s="29"/>
      <c r="C15" s="7"/>
      <c r="D15" s="10"/>
      <c r="E15" s="234" t="s">
        <v>30</v>
      </c>
      <c r="F15" s="103" t="s">
        <v>31</v>
      </c>
      <c r="G15" s="12"/>
      <c r="H15"/>
      <c r="I15" s="218"/>
      <c r="J15" s="60" t="s">
        <v>32</v>
      </c>
    </row>
    <row r="16" spans="1:11" s="133" customFormat="1" ht="6" customHeight="1">
      <c r="A16" s="465"/>
      <c r="B16" s="129"/>
      <c r="C16" s="130"/>
      <c r="D16" s="136"/>
      <c r="E16" s="134"/>
      <c r="F16" s="137"/>
      <c r="G16" s="12"/>
      <c r="H16" s="9"/>
      <c r="I16" s="218"/>
      <c r="J16" s="413"/>
    </row>
    <row r="17" spans="1:10" ht="19.5" customHeight="1">
      <c r="D17" s="10"/>
      <c r="E17" s="234" t="s">
        <v>33</v>
      </c>
      <c r="F17" s="116" t="s">
        <v>34</v>
      </c>
      <c r="G17" s="8"/>
      <c r="H17" s="457" t="s">
        <v>19</v>
      </c>
    </row>
    <row r="18" spans="1:10" ht="22.5" hidden="1" customHeight="1">
      <c r="D18" s="10"/>
      <c r="E18" s="1013" t="s">
        <v>35</v>
      </c>
      <c r="F18" s="978" t="s">
        <v>36</v>
      </c>
      <c r="G18" s="8"/>
      <c r="I18" s="458"/>
      <c r="J18" s="1066" t="s">
        <v>37</v>
      </c>
    </row>
    <row r="19" spans="1:10" ht="22.5" hidden="1" customHeight="1">
      <c r="D19" s="10"/>
      <c r="E19" s="1013" t="s">
        <v>38</v>
      </c>
      <c r="F19" s="978"/>
      <c r="G19" s="8"/>
      <c r="I19" s="458"/>
      <c r="J19" s="1066"/>
    </row>
    <row r="20" spans="1:10" ht="22.5" hidden="1" customHeight="1">
      <c r="D20" s="10"/>
      <c r="E20" s="11"/>
      <c r="F20" s="56" t="str">
        <f>"Первичное "&amp;IF(TEMPLATE_GROUP="P","установление тарифов","предложение по тарифам")</f>
        <v>Первичное предложение по тарифам</v>
      </c>
      <c r="G20" s="8"/>
      <c r="I20" s="12"/>
      <c r="J20" s="523" t="s">
        <v>39</v>
      </c>
    </row>
    <row r="21" spans="1:10" ht="19.5" hidden="1" customHeight="1">
      <c r="D21" s="10"/>
      <c r="E21" s="234" t="str">
        <f>"Дата "&amp;IF(TEMPLATE_GROUP="P","документа","подачи заявления")&amp;" об "&amp;IF(TITLE_DATE_PR_CHANGE="","утверждении","изменении")&amp;" тарифов"</f>
        <v>Дата подачи заявления об утверждении тарифов</v>
      </c>
      <c r="F21" s="977" t="s">
        <v>18</v>
      </c>
      <c r="G21" s="8"/>
      <c r="I21" s="459"/>
    </row>
    <row r="22" spans="1:10" ht="19.5" hidden="1" customHeight="1">
      <c r="D22" s="10"/>
      <c r="E22" s="234" t="str">
        <f>"Номер "&amp;IF(TEMPLATE_GROUP="P","документа","подачи заявления")&amp;" об "&amp;IF(TITLE_NUMBER_PR_CHANGE="","утверждении","изменении")&amp;" тарифов"</f>
        <v>Номер подачи заявления об утверждении тарифов</v>
      </c>
      <c r="F22" s="116"/>
      <c r="G22" s="8"/>
      <c r="I22" s="459"/>
    </row>
    <row r="23" spans="1:10" ht="22.5" hidden="1" customHeight="1">
      <c r="D23" s="10"/>
      <c r="E23" s="234" t="s">
        <v>40</v>
      </c>
      <c r="F23" s="116"/>
      <c r="G23" s="8"/>
    </row>
    <row r="24" spans="1:10" ht="19.5" hidden="1" customHeight="1">
      <c r="D24" s="10"/>
      <c r="E24" s="234" t="s">
        <v>41</v>
      </c>
      <c r="F24" s="116"/>
      <c r="G24" s="8"/>
    </row>
    <row r="25" spans="1:10" ht="22.5" hidden="1" customHeight="1">
      <c r="D25" s="10"/>
      <c r="E25" s="11"/>
      <c r="F25" s="56" t="str">
        <f>"Изменение "&amp;IF(TEMPLATE_GROUP="P","тарифов","предложения по тарифам")</f>
        <v>Изменение предложения по тарифам</v>
      </c>
      <c r="G25" s="8"/>
      <c r="J25" s="523" t="s">
        <v>42</v>
      </c>
    </row>
    <row r="26" spans="1:10" ht="22.5" hidden="1" customHeight="1">
      <c r="D26" s="10"/>
      <c r="E26" s="234" t="s">
        <v>43</v>
      </c>
      <c r="F26" s="118"/>
      <c r="G26" s="8"/>
    </row>
    <row r="27" spans="1:10" ht="19.5" hidden="1" customHeight="1">
      <c r="D27" s="10"/>
      <c r="E27" s="234" t="s">
        <v>44</v>
      </c>
      <c r="F27" s="978"/>
      <c r="G27" s="8"/>
    </row>
    <row r="28" spans="1:10" ht="19.5" hidden="1" customHeight="1">
      <c r="D28" s="10"/>
      <c r="E28" s="234" t="s">
        <v>45</v>
      </c>
      <c r="F28" s="118"/>
      <c r="G28" s="8"/>
    </row>
    <row r="29" spans="1:10" ht="19.5" hidden="1" customHeight="1">
      <c r="D29" s="10"/>
      <c r="E29" s="234" t="s">
        <v>41</v>
      </c>
      <c r="F29" s="118"/>
      <c r="G29" s="8"/>
    </row>
    <row r="30" spans="1:10" s="133" customFormat="1" ht="6" customHeight="1">
      <c r="A30" s="465"/>
      <c r="B30" s="129"/>
      <c r="C30" s="130"/>
      <c r="D30" s="136"/>
      <c r="E30" s="134"/>
      <c r="F30" s="137"/>
      <c r="G30" s="12"/>
      <c r="H30" s="9"/>
      <c r="I30" s="218"/>
      <c r="J30" s="413"/>
    </row>
    <row r="31" spans="1:10" ht="19.5" customHeight="1">
      <c r="C31" s="13"/>
      <c r="D31" s="14"/>
      <c r="E31" s="234" t="s">
        <v>46</v>
      </c>
      <c r="F31" s="117" t="s">
        <v>47</v>
      </c>
      <c r="G31" s="460"/>
    </row>
    <row r="32" spans="1:10" ht="19.5" hidden="1" customHeight="1">
      <c r="C32" s="13"/>
      <c r="D32" s="14"/>
      <c r="E32" s="235" t="s">
        <v>48</v>
      </c>
      <c r="F32" s="1008"/>
      <c r="G32" s="460"/>
    </row>
    <row r="33" spans="1:10" ht="19.5" customHeight="1">
      <c r="C33" s="13"/>
      <c r="D33" s="14"/>
      <c r="E33" s="234" t="s">
        <v>49</v>
      </c>
      <c r="F33" s="117" t="s">
        <v>50</v>
      </c>
      <c r="G33" s="460"/>
    </row>
    <row r="34" spans="1:10" ht="19.5" customHeight="1">
      <c r="C34" s="13"/>
      <c r="D34" s="14"/>
      <c r="E34" s="234" t="s">
        <v>51</v>
      </c>
      <c r="F34" s="117" t="s">
        <v>52</v>
      </c>
      <c r="G34" s="460"/>
      <c r="H34" s="15"/>
    </row>
    <row r="35" spans="1:10" s="133" customFormat="1" ht="11.25" customHeight="1">
      <c r="A35" s="465"/>
      <c r="B35" s="129"/>
      <c r="C35" s="130"/>
      <c r="D35" s="136"/>
      <c r="E35" s="134"/>
      <c r="F35" s="137"/>
      <c r="G35" s="12"/>
      <c r="H35" s="9"/>
      <c r="I35" s="218"/>
      <c r="J35" s="413"/>
    </row>
    <row r="36" spans="1:10" ht="19.5" hidden="1" customHeight="1">
      <c r="A36" s="525"/>
      <c r="D36" s="14"/>
      <c r="E36" s="234" t="s">
        <v>53</v>
      </c>
      <c r="F36" s="208"/>
      <c r="G36" s="12"/>
    </row>
    <row r="37" spans="1:10" ht="19.5" customHeight="1">
      <c r="A37" s="525"/>
      <c r="D37" s="14"/>
      <c r="E37" s="234" t="s">
        <v>54</v>
      </c>
      <c r="F37" s="208" t="s">
        <v>55</v>
      </c>
      <c r="G37" s="12"/>
    </row>
    <row r="38" spans="1:10" s="133" customFormat="1" ht="6" customHeight="1">
      <c r="A38" s="465"/>
      <c r="B38" s="129"/>
      <c r="C38" s="130"/>
      <c r="D38" s="131"/>
      <c r="E38" s="132"/>
      <c r="F38" s="639"/>
      <c r="G38" s="8"/>
      <c r="H38" s="9"/>
      <c r="I38" s="218"/>
      <c r="J38" s="60"/>
    </row>
    <row r="39" spans="1:10" ht="22.5" customHeight="1">
      <c r="A39" s="465"/>
      <c r="D39" s="10"/>
      <c r="E39" s="234" t="s">
        <v>56</v>
      </c>
      <c r="F39" s="417" t="s">
        <v>57</v>
      </c>
      <c r="G39" s="8"/>
      <c r="H39" s="457" t="s">
        <v>19</v>
      </c>
    </row>
    <row r="40" spans="1:10" s="133" customFormat="1" ht="6" hidden="1" customHeight="1">
      <c r="A40" s="464"/>
      <c r="B40" s="129"/>
      <c r="C40" s="130"/>
      <c r="D40" s="131"/>
      <c r="E40" s="132"/>
      <c r="F40" s="639"/>
      <c r="G40" s="8"/>
      <c r="H40" s="9"/>
      <c r="I40" s="218"/>
      <c r="J40" s="60"/>
    </row>
    <row r="41" spans="1:10" s="9" customFormat="1" ht="19.5" hidden="1" customHeight="1">
      <c r="A41" s="467" t="s">
        <v>23</v>
      </c>
      <c r="B41" s="29"/>
      <c r="C41" s="7"/>
      <c r="D41" s="10"/>
      <c r="E41" s="234"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417" t="s">
        <v>57</v>
      </c>
      <c r="G41" s="8"/>
      <c r="I41" s="218"/>
      <c r="J41" s="60"/>
    </row>
    <row r="42" spans="1:10" s="133" customFormat="1" ht="6" hidden="1" customHeight="1">
      <c r="A42" s="464"/>
      <c r="B42" s="129"/>
      <c r="C42" s="130"/>
      <c r="D42" s="131"/>
      <c r="E42" s="132"/>
      <c r="F42" s="639"/>
      <c r="G42" s="8"/>
      <c r="H42" s="9"/>
      <c r="I42" s="218"/>
      <c r="J42" s="413"/>
    </row>
    <row r="43" spans="1:10" s="9" customFormat="1" ht="22.5" hidden="1" customHeight="1">
      <c r="A43" s="464"/>
      <c r="B43" s="29"/>
      <c r="C43" s="7"/>
      <c r="D43" s="10"/>
      <c r="E43" s="234" t="s">
        <v>58</v>
      </c>
      <c r="F43" s="417" t="s">
        <v>59</v>
      </c>
      <c r="G43" s="8"/>
      <c r="I43" s="218"/>
      <c r="J43" s="60"/>
    </row>
    <row r="44" spans="1:10" s="9" customFormat="1" ht="22.5" hidden="1" customHeight="1">
      <c r="A44" s="464"/>
      <c r="B44" s="29"/>
      <c r="C44" s="7"/>
      <c r="D44" s="10"/>
      <c r="E44" s="234" t="s">
        <v>60</v>
      </c>
      <c r="F44" s="444"/>
      <c r="G44" s="8"/>
      <c r="I44" s="218"/>
      <c r="J44" s="60"/>
    </row>
    <row r="45" spans="1:10" s="133" customFormat="1" ht="6" hidden="1" customHeight="1">
      <c r="A45" s="464"/>
      <c r="B45" s="129"/>
      <c r="C45" s="130"/>
      <c r="D45" s="131"/>
      <c r="E45" s="132"/>
      <c r="F45" s="639"/>
      <c r="G45" s="8"/>
      <c r="H45" s="9"/>
      <c r="I45" s="218"/>
      <c r="J45" s="60"/>
    </row>
    <row r="46" spans="1:10" s="133" customFormat="1" ht="22.5" hidden="1" customHeight="1">
      <c r="A46" s="464"/>
      <c r="B46" s="129"/>
      <c r="C46" s="130"/>
      <c r="D46" s="131"/>
      <c r="E46" s="234" t="s">
        <v>61</v>
      </c>
      <c r="F46" s="417" t="s">
        <v>57</v>
      </c>
      <c r="G46" s="8"/>
      <c r="H46" s="9"/>
      <c r="I46" s="218"/>
      <c r="J46" s="60"/>
    </row>
    <row r="47" spans="1:10" s="9" customFormat="1" ht="22.5" hidden="1" customHeight="1">
      <c r="A47" s="464"/>
      <c r="B47" s="29"/>
      <c r="C47" s="7"/>
      <c r="D47" s="10"/>
      <c r="E47" s="234" t="s">
        <v>62</v>
      </c>
      <c r="F47" s="417" t="s">
        <v>57</v>
      </c>
      <c r="G47" s="8"/>
      <c r="I47" s="218"/>
      <c r="J47" s="60"/>
    </row>
    <row r="48" spans="1:10" s="133" customFormat="1" ht="6" hidden="1" customHeight="1">
      <c r="A48" s="464"/>
      <c r="B48" s="129"/>
      <c r="C48" s="130"/>
      <c r="D48" s="131"/>
      <c r="E48" s="132"/>
      <c r="F48" s="639"/>
      <c r="G48" s="8"/>
      <c r="H48" s="9"/>
      <c r="I48" s="218"/>
      <c r="J48" s="60"/>
    </row>
    <row r="49" spans="1:16" ht="19.5" hidden="1" customHeight="1">
      <c r="D49" s="10"/>
      <c r="E49" s="23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417"/>
      <c r="G49" s="8"/>
    </row>
    <row r="50" spans="1:16" s="133" customFormat="1" ht="6" hidden="1" customHeight="1">
      <c r="A50" s="465"/>
      <c r="B50" s="129"/>
      <c r="C50" s="130"/>
      <c r="D50" s="136"/>
      <c r="E50" s="134"/>
      <c r="F50" s="137"/>
      <c r="G50" s="12"/>
      <c r="H50" s="9"/>
      <c r="I50" s="218"/>
      <c r="J50" s="60"/>
    </row>
    <row r="51" spans="1:16" s="9" customFormat="1" ht="22.5" hidden="1" customHeight="1">
      <c r="A51" s="466"/>
      <c r="B51" s="29"/>
      <c r="C51" s="7"/>
      <c r="D51" s="218"/>
      <c r="E51" s="234" t="s">
        <v>63</v>
      </c>
      <c r="F51" s="417" t="s">
        <v>57</v>
      </c>
      <c r="G51" s="56"/>
      <c r="I51" s="312"/>
      <c r="J51" s="60"/>
      <c r="P51" s="313"/>
    </row>
    <row r="52" spans="1:16" s="133" customFormat="1" ht="6" hidden="1" customHeight="1">
      <c r="A52" s="465"/>
      <c r="B52" s="129"/>
      <c r="C52" s="130"/>
      <c r="D52" s="136"/>
      <c r="E52" s="134"/>
      <c r="F52" s="137"/>
      <c r="G52" s="12"/>
      <c r="H52" s="9"/>
      <c r="I52" s="218"/>
      <c r="J52" s="413"/>
    </row>
    <row r="53" spans="1:16" s="9" customFormat="1" ht="22.5" hidden="1" customHeight="1">
      <c r="A53" s="466"/>
      <c r="B53" s="29"/>
      <c r="C53" s="7"/>
      <c r="D53" s="218"/>
      <c r="E53" s="234" t="s">
        <v>64</v>
      </c>
      <c r="F53" s="638" t="s">
        <v>57</v>
      </c>
      <c r="G53" s="56"/>
      <c r="I53" s="312"/>
      <c r="J53" s="60"/>
      <c r="P53" s="313"/>
    </row>
    <row r="54" spans="1:16" s="9" customFormat="1" ht="22.5" hidden="1" customHeight="1">
      <c r="A54" s="466"/>
      <c r="B54" s="29"/>
      <c r="C54" s="7"/>
      <c r="D54" s="218"/>
      <c r="E54" s="234" t="s">
        <v>65</v>
      </c>
      <c r="F54" s="1012"/>
      <c r="G54" s="56"/>
      <c r="I54" s="312"/>
      <c r="J54" s="60"/>
      <c r="P54" s="313"/>
    </row>
    <row r="55" spans="1:16" s="133" customFormat="1" ht="6" hidden="1" customHeight="1">
      <c r="A55" s="465"/>
      <c r="B55" s="129"/>
      <c r="C55" s="130"/>
      <c r="D55" s="136"/>
      <c r="E55" s="134"/>
      <c r="F55" s="137"/>
      <c r="G55" s="12"/>
      <c r="H55" s="9"/>
      <c r="I55" s="218"/>
      <c r="J55" s="413"/>
    </row>
    <row r="56" spans="1:16" s="9" customFormat="1" ht="22.5" hidden="1" customHeight="1">
      <c r="A56" s="466"/>
      <c r="B56" s="29"/>
      <c r="C56" s="7"/>
      <c r="D56" s="218"/>
      <c r="E56" s="234" t="s">
        <v>66</v>
      </c>
      <c r="F56" s="638" t="s">
        <v>57</v>
      </c>
      <c r="G56" s="56"/>
      <c r="I56" s="312"/>
      <c r="J56" s="60"/>
      <c r="P56" s="313"/>
    </row>
    <row r="57" spans="1:16" s="133" customFormat="1" ht="6" hidden="1" customHeight="1">
      <c r="A57" s="465"/>
      <c r="B57" s="129"/>
      <c r="C57" s="130"/>
      <c r="D57" s="136"/>
      <c r="E57" s="134"/>
      <c r="F57" s="137"/>
      <c r="G57" s="12"/>
      <c r="H57" s="9"/>
      <c r="I57" s="218"/>
      <c r="J57" s="413"/>
    </row>
    <row r="58" spans="1:16" s="9" customFormat="1" ht="15" hidden="1" customHeight="1">
      <c r="A58" s="466"/>
      <c r="B58" s="29"/>
      <c r="C58" s="7"/>
      <c r="D58" s="218"/>
      <c r="E58" s="234" t="s">
        <v>67</v>
      </c>
      <c r="F58" s="638" t="s">
        <v>59</v>
      </c>
      <c r="G58" s="56"/>
      <c r="I58" s="312"/>
      <c r="J58" s="60"/>
      <c r="P58" s="313"/>
    </row>
    <row r="59" spans="1:16" s="9" customFormat="1" ht="15" hidden="1" customHeight="1">
      <c r="A59" s="466"/>
      <c r="B59" s="29"/>
      <c r="C59" s="7"/>
      <c r="D59" s="218"/>
      <c r="E59" s="23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638"/>
      <c r="G59" s="56"/>
      <c r="I59" s="312"/>
      <c r="J59" s="60"/>
      <c r="P59" s="313"/>
    </row>
    <row r="60" spans="1:16" s="9" customFormat="1" ht="15" hidden="1" customHeight="1">
      <c r="A60" s="466"/>
      <c r="B60" s="29"/>
      <c r="C60" s="7"/>
      <c r="D60" s="218"/>
      <c r="E60" s="234" t="s">
        <v>68</v>
      </c>
      <c r="F60" s="208"/>
      <c r="G60" s="56"/>
      <c r="I60" s="312"/>
      <c r="J60" s="60"/>
      <c r="P60" s="313"/>
    </row>
    <row r="61" spans="1:16" s="133" customFormat="1" ht="6" hidden="1" customHeight="1">
      <c r="A61" s="465"/>
      <c r="B61" s="129"/>
      <c r="C61" s="130"/>
      <c r="D61" s="131"/>
      <c r="E61" s="132"/>
      <c r="F61" s="639"/>
      <c r="G61" s="8"/>
      <c r="H61" s="9"/>
      <c r="I61" s="218"/>
      <c r="J61" s="60"/>
    </row>
    <row r="62" spans="1:16" s="9" customFormat="1" ht="33.75" hidden="1" customHeight="1">
      <c r="A62" s="465"/>
      <c r="B62" s="29"/>
      <c r="C62" s="7"/>
      <c r="D62" s="10"/>
      <c r="E62" s="234" t="s">
        <v>69</v>
      </c>
      <c r="F62" s="417" t="s">
        <v>59</v>
      </c>
      <c r="G62" s="8"/>
      <c r="H62" s="457" t="s">
        <v>19</v>
      </c>
      <c r="I62" s="218"/>
      <c r="J62" s="60"/>
    </row>
    <row r="63" spans="1:16" s="133" customFormat="1" ht="6" customHeight="1">
      <c r="A63" s="465"/>
      <c r="B63" s="129"/>
      <c r="C63" s="130"/>
      <c r="D63" s="136"/>
      <c r="E63" s="134"/>
      <c r="F63" s="137"/>
      <c r="G63" s="12"/>
      <c r="H63" s="9"/>
      <c r="I63" s="218"/>
      <c r="J63" s="413"/>
    </row>
    <row r="64" spans="1:16" ht="19.5" customHeight="1">
      <c r="B64" s="30"/>
      <c r="D64" s="17"/>
      <c r="E64" s="234" t="s">
        <v>70</v>
      </c>
      <c r="F64" s="116" t="s">
        <v>71</v>
      </c>
      <c r="G64" s="12"/>
    </row>
    <row r="65" spans="2:9" ht="19.5" customHeight="1">
      <c r="B65" s="30"/>
      <c r="D65" s="17"/>
      <c r="E65" s="234" t="s">
        <v>72</v>
      </c>
      <c r="F65" s="116" t="s">
        <v>73</v>
      </c>
      <c r="G65" s="12"/>
    </row>
    <row r="66" spans="2:9" ht="35.25" customHeight="1">
      <c r="D66" s="10"/>
      <c r="E66" s="236" t="s">
        <v>74</v>
      </c>
      <c r="F66" s="77"/>
      <c r="G66" s="8"/>
    </row>
    <row r="67" spans="2:9" ht="19.5" customHeight="1">
      <c r="D67" s="10"/>
      <c r="E67" s="234" t="s">
        <v>75</v>
      </c>
      <c r="F67" s="116" t="s">
        <v>76</v>
      </c>
      <c r="G67" s="12"/>
    </row>
    <row r="68" spans="2:9" ht="19.5" customHeight="1">
      <c r="B68" s="30"/>
      <c r="D68" s="17"/>
      <c r="E68" s="234" t="s">
        <v>77</v>
      </c>
      <c r="F68" s="116" t="s">
        <v>78</v>
      </c>
      <c r="G68" s="12"/>
    </row>
    <row r="69" spans="2:9" ht="19.5" customHeight="1">
      <c r="B69" s="30"/>
      <c r="D69" s="17"/>
      <c r="E69" s="234" t="s">
        <v>79</v>
      </c>
      <c r="F69" s="116" t="s">
        <v>80</v>
      </c>
      <c r="G69" s="12"/>
    </row>
    <row r="70" spans="2:9" ht="19.5" customHeight="1">
      <c r="D70" s="10"/>
      <c r="E70" s="234" t="s">
        <v>81</v>
      </c>
      <c r="F70" s="1045" t="s">
        <v>82</v>
      </c>
      <c r="G70" s="8"/>
    </row>
    <row r="71" spans="2:9" ht="20.25" customHeight="1">
      <c r="D71" s="8"/>
      <c r="F71" s="52"/>
      <c r="G71" s="12"/>
    </row>
    <row r="72" spans="2:9" ht="19.5" customHeight="1">
      <c r="B72" s="30"/>
      <c r="D72" s="17"/>
      <c r="E72" s="16"/>
      <c r="F72" s="53"/>
      <c r="G72" s="12"/>
    </row>
    <row r="73" spans="2:9" ht="19.5" customHeight="1">
      <c r="B73" s="30"/>
      <c r="D73" s="17"/>
      <c r="E73" s="16"/>
      <c r="F73" s="53"/>
      <c r="G73" s="12"/>
    </row>
    <row r="74" spans="2:9" ht="19.5" customHeight="1">
      <c r="B74" s="30"/>
      <c r="D74" s="17"/>
      <c r="E74" s="19"/>
      <c r="F74" s="53"/>
      <c r="G74" s="12"/>
    </row>
    <row r="75" spans="2:9" ht="19.5" customHeight="1">
      <c r="B75" s="30"/>
      <c r="D75" s="17"/>
      <c r="E75" s="16"/>
      <c r="F75" s="53"/>
      <c r="G75" s="12"/>
    </row>
    <row r="78" spans="2:9" ht="11.25" customHeight="1">
      <c r="E78" s="233"/>
      <c r="F78" s="233"/>
      <c r="G78" s="233"/>
      <c r="H78" s="233"/>
      <c r="I78" s="233"/>
    </row>
  </sheetData>
  <sheetProtection formatColumns="0" formatRows="0" insertRows="0" deleteColumns="0" deleteRows="0" sort="0" autoFilter="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xr:uid="{00000000-0002-0000-0100-000000000000}">
      <formula1>ROIV_INFO_LIST</formula1>
    </dataValidation>
    <dataValidation type="list" allowBlank="1" showInputMessage="1" showErrorMessage="1" errorTitle="Ошибка" error="Выберите значение из списка" prompt="Выберите значение из списка" sqref="F60" xr:uid="{00000000-0002-0000-0100-00000100000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xr:uid="{00000000-0002-0000-0100-000002000000}"/>
    <dataValidation type="list" allowBlank="1" showInputMessage="1" showErrorMessage="1" errorTitle="Ошибка" error="Выберите значение из списка" prompt="Выберите значение из списка" sqref="F15" xr:uid="{00000000-0002-0000-0100-000003000000}">
      <formula1>QUARTER</formula1>
    </dataValidation>
    <dataValidation type="list" allowBlank="1" showInputMessage="1" showErrorMessage="1" errorTitle="Ошибка" error="Выберите значение из списка" prompt="Выберите значение из списка" sqref="F14" xr:uid="{00000000-0002-0000-0100-000004000000}">
      <formula1>year_list</formula1>
    </dataValidation>
    <dataValidation type="list" allowBlank="1" showInputMessage="1" showErrorMessage="1" errorTitle="Ошибка" error="Выберите значение из списка" prompt="Выберите значение из списка" sqref="F36" xr:uid="{00000000-0002-0000-0100-000005000000}">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xr:uid="{00000000-0002-0000-0100-000006000000}"/>
    <dataValidation type="list" allowBlank="1" showInputMessage="1" showErrorMessage="1" errorTitle="Ошибка" error="Выберите значение из списка" prompt="Выберите значение из списка" sqref="F17" xr:uid="{00000000-0002-0000-0100-000007000000}">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7 F21 F18:F19 F11:F13" xr:uid="{00000000-0002-0000-0100-000008000000}"/>
    <dataValidation type="list" allowBlank="1" showInputMessage="1" showErrorMessage="1" errorTitle="Ошибка" error="Выберите значение из списка" prompt="Выберите значение из списка" sqref="F37:F38 F61" xr:uid="{00000000-0002-0000-0100-000009000000}">
      <formula1>kind_of_NDS</formula1>
    </dataValidation>
    <dataValidation type="textLength" operator="lessThanOrEqual" allowBlank="1" showInputMessage="1" showErrorMessage="1" errorTitle="Ошибка" error="Допускается ввод не более 900 символов!" sqref="F72:F75 F28:F29 F64:F65 F67:F70 F22:F24 F26 F32" xr:uid="{00000000-0002-0000-0100-00000A000000}">
      <formula1>900</formula1>
    </dataValidation>
  </dataValidations>
  <hyperlinks>
    <hyperlink ref="H11" location="Титульный!H9" tooltip="Помощь по работе с полями отчётной формы" display="Как заполнить?" xr:uid="{6B994C4F-E10C-BF88-33E6-C931BC48E5DC}"/>
    <hyperlink ref="H17" location="Титульный!H9" tooltip="Помощь по работе с полями отчётной формы" display="Как заполнить?" xr:uid="{5AFC7D28-8096-AE57-2AD4-859F618C2F22}"/>
    <hyperlink ref="H39" location="Титульный!H9" tooltip="Помощь по работе с полями отчётной формы" display="Как заполнить?" xr:uid="{8C1DFDE7-65A7-43DA-8805-A9E7F96C88EF}"/>
    <hyperlink ref="H62" location="Титульный!H9" tooltip="Помощь по работе с полями отчётной формы" display="Как заполнить?" xr:uid="{57E5AF76-13E8-E41D-D74F-064AA410A7E7}"/>
    <hyperlink ref="F70" r:id="rId1" xr:uid="{8AB4003D-78F6-4C86-D29A-47FCDD946B14}"/>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EB45C-8E33-96B7-3677-C7222DA69A2E}">
  <sheetPr>
    <tabColor rgb="FFCCCCFF"/>
    <pageSetUpPr fitToPage="1"/>
  </sheetPr>
  <dimension ref="A1:AB28"/>
  <sheetViews>
    <sheetView showGridLines="0" topLeftCell="C2" zoomScale="90" workbookViewId="0">
      <selection activeCell="G13" sqref="G13"/>
    </sheetView>
  </sheetViews>
  <sheetFormatPr defaultColWidth="9.140625" defaultRowHeight="14.25" customHeight="1"/>
  <cols>
    <col min="1" max="1" width="8" style="9" hidden="1" customWidth="1"/>
    <col min="2" max="2" width="6" style="60" hidden="1" customWidth="1"/>
    <col min="3" max="3" width="3.7109375" style="9" customWidth="1"/>
    <col min="4" max="4" width="3.7109375" style="74" customWidth="1"/>
    <col min="5" max="5" width="6.28515625" style="9" customWidth="1"/>
    <col min="6" max="6" width="2.7109375" style="9" hidden="1" customWidth="1"/>
    <col min="7" max="7" width="46.7109375" style="9" customWidth="1"/>
    <col min="8" max="8" width="43.140625" style="9" customWidth="1"/>
    <col min="9" max="9" width="14.85546875" style="9" customWidth="1"/>
    <col min="10" max="10" width="3.7109375" style="66" customWidth="1"/>
    <col min="11" max="13" width="9.140625" style="66" hidden="1"/>
    <col min="14" max="14" width="25.7109375" style="66" hidden="1" customWidth="1"/>
    <col min="15" max="15" width="14.42578125" style="66" hidden="1" customWidth="1"/>
    <col min="16" max="19" width="9.140625" style="123" hidden="1"/>
    <col min="20" max="27" width="9.140625" style="9" hidden="1"/>
    <col min="28" max="28" width="9.140625" style="9"/>
  </cols>
  <sheetData>
    <row r="1" spans="1:28" s="65" customFormat="1" ht="5.25" hidden="1" customHeight="1">
      <c r="A1" s="209"/>
      <c r="D1" s="119"/>
      <c r="G1" s="142" t="s">
        <v>83</v>
      </c>
      <c r="H1" s="119" t="s">
        <v>84</v>
      </c>
      <c r="I1" s="124" t="s">
        <v>85</v>
      </c>
      <c r="J1" s="142" t="s">
        <v>83</v>
      </c>
      <c r="K1" s="142"/>
      <c r="L1" s="142"/>
      <c r="M1" s="142"/>
      <c r="N1" s="142"/>
      <c r="O1" s="142"/>
      <c r="P1" s="142"/>
      <c r="Q1" s="142"/>
      <c r="R1" s="142"/>
      <c r="S1" s="142"/>
      <c r="T1" s="124"/>
      <c r="U1" s="124"/>
      <c r="V1" s="124"/>
      <c r="W1" s="124"/>
      <c r="X1" s="124"/>
      <c r="Y1" s="124"/>
      <c r="Z1" s="124"/>
      <c r="AA1" s="124"/>
      <c r="AB1" s="124"/>
    </row>
    <row r="2" spans="1:28" s="128" customFormat="1" ht="11.25" customHeight="1">
      <c r="A2" s="77"/>
      <c r="B2" s="125"/>
      <c r="C2" s="125"/>
      <c r="D2" s="126"/>
      <c r="E2" s="125"/>
      <c r="F2" s="125"/>
      <c r="G2" s="125"/>
      <c r="H2" s="125"/>
      <c r="I2" s="125"/>
      <c r="J2" s="142"/>
      <c r="K2" s="142"/>
      <c r="L2" s="142"/>
      <c r="M2" s="142"/>
      <c r="N2" s="142"/>
      <c r="O2" s="142"/>
      <c r="P2" s="127"/>
      <c r="Q2" s="127"/>
      <c r="R2" s="127"/>
      <c r="S2" s="127"/>
      <c r="T2" s="126"/>
      <c r="U2" s="126"/>
      <c r="V2" s="126"/>
      <c r="W2" s="126"/>
      <c r="X2" s="126"/>
      <c r="Y2" s="126"/>
      <c r="Z2" s="126"/>
      <c r="AA2" s="126"/>
      <c r="AB2" s="126"/>
    </row>
    <row r="3" spans="1:28" s="43" customFormat="1" ht="3" customHeight="1">
      <c r="A3" s="9"/>
      <c r="B3" s="60"/>
      <c r="C3" s="9"/>
      <c r="D3" s="74"/>
      <c r="E3" s="9"/>
      <c r="F3" s="9"/>
      <c r="G3" s="9"/>
      <c r="H3" s="9"/>
      <c r="I3" s="75"/>
      <c r="J3" s="142"/>
      <c r="K3" s="66"/>
      <c r="L3" s="66"/>
      <c r="M3" s="66"/>
      <c r="N3" s="66"/>
      <c r="O3" s="66"/>
      <c r="P3" s="123"/>
      <c r="Q3" s="123"/>
      <c r="R3" s="123"/>
      <c r="S3" s="123"/>
    </row>
    <row r="4" spans="1:28" s="43" customFormat="1" ht="25.5" customHeight="1">
      <c r="A4" s="9"/>
      <c r="B4" s="60"/>
      <c r="C4" s="9"/>
      <c r="D4" s="74"/>
      <c r="E4" s="1069" t="str">
        <f>NameTemplatesInListMO</f>
        <v>Перечень муниципальных районов и муниципальных образований (территорий действия тарифа)</v>
      </c>
      <c r="F4" s="1069"/>
      <c r="G4" s="1069"/>
      <c r="H4" s="1069"/>
      <c r="I4" s="1069"/>
      <c r="J4" s="142"/>
      <c r="K4" s="66"/>
      <c r="L4" s="66"/>
      <c r="M4" s="66"/>
      <c r="N4" s="66"/>
      <c r="O4" s="66"/>
      <c r="P4" s="123"/>
      <c r="Q4" s="123"/>
      <c r="R4" s="123"/>
      <c r="S4" s="123"/>
    </row>
    <row r="5" spans="1:28" s="43" customFormat="1" ht="3" customHeight="1">
      <c r="A5" s="9"/>
      <c r="B5" s="60"/>
      <c r="C5" s="9"/>
      <c r="D5" s="74"/>
      <c r="E5" s="9"/>
      <c r="F5" s="9"/>
      <c r="G5" s="76"/>
      <c r="H5" s="76"/>
      <c r="I5" s="77"/>
      <c r="J5" s="66"/>
      <c r="K5" s="66"/>
      <c r="L5" s="66"/>
      <c r="M5" s="66"/>
      <c r="N5" s="66"/>
      <c r="O5" s="66"/>
      <c r="P5" s="123"/>
      <c r="Q5" s="123"/>
      <c r="R5" s="123"/>
      <c r="S5" s="123"/>
    </row>
    <row r="6" spans="1:28" s="43" customFormat="1" ht="20.25" hidden="1" customHeight="1">
      <c r="A6" s="2"/>
      <c r="B6" s="59"/>
      <c r="C6" s="2"/>
      <c r="D6" s="74"/>
      <c r="E6" s="53"/>
      <c r="F6" s="53"/>
      <c r="G6" s="76"/>
      <c r="H6" s="78"/>
      <c r="I6" s="78"/>
      <c r="J6" s="66"/>
      <c r="K6" s="66"/>
      <c r="L6" s="66"/>
      <c r="M6" s="66"/>
      <c r="N6" s="66"/>
      <c r="O6" s="66"/>
      <c r="P6" s="123"/>
      <c r="Q6" s="123"/>
      <c r="R6" s="123"/>
      <c r="S6" s="123"/>
    </row>
    <row r="7" spans="1:28" ht="25.5" hidden="1" customHeight="1"/>
    <row r="8" spans="1:28" s="43" customFormat="1" ht="14.25" customHeight="1">
      <c r="A8" s="9"/>
      <c r="B8" s="60"/>
      <c r="C8" s="9"/>
      <c r="D8" s="74"/>
      <c r="E8" s="1065" t="s">
        <v>86</v>
      </c>
      <c r="F8" s="1070"/>
      <c r="G8" s="1064"/>
      <c r="H8" s="1071" t="s">
        <v>87</v>
      </c>
      <c r="I8" s="1071"/>
      <c r="J8" s="66"/>
      <c r="K8" s="66"/>
      <c r="L8" s="66"/>
      <c r="M8" s="66"/>
      <c r="N8" s="66"/>
      <c r="O8" s="66"/>
      <c r="P8" s="123"/>
      <c r="Q8" s="123"/>
      <c r="R8" s="123"/>
      <c r="S8" s="123"/>
    </row>
    <row r="9" spans="1:28" s="43" customFormat="1" ht="20.25" customHeight="1">
      <c r="A9" s="9"/>
      <c r="B9" s="60"/>
      <c r="C9" s="9"/>
      <c r="D9" s="74"/>
      <c r="E9" s="461" t="s">
        <v>88</v>
      </c>
      <c r="F9" s="461"/>
      <c r="G9" s="80" t="s">
        <v>89</v>
      </c>
      <c r="H9" s="80" t="s">
        <v>89</v>
      </c>
      <c r="I9" s="80" t="s">
        <v>85</v>
      </c>
      <c r="J9" s="66"/>
      <c r="K9" s="66"/>
      <c r="L9" s="66"/>
      <c r="M9" s="66"/>
      <c r="N9" s="66"/>
      <c r="O9" s="66"/>
      <c r="P9" s="123"/>
      <c r="Q9" s="123"/>
      <c r="R9" s="123"/>
      <c r="S9" s="123"/>
    </row>
    <row r="10" spans="1:28" ht="11.25" customHeight="1">
      <c r="D10" s="84"/>
      <c r="E10" s="121" t="s">
        <v>90</v>
      </c>
      <c r="F10" s="121"/>
      <c r="G10" s="121" t="s">
        <v>91</v>
      </c>
      <c r="H10" s="121" t="s">
        <v>92</v>
      </c>
      <c r="I10" s="121" t="s">
        <v>93</v>
      </c>
      <c r="J10" s="79"/>
      <c r="K10" s="79"/>
      <c r="L10" s="79"/>
      <c r="M10" s="79"/>
      <c r="N10" s="79"/>
      <c r="O10" s="79"/>
      <c r="P10" s="122"/>
      <c r="Q10" s="122"/>
      <c r="R10" s="122"/>
      <c r="S10" s="122"/>
    </row>
    <row r="11" spans="1:28" s="43" customFormat="1" ht="0.75" customHeight="1">
      <c r="A11" s="9"/>
      <c r="B11" s="60"/>
      <c r="C11" s="9"/>
      <c r="D11" s="74"/>
      <c r="E11" s="468"/>
      <c r="F11" s="468"/>
      <c r="G11" s="81"/>
      <c r="H11" s="81"/>
      <c r="I11" s="83"/>
      <c r="J11" s="143" t="s">
        <v>94</v>
      </c>
      <c r="K11" s="66"/>
      <c r="L11" s="66"/>
      <c r="M11" s="66" t="s">
        <v>95</v>
      </c>
      <c r="N11" s="66" t="s">
        <v>96</v>
      </c>
      <c r="O11" s="66" t="s">
        <v>97</v>
      </c>
      <c r="P11" s="123"/>
      <c r="Q11" s="123"/>
      <c r="R11" s="123"/>
      <c r="S11" s="123"/>
    </row>
    <row r="12" spans="1:28" s="43" customFormat="1" ht="14.25" customHeight="1">
      <c r="A12" s="1068">
        <v>1</v>
      </c>
      <c r="B12" s="60"/>
      <c r="C12" s="9"/>
      <c r="D12" s="74"/>
      <c r="E12" s="39">
        <f>A12</f>
        <v>1</v>
      </c>
      <c r="F12" s="327" t="s">
        <v>98</v>
      </c>
      <c r="G12" s="316" t="str">
        <f>"Территория "&amp;E12</f>
        <v>Территория 1</v>
      </c>
      <c r="H12" s="470"/>
      <c r="I12" s="470"/>
      <c r="J12" s="66"/>
      <c r="K12" s="66"/>
      <c r="L12" s="66"/>
      <c r="M12" s="66"/>
      <c r="N12" s="66"/>
      <c r="O12" s="66"/>
      <c r="P12" s="123"/>
      <c r="Q12" s="123"/>
      <c r="R12" s="123"/>
      <c r="S12" s="123"/>
    </row>
    <row r="13" spans="1:28" ht="15" customHeight="1">
      <c r="A13" s="1068"/>
      <c r="B13" s="60">
        <v>1</v>
      </c>
      <c r="C13" s="60"/>
      <c r="D13" s="477"/>
      <c r="E13" s="462" t="str">
        <f>A12&amp;"."&amp;B13</f>
        <v>1.1</v>
      </c>
      <c r="F13" s="473" t="s">
        <v>99</v>
      </c>
      <c r="G13" s="471" t="s">
        <v>100</v>
      </c>
      <c r="H13" s="471" t="s">
        <v>101</v>
      </c>
      <c r="I13" s="469" t="s">
        <v>102</v>
      </c>
      <c r="J13" s="66" t="e">
        <f ca="1">MERGEVALUE(G13)</f>
        <v>#NAME?</v>
      </c>
      <c r="K13" s="65"/>
      <c r="L13" s="65"/>
      <c r="M13" s="66" t="str">
        <f t="array" ref="M13">IF(ISERROR(MATCH(MID(N13,1,250),MID(note_ter,1,250),0)),"n","y")</f>
        <v>n</v>
      </c>
      <c r="N13" s="65"/>
      <c r="O13" s="66" t="str">
        <f>H13&amp;"("&amp;I13&amp;")"</f>
        <v>Рабочий поселок Искателей(11811111)</v>
      </c>
      <c r="P13" s="60"/>
      <c r="Q13" s="60"/>
      <c r="R13" s="248"/>
      <c r="S13" s="60"/>
      <c r="T13" s="60"/>
      <c r="U13" s="60"/>
      <c r="V13" s="59"/>
      <c r="W13" s="59"/>
      <c r="X13" s="101"/>
      <c r="Y13" s="101"/>
      <c r="Z13" s="101"/>
      <c r="AA13" s="101"/>
      <c r="AB13" s="101"/>
    </row>
    <row r="14" spans="1:28" ht="15" customHeight="1">
      <c r="A14" s="1068"/>
      <c r="C14" s="247"/>
      <c r="D14" s="478"/>
      <c r="E14" s="249"/>
      <c r="F14" s="85"/>
      <c r="G14" s="107" t="s">
        <v>103</v>
      </c>
      <c r="H14" s="94"/>
      <c r="I14" s="250"/>
      <c r="J14" s="65"/>
      <c r="K14" s="65"/>
      <c r="L14" s="65"/>
      <c r="M14" s="65"/>
      <c r="O14" s="65"/>
      <c r="P14" s="60"/>
      <c r="Q14" s="60"/>
      <c r="R14" s="248"/>
      <c r="S14" s="60"/>
      <c r="T14" s="60"/>
      <c r="U14" s="60"/>
      <c r="V14" s="59"/>
      <c r="W14" s="59"/>
      <c r="X14" s="101"/>
      <c r="Y14" s="101"/>
      <c r="Z14" s="101"/>
      <c r="AA14" s="101"/>
      <c r="AB14" s="101"/>
    </row>
    <row r="15" spans="1:28" s="43" customFormat="1" ht="14.25" customHeight="1">
      <c r="A15" s="9"/>
      <c r="B15" s="60"/>
      <c r="C15" s="9"/>
      <c r="D15" s="74"/>
      <c r="E15" s="472"/>
      <c r="F15" s="86"/>
      <c r="G15" s="50" t="s">
        <v>104</v>
      </c>
      <c r="H15" s="86"/>
      <c r="I15" s="87"/>
      <c r="J15" s="143"/>
      <c r="K15" s="66"/>
      <c r="L15" s="66"/>
      <c r="M15" s="66"/>
      <c r="N15" s="66" t="s">
        <v>105</v>
      </c>
      <c r="O15" s="66"/>
      <c r="P15" s="123"/>
      <c r="Q15" s="123"/>
      <c r="R15" s="123"/>
      <c r="S15" s="123"/>
    </row>
    <row r="16" spans="1:28" s="43" customFormat="1" ht="21" customHeight="1">
      <c r="A16" s="9"/>
      <c r="B16" s="60"/>
      <c r="C16" s="9"/>
      <c r="D16" s="74"/>
      <c r="E16" s="88"/>
      <c r="F16" s="88"/>
      <c r="G16" s="88"/>
      <c r="H16" s="88"/>
      <c r="I16" s="88"/>
      <c r="J16" s="66"/>
      <c r="K16" s="66"/>
      <c r="L16" s="66"/>
      <c r="M16" s="66"/>
      <c r="N16" s="66"/>
      <c r="O16" s="66"/>
      <c r="P16" s="123"/>
      <c r="Q16" s="123"/>
      <c r="R16" s="123"/>
      <c r="S16" s="123"/>
    </row>
    <row r="17" spans="1:19" s="43" customFormat="1" ht="14.25" customHeight="1">
      <c r="A17" s="9"/>
      <c r="B17" s="60"/>
      <c r="C17" s="9"/>
      <c r="D17" s="74"/>
      <c r="E17" s="9"/>
      <c r="F17" s="9"/>
      <c r="G17" s="9"/>
      <c r="H17" s="9"/>
      <c r="I17" s="9"/>
      <c r="J17" s="66"/>
      <c r="K17" s="66"/>
      <c r="L17" s="66"/>
      <c r="M17" s="66"/>
      <c r="N17" s="66"/>
      <c r="O17" s="66"/>
      <c r="P17" s="123"/>
      <c r="Q17" s="123"/>
      <c r="R17" s="123"/>
      <c r="S17" s="123"/>
    </row>
    <row r="18" spans="1:19" s="43" customFormat="1" ht="0.75" customHeight="1">
      <c r="A18" s="9"/>
      <c r="B18" s="60"/>
      <c r="C18" s="9"/>
      <c r="D18" s="74"/>
      <c r="E18" s="9"/>
      <c r="F18" s="9"/>
      <c r="G18" s="9"/>
      <c r="H18" s="9"/>
      <c r="I18" s="9"/>
      <c r="J18" s="66"/>
      <c r="K18" s="66"/>
      <c r="L18" s="66"/>
      <c r="M18" s="66"/>
      <c r="N18" s="66"/>
      <c r="O18" s="66"/>
      <c r="P18" s="123"/>
      <c r="Q18" s="123"/>
      <c r="R18" s="123"/>
      <c r="S18" s="123"/>
    </row>
    <row r="19" spans="1:19" s="89" customFormat="1" ht="10.5" customHeight="1">
      <c r="B19" s="491"/>
      <c r="D19" s="90"/>
      <c r="J19" s="66"/>
      <c r="K19" s="66"/>
      <c r="L19" s="66"/>
      <c r="M19" s="66"/>
      <c r="N19" s="66"/>
      <c r="O19" s="66"/>
      <c r="P19" s="123"/>
      <c r="Q19" s="123"/>
      <c r="R19" s="123"/>
      <c r="S19" s="123"/>
    </row>
    <row r="20" spans="1:19" s="89" customFormat="1" ht="10.5" customHeight="1">
      <c r="B20" s="491"/>
      <c r="D20" s="90"/>
      <c r="J20" s="66"/>
      <c r="K20" s="66"/>
      <c r="L20" s="66"/>
      <c r="M20" s="66"/>
      <c r="N20" s="66"/>
      <c r="O20" s="66"/>
      <c r="P20" s="123"/>
      <c r="Q20" s="123"/>
      <c r="R20" s="123"/>
      <c r="S20" s="123"/>
    </row>
    <row r="24" spans="1:19" ht="14.25" customHeight="1">
      <c r="H24"/>
    </row>
    <row r="28" spans="1:19" ht="14.25" customHeight="1">
      <c r="J28" s="9"/>
      <c r="K28" s="9"/>
      <c r="L28" s="9"/>
    </row>
  </sheetData>
  <sheetProtection formatColumns="0" formatRows="0" insertRows="0" deleteColumns="0" deleteRows="0" sort="0" autoFilter="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xr:uid="{00000000-0002-0000-0200-000000000000}">
      <formula1>900</formula1>
    </dataValidation>
  </dataValidations>
  <printOptions horizontalCentered="1" verticalCentered="1"/>
  <pageMargins left="0" right="0" top="0" bottom="0" header="0" footer="0.79"/>
  <pageSetup paperSize="9" scale="60" fitToHeight="0"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1F2801-E598-31D1-D774-1EA95EA0715E}">
  <sheetPr>
    <tabColor rgb="FFCCCCFF"/>
  </sheetPr>
  <dimension ref="A1:AL16"/>
  <sheetViews>
    <sheetView showGridLines="0" topLeftCell="C3" zoomScale="90" workbookViewId="0">
      <selection activeCell="I13" sqref="I13:I14"/>
    </sheetView>
  </sheetViews>
  <sheetFormatPr defaultColWidth="9.140625" defaultRowHeight="11.25" customHeight="1"/>
  <cols>
    <col min="1" max="1" width="6.42578125" style="33" hidden="1" customWidth="1"/>
    <col min="2" max="2" width="2" style="33" hidden="1" customWidth="1"/>
    <col min="3" max="3" width="3.7109375" style="33" customWidth="1"/>
    <col min="4" max="4" width="4.28515625" style="33" customWidth="1"/>
    <col min="5" max="5" width="45" style="33" customWidth="1"/>
    <col min="6" max="6" width="6.42578125" style="33" customWidth="1"/>
    <col min="7" max="7" width="4.42578125" style="33" customWidth="1"/>
    <col min="8" max="8" width="5.5703125" style="33" customWidth="1"/>
    <col min="9" max="9" width="52.85546875" style="33" customWidth="1"/>
    <col min="10" max="10" width="7" style="33" customWidth="1"/>
    <col min="11" max="11" width="3.7109375" style="33" customWidth="1"/>
    <col min="12" max="12" width="6.28515625" style="33" customWidth="1"/>
    <col min="13" max="13" width="56.28515625" style="33" customWidth="1"/>
    <col min="14" max="14" width="9.140625" style="79"/>
    <col min="15" max="20" width="9.140625" style="66" hidden="1"/>
    <col min="21" max="24" width="9.140625" style="15" hidden="1"/>
    <col min="25" max="37" width="9.140625" style="79" hidden="1"/>
    <col min="38" max="38" width="9.140625" style="79"/>
  </cols>
  <sheetData>
    <row r="1" spans="1:38" ht="11.25" hidden="1" customHeight="1"/>
    <row r="2" spans="1:38" ht="11.25" hidden="1" customHeight="1"/>
    <row r="4" spans="1:38" ht="34.5" customHeight="1">
      <c r="A4" s="15"/>
      <c r="B4" s="15"/>
      <c r="D4" s="1076"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1077"/>
      <c r="F4" s="1077"/>
      <c r="G4" s="1077"/>
      <c r="H4" s="1077"/>
      <c r="I4" s="1078"/>
      <c r="J4" s="79"/>
      <c r="K4" s="79"/>
      <c r="L4" s="79"/>
      <c r="M4" s="79"/>
    </row>
    <row r="5" spans="1:38" s="40" customFormat="1" ht="15" customHeight="1">
      <c r="A5" s="15"/>
      <c r="B5" s="15"/>
      <c r="C5" s="15"/>
      <c r="D5" s="1079" t="str">
        <f>IF(org=0,"Не определено",org)</f>
        <v>ИМУП «ПОСЖИЛКОМСЕРВИС»</v>
      </c>
      <c r="E5" s="1080"/>
      <c r="F5" s="1080"/>
      <c r="G5" s="1080"/>
      <c r="H5" s="1080"/>
      <c r="I5" s="1081"/>
      <c r="J5" s="354"/>
      <c r="K5" s="354"/>
      <c r="L5" s="354"/>
      <c r="M5" s="354"/>
      <c r="N5" s="354"/>
      <c r="O5" s="67"/>
      <c r="P5" s="67"/>
      <c r="Q5" s="67"/>
      <c r="R5" s="67"/>
      <c r="S5" s="67"/>
      <c r="T5" s="67"/>
      <c r="U5" s="760"/>
      <c r="V5" s="760"/>
      <c r="W5" s="760"/>
      <c r="X5" s="760"/>
      <c r="Y5" s="354"/>
      <c r="Z5" s="354"/>
      <c r="AA5" s="354"/>
      <c r="AB5" s="354"/>
      <c r="AC5" s="354"/>
      <c r="AD5" s="354"/>
      <c r="AE5" s="354"/>
      <c r="AF5" s="354"/>
      <c r="AG5" s="354"/>
      <c r="AH5" s="354"/>
      <c r="AI5" s="354"/>
      <c r="AJ5" s="354"/>
      <c r="AK5" s="354"/>
      <c r="AL5" s="354"/>
    </row>
    <row r="6" spans="1:38" s="40" customFormat="1" ht="6" customHeight="1">
      <c r="A6" s="1068"/>
      <c r="B6" s="1068"/>
      <c r="C6" s="1068"/>
      <c r="D6" s="1068"/>
      <c r="E6" s="1068"/>
      <c r="F6" s="1068"/>
      <c r="G6" s="9"/>
      <c r="H6" s="9"/>
      <c r="I6" s="9"/>
      <c r="J6" s="9"/>
      <c r="K6" s="9"/>
      <c r="N6" s="354"/>
      <c r="O6" s="67"/>
      <c r="P6" s="67"/>
      <c r="Q6" s="67"/>
      <c r="R6" s="67"/>
      <c r="S6" s="67"/>
      <c r="T6" s="67"/>
      <c r="U6" s="760"/>
      <c r="V6" s="760"/>
      <c r="W6" s="760"/>
      <c r="X6" s="760"/>
      <c r="Y6" s="354"/>
      <c r="Z6" s="354"/>
      <c r="AA6" s="354"/>
      <c r="AB6" s="354"/>
      <c r="AC6" s="354"/>
      <c r="AD6" s="354"/>
      <c r="AE6" s="354"/>
      <c r="AF6" s="354"/>
      <c r="AG6" s="354"/>
      <c r="AH6" s="354"/>
      <c r="AI6" s="354"/>
      <c r="AJ6" s="354"/>
      <c r="AK6" s="354"/>
      <c r="AL6" s="354"/>
    </row>
    <row r="7" spans="1:38" ht="45.75" hidden="1" customHeight="1">
      <c r="E7" s="108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087"/>
      <c r="G7" s="1087"/>
      <c r="H7" s="1087"/>
      <c r="I7" s="1087"/>
      <c r="J7" s="1087"/>
      <c r="K7" s="1087"/>
      <c r="L7" s="1087"/>
      <c r="M7" s="1087"/>
    </row>
    <row r="8" spans="1:38" s="40" customFormat="1" ht="6" customHeight="1">
      <c r="A8" s="113"/>
      <c r="B8" s="113"/>
      <c r="C8" s="113"/>
      <c r="D8" s="113"/>
      <c r="E8" s="113"/>
      <c r="F8" s="113"/>
      <c r="G8" s="113"/>
      <c r="H8" s="113"/>
      <c r="I8" s="113"/>
      <c r="J8" s="113"/>
      <c r="K8" s="113"/>
      <c r="L8" s="113"/>
      <c r="N8" s="354"/>
      <c r="O8" s="67"/>
      <c r="P8" s="67"/>
      <c r="Q8" s="67"/>
      <c r="R8" s="67"/>
      <c r="S8" s="67"/>
      <c r="T8" s="67"/>
      <c r="U8" s="760"/>
      <c r="V8" s="760"/>
      <c r="W8" s="760"/>
      <c r="X8" s="760"/>
      <c r="Y8" s="354"/>
      <c r="Z8" s="354"/>
      <c r="AA8" s="354"/>
      <c r="AB8" s="354"/>
      <c r="AC8" s="354"/>
      <c r="AD8" s="354"/>
      <c r="AE8" s="354"/>
      <c r="AF8" s="354"/>
      <c r="AG8" s="354"/>
      <c r="AH8" s="354"/>
      <c r="AI8" s="354"/>
      <c r="AJ8" s="354"/>
      <c r="AK8" s="354"/>
      <c r="AL8" s="354"/>
    </row>
    <row r="9" spans="1:38" ht="18" customHeight="1">
      <c r="A9" s="1082"/>
      <c r="B9" s="9"/>
      <c r="C9" s="9"/>
      <c r="D9" s="1083" t="s">
        <v>106</v>
      </c>
      <c r="E9" s="1083"/>
      <c r="F9" s="1084" t="s">
        <v>107</v>
      </c>
      <c r="G9" s="1085"/>
      <c r="H9" s="1085"/>
      <c r="I9" s="1085"/>
      <c r="J9" s="1088" t="s">
        <v>108</v>
      </c>
      <c r="K9" s="1088"/>
      <c r="L9" s="1088"/>
      <c r="M9" s="1088"/>
    </row>
    <row r="10" spans="1:38" ht="22.5" customHeight="1">
      <c r="A10" s="1082"/>
      <c r="B10" s="56"/>
      <c r="C10" s="309"/>
      <c r="D10" s="39" t="s">
        <v>88</v>
      </c>
      <c r="E10" s="39" t="s">
        <v>89</v>
      </c>
      <c r="F10" s="39" t="s">
        <v>109</v>
      </c>
      <c r="G10" s="1089" t="s">
        <v>88</v>
      </c>
      <c r="H10" s="1090"/>
      <c r="I10" s="39" t="s">
        <v>89</v>
      </c>
      <c r="J10" s="39" t="s">
        <v>109</v>
      </c>
      <c r="K10" s="1089" t="s">
        <v>88</v>
      </c>
      <c r="L10" s="1090"/>
      <c r="M10" s="39" t="s">
        <v>89</v>
      </c>
      <c r="N10" s="482"/>
    </row>
    <row r="11" spans="1:38" s="33" customFormat="1" ht="11.25" hidden="1" customHeight="1">
      <c r="A11" s="355"/>
      <c r="B11" s="355"/>
      <c r="C11" s="355"/>
      <c r="D11" s="356" t="s">
        <v>110</v>
      </c>
      <c r="E11" s="356" t="s">
        <v>111</v>
      </c>
      <c r="F11" s="356" t="s">
        <v>90</v>
      </c>
      <c r="G11" s="1072" t="s">
        <v>91</v>
      </c>
      <c r="H11" s="1073"/>
      <c r="I11" s="356" t="s">
        <v>112</v>
      </c>
      <c r="J11" s="356" t="s">
        <v>92</v>
      </c>
      <c r="K11" s="1074" t="s">
        <v>93</v>
      </c>
      <c r="L11" s="1075"/>
      <c r="M11" s="356" t="s">
        <v>113</v>
      </c>
      <c r="N11" s="482"/>
      <c r="O11" s="66"/>
      <c r="P11" s="66"/>
      <c r="Q11" s="66"/>
      <c r="R11" s="66"/>
      <c r="S11" s="66"/>
      <c r="T11" s="66"/>
      <c r="U11" s="15"/>
      <c r="V11" s="15"/>
      <c r="W11" s="15"/>
      <c r="X11" s="15"/>
      <c r="Y11" s="79"/>
      <c r="Z11" s="79"/>
      <c r="AA11" s="79"/>
      <c r="AB11" s="79"/>
      <c r="AC11" s="79"/>
      <c r="AD11" s="79"/>
      <c r="AE11" s="79"/>
      <c r="AF11" s="79"/>
      <c r="AG11" s="79"/>
      <c r="AH11" s="79"/>
      <c r="AI11" s="79"/>
      <c r="AJ11" s="79"/>
      <c r="AK11" s="79"/>
      <c r="AL11" s="79"/>
    </row>
    <row r="12" spans="1:38" ht="0.75" customHeight="1">
      <c r="A12" s="357"/>
      <c r="B12" s="56"/>
      <c r="C12" s="56"/>
      <c r="D12" s="358"/>
      <c r="E12" s="221"/>
      <c r="F12" s="221"/>
      <c r="G12" s="642"/>
      <c r="H12" s="642"/>
      <c r="I12" s="221"/>
      <c r="J12" s="221"/>
      <c r="K12" s="82"/>
      <c r="L12" s="221"/>
      <c r="M12" s="359"/>
      <c r="N12" s="482"/>
      <c r="O12" s="66" t="s">
        <v>114</v>
      </c>
      <c r="P12" s="66" t="s">
        <v>115</v>
      </c>
      <c r="Q12" s="66" t="s">
        <v>116</v>
      </c>
      <c r="R12" s="66" t="s">
        <v>117</v>
      </c>
    </row>
    <row r="13" spans="1:38" s="33" customFormat="1" ht="15" customHeight="1">
      <c r="A13"/>
      <c r="B13"/>
      <c r="C13" s="74"/>
      <c r="D13" s="1094" t="s">
        <v>110</v>
      </c>
      <c r="E13" s="1095" t="str">
        <f>INDEX(VD_NAME_LIST,MATCH("4189671",VD_ID_LIST,0))</f>
        <v>Холодное водоснабжение. Питьевая вода</v>
      </c>
      <c r="F13" s="1098" t="s">
        <v>59</v>
      </c>
      <c r="G13" s="1099"/>
      <c r="H13" s="1100">
        <v>1</v>
      </c>
      <c r="I13" s="1091" t="str">
        <f>IF(U13="","",INDEX(TERRITORY_MR_LIST,MATCH(U13,TERRITORY_LIST_ID,0)))</f>
        <v>Территория 1</v>
      </c>
      <c r="J13" s="1093" t="s">
        <v>57</v>
      </c>
      <c r="K13" s="360"/>
      <c r="L13" s="41" t="s">
        <v>110</v>
      </c>
      <c r="M13" s="361" t="s">
        <v>18</v>
      </c>
      <c r="N13" s="482"/>
      <c r="O13" s="66" t="s">
        <v>118</v>
      </c>
      <c r="P13" s="66" t="str">
        <f>$E$13</f>
        <v>Холодное водоснабжение. Питьевая вода</v>
      </c>
      <c r="Q13" s="66" t="str">
        <f>IF($F$13="нет","без дифференциации",$I$13)</f>
        <v>Территория 1</v>
      </c>
      <c r="R13" s="66" t="str">
        <f>IF($J$13="нет","без дифференциации",M13)</f>
        <v>без дифференциации</v>
      </c>
      <c r="S13" s="66"/>
      <c r="T13" s="66"/>
      <c r="U13" s="15" t="s">
        <v>98</v>
      </c>
      <c r="V13" s="15" t="s">
        <v>119</v>
      </c>
      <c r="W13" s="15"/>
      <c r="X13" s="15"/>
      <c r="Y13" s="79" t="s">
        <v>120</v>
      </c>
      <c r="Z13" s="79">
        <v>1705000</v>
      </c>
      <c r="AA13" s="79"/>
      <c r="AB13" s="79"/>
      <c r="AC13" s="79"/>
      <c r="AD13" s="79"/>
      <c r="AE13" s="79"/>
      <c r="AF13" s="79"/>
      <c r="AG13" s="79"/>
      <c r="AH13" s="79"/>
      <c r="AI13" s="79"/>
      <c r="AJ13" s="79"/>
      <c r="AK13" s="79"/>
      <c r="AL13" s="79"/>
    </row>
    <row r="14" spans="1:38" s="33" customFormat="1" ht="15" customHeight="1">
      <c r="A14"/>
      <c r="B14"/>
      <c r="C14" s="84"/>
      <c r="D14" s="1094"/>
      <c r="E14" s="1096"/>
      <c r="F14" s="1093"/>
      <c r="G14" s="1099"/>
      <c r="H14" s="1100"/>
      <c r="I14" s="1092"/>
      <c r="J14" s="1093"/>
      <c r="K14" s="249"/>
      <c r="L14" s="85"/>
      <c r="M14" s="363" t="s">
        <v>121</v>
      </c>
      <c r="N14" s="482"/>
      <c r="O14" s="66"/>
      <c r="P14" s="66"/>
      <c r="Q14" s="66"/>
      <c r="R14" s="66"/>
      <c r="S14" s="66"/>
      <c r="T14" s="66"/>
      <c r="U14" s="15"/>
      <c r="V14" s="15"/>
      <c r="W14" s="15"/>
      <c r="X14" s="15"/>
      <c r="Y14" s="79"/>
      <c r="Z14" s="79"/>
      <c r="AA14" s="79"/>
      <c r="AB14" s="79"/>
      <c r="AC14" s="79"/>
      <c r="AD14" s="79"/>
      <c r="AE14" s="79"/>
      <c r="AF14" s="79"/>
      <c r="AG14" s="79"/>
      <c r="AH14" s="79"/>
      <c r="AI14" s="79"/>
      <c r="AJ14" s="79"/>
      <c r="AK14" s="79"/>
      <c r="AL14" s="79"/>
    </row>
    <row r="15" spans="1:38" s="33" customFormat="1" ht="15" customHeight="1">
      <c r="A15"/>
      <c r="B15"/>
      <c r="C15" s="84"/>
      <c r="D15" s="1094"/>
      <c r="E15" s="1097"/>
      <c r="F15" s="1093"/>
      <c r="G15" s="643"/>
      <c r="H15" s="644"/>
      <c r="I15" s="107" t="s">
        <v>122</v>
      </c>
      <c r="J15" s="85"/>
      <c r="K15" s="85"/>
      <c r="L15" s="85"/>
      <c r="M15" s="364"/>
      <c r="N15" s="482"/>
      <c r="O15" s="66"/>
      <c r="P15" s="66"/>
      <c r="Q15" s="66"/>
      <c r="R15" s="66"/>
      <c r="S15" s="66"/>
      <c r="T15" s="66"/>
      <c r="U15" s="15"/>
      <c r="V15" s="15"/>
      <c r="W15" s="15"/>
      <c r="X15" s="15"/>
      <c r="Y15" s="79"/>
      <c r="Z15" s="79"/>
      <c r="AA15" s="79"/>
      <c r="AB15" s="79"/>
      <c r="AC15" s="79"/>
      <c r="AD15" s="79"/>
      <c r="AE15" s="79"/>
      <c r="AF15" s="79"/>
      <c r="AG15" s="79"/>
      <c r="AH15" s="79"/>
      <c r="AI15" s="79"/>
      <c r="AJ15" s="79"/>
      <c r="AK15" s="79"/>
      <c r="AL15" s="79"/>
    </row>
    <row r="16" spans="1:38" ht="15" customHeight="1">
      <c r="A16" s="365"/>
      <c r="B16" s="32"/>
      <c r="C16" s="53"/>
      <c r="D16" s="249"/>
      <c r="E16" s="108" t="s">
        <v>123</v>
      </c>
      <c r="F16" s="85"/>
      <c r="G16" s="85"/>
      <c r="H16" s="85"/>
      <c r="I16" s="85"/>
      <c r="J16" s="85"/>
      <c r="K16" s="85" t="s">
        <v>18</v>
      </c>
      <c r="L16" s="85"/>
      <c r="M16" s="364"/>
      <c r="N16" s="482"/>
    </row>
  </sheetData>
  <sheetProtection formatColumns="0" formatRows="0" insertRows="0" deleteColumns="0" deleteRows="0" sort="0" autoFilter="0"/>
  <mergeCells count="19">
    <mergeCell ref="I13:I14"/>
    <mergeCell ref="J13:J14"/>
    <mergeCell ref="D13:D15"/>
    <mergeCell ref="E13:E15"/>
    <mergeCell ref="F13:F15"/>
    <mergeCell ref="G13:G14"/>
    <mergeCell ref="H13:H14"/>
    <mergeCell ref="G11:H11"/>
    <mergeCell ref="K11:L11"/>
    <mergeCell ref="D4:I4"/>
    <mergeCell ref="D5:I5"/>
    <mergeCell ref="A6:F6"/>
    <mergeCell ref="A9:A10"/>
    <mergeCell ref="D9:E9"/>
    <mergeCell ref="F9:I9"/>
    <mergeCell ref="E7:M7"/>
    <mergeCell ref="J9:M9"/>
    <mergeCell ref="G10:H10"/>
    <mergeCell ref="K10:L10"/>
  </mergeCells>
  <dataValidations count="1">
    <dataValidation type="textLength" operator="lessThan" allowBlank="1" showInputMessage="1" showErrorMessage="1" error="Допускается ввод не более 900 символов!" sqref="M13" xr:uid="{00000000-0002-0000-0300-000000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E8C76-CB21-0861-7C82-7A4B83EF136A}">
  <sheetPr>
    <tabColor rgb="FFCCCCFF"/>
  </sheetPr>
  <dimension ref="A1:AR120"/>
  <sheetViews>
    <sheetView showGridLines="0" topLeftCell="C4" zoomScale="90" workbookViewId="0"/>
  </sheetViews>
  <sheetFormatPr defaultColWidth="9.140625" defaultRowHeight="11.25" customHeight="1"/>
  <cols>
    <col min="1" max="2" width="3.7109375" style="66" hidden="1" customWidth="1"/>
    <col min="3" max="3" width="3.7109375" style="33" customWidth="1"/>
    <col min="4" max="4" width="6.140625" style="33" customWidth="1"/>
    <col min="5" max="5" width="43.140625" style="33" customWidth="1"/>
    <col min="6" max="6" width="15" style="33" customWidth="1"/>
    <col min="7" max="7" width="43.140625" style="33" customWidth="1"/>
    <col min="8" max="8" width="3.7109375" style="33" customWidth="1"/>
    <col min="9" max="9" width="5.42578125" style="33" customWidth="1"/>
    <col min="10" max="10" width="47.85546875" style="33" customWidth="1"/>
    <col min="11" max="12" width="3.7109375" style="33" customWidth="1"/>
    <col min="13" max="13" width="5.7109375" style="33" customWidth="1"/>
    <col min="14" max="14" width="28.140625" style="33" customWidth="1"/>
    <col min="15" max="16" width="3.7109375" style="33" customWidth="1"/>
    <col min="17" max="17" width="5.7109375" style="33" customWidth="1"/>
    <col min="18" max="18" width="34.42578125" style="33" customWidth="1"/>
    <col min="19" max="20" width="3.7109375" style="33" hidden="1" customWidth="1"/>
    <col min="21" max="21" width="5.7109375" style="33" hidden="1" customWidth="1"/>
    <col min="22" max="22" width="34.42578125" style="33" hidden="1" customWidth="1"/>
    <col min="23" max="23" width="30.7109375" style="33" customWidth="1"/>
    <col min="24" max="24" width="3.7109375" style="33" customWidth="1"/>
    <col min="25" max="28" width="9.85546875" style="15" hidden="1" customWidth="1"/>
    <col min="29" max="29" width="27" style="15" hidden="1" customWidth="1"/>
    <col min="30" max="30" width="10.5703125" style="15" hidden="1" customWidth="1"/>
    <col min="31" max="31" width="10.7109375" style="15" hidden="1" customWidth="1"/>
    <col min="32" max="32" width="10" style="15" hidden="1" customWidth="1"/>
    <col min="33" max="33" width="12.85546875" style="15" hidden="1" customWidth="1"/>
    <col min="34" max="34" width="10.28515625" style="15" hidden="1" customWidth="1"/>
    <col min="35" max="35" width="15.85546875" style="15" hidden="1" customWidth="1"/>
    <col min="36" max="36" width="19.42578125" style="15" hidden="1" customWidth="1"/>
    <col min="37" max="37" width="11" style="15" hidden="1" customWidth="1"/>
    <col min="38" max="38" width="23.5703125" style="15" hidden="1" customWidth="1"/>
    <col min="39" max="39" width="23.85546875" style="15" hidden="1" customWidth="1"/>
    <col min="40" max="40" width="25.28515625" style="15" hidden="1" customWidth="1"/>
    <col min="41" max="41" width="16.85546875" style="15" hidden="1" customWidth="1"/>
    <col min="42" max="42" width="29.5703125" style="15" hidden="1" customWidth="1"/>
    <col min="43" max="43" width="29.85546875" style="15" hidden="1" customWidth="1"/>
    <col min="44" max="44" width="9.140625" style="33" hidden="1"/>
  </cols>
  <sheetData>
    <row r="1" spans="1:43" ht="11.25" hidden="1" customHeight="1"/>
    <row r="2" spans="1:43" ht="11.25" hidden="1" customHeight="1"/>
    <row r="3" spans="1:43" ht="11.25" hidden="1" customHeight="1"/>
    <row r="4" spans="1:43" ht="3" customHeight="1"/>
    <row r="5" spans="1:43" s="40" customFormat="1" ht="39" customHeight="1">
      <c r="A5" s="67"/>
      <c r="B5" s="67"/>
      <c r="D5" s="107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077"/>
      <c r="F5" s="1077"/>
      <c r="G5" s="1077"/>
      <c r="H5" s="1077"/>
      <c r="I5" s="1077"/>
      <c r="J5" s="1078"/>
      <c r="K5" s="153"/>
      <c r="L5" s="57"/>
      <c r="M5" s="57"/>
      <c r="N5" s="57"/>
      <c r="O5" s="57"/>
      <c r="P5" s="57"/>
      <c r="Q5" s="57"/>
      <c r="R5" s="57"/>
      <c r="S5" s="57"/>
      <c r="T5" s="57"/>
      <c r="U5" s="57"/>
      <c r="V5" s="57"/>
      <c r="W5" s="57"/>
      <c r="Y5" s="760"/>
      <c r="Z5" s="760"/>
      <c r="AA5" s="760"/>
      <c r="AB5" s="760"/>
      <c r="AC5" s="760"/>
      <c r="AD5" s="760"/>
      <c r="AE5" s="760"/>
      <c r="AF5" s="760"/>
      <c r="AG5" s="760"/>
      <c r="AH5" s="760"/>
      <c r="AI5" s="760"/>
      <c r="AJ5" s="760"/>
      <c r="AK5" s="760"/>
      <c r="AL5" s="760"/>
      <c r="AM5" s="760"/>
      <c r="AN5" s="760"/>
      <c r="AO5" s="760"/>
      <c r="AP5" s="760"/>
      <c r="AQ5" s="760"/>
    </row>
    <row r="6" spans="1:43" s="40" customFormat="1" ht="15" customHeight="1">
      <c r="A6" s="15"/>
      <c r="B6" s="15"/>
      <c r="C6" s="15"/>
      <c r="D6" s="1134" t="str">
        <f>IF(org=0,"Не определено",org)</f>
        <v>ИМУП «ПОСЖИЛКОМСЕРВИС»</v>
      </c>
      <c r="E6" s="1134"/>
      <c r="F6" s="1134"/>
      <c r="G6" s="1134"/>
      <c r="H6" s="1134"/>
      <c r="I6" s="1134"/>
      <c r="J6" s="1134"/>
      <c r="K6" s="354"/>
      <c r="L6" s="354"/>
      <c r="M6" s="354"/>
      <c r="N6" s="354"/>
      <c r="O6" s="67"/>
      <c r="P6" s="67"/>
      <c r="Q6" s="67"/>
      <c r="R6" s="67"/>
      <c r="S6" s="67"/>
      <c r="T6" s="67"/>
      <c r="U6" s="67"/>
      <c r="V6" s="67"/>
      <c r="W6" s="67"/>
      <c r="X6" s="354"/>
      <c r="Y6" s="760"/>
      <c r="Z6" s="760"/>
      <c r="AA6" s="760"/>
      <c r="AB6" s="760"/>
      <c r="AC6" s="760"/>
      <c r="AD6" s="760"/>
      <c r="AE6" s="760"/>
      <c r="AF6" s="760"/>
      <c r="AG6" s="760"/>
      <c r="AH6" s="760"/>
      <c r="AI6" s="760"/>
      <c r="AJ6" s="760"/>
      <c r="AK6" s="760"/>
      <c r="AL6" s="760"/>
      <c r="AM6" s="760"/>
      <c r="AN6" s="760"/>
      <c r="AO6" s="760"/>
      <c r="AP6" s="760"/>
      <c r="AQ6" s="760"/>
    </row>
    <row r="7" spans="1:43" s="159" customFormat="1" ht="11.25" customHeight="1">
      <c r="A7" s="66"/>
      <c r="B7" s="66"/>
      <c r="D7" s="1131"/>
      <c r="E7" s="1132"/>
      <c r="F7" s="1132"/>
      <c r="G7" s="1132"/>
      <c r="H7" s="1132"/>
      <c r="I7" s="1132"/>
      <c r="J7" s="1133"/>
      <c r="Y7" s="15"/>
      <c r="Z7" s="15"/>
      <c r="AA7" s="15"/>
      <c r="AB7" s="15"/>
      <c r="AC7" s="15"/>
      <c r="AD7" s="15"/>
      <c r="AE7" s="15"/>
      <c r="AF7" s="15"/>
      <c r="AG7" s="15"/>
      <c r="AH7" s="15"/>
      <c r="AI7" s="15"/>
      <c r="AJ7" s="15"/>
      <c r="AK7" s="15"/>
      <c r="AL7" s="15"/>
      <c r="AM7" s="15"/>
      <c r="AN7" s="15"/>
      <c r="AO7" s="15"/>
      <c r="AP7" s="15"/>
      <c r="AQ7" s="15"/>
    </row>
    <row r="8" spans="1:43" s="40" customFormat="1" ht="0.75" customHeight="1">
      <c r="A8" s="67"/>
      <c r="B8" s="67"/>
      <c r="D8" s="113"/>
      <c r="E8" s="113"/>
      <c r="F8" s="113"/>
      <c r="G8" s="113"/>
      <c r="H8" s="113"/>
      <c r="I8" s="113"/>
      <c r="J8" s="113"/>
      <c r="K8" s="113"/>
      <c r="L8" s="113"/>
      <c r="M8" s="113"/>
      <c r="N8" s="113"/>
      <c r="O8" s="113"/>
      <c r="P8" s="113"/>
      <c r="Q8" s="113"/>
      <c r="R8" s="113"/>
      <c r="S8" s="113"/>
      <c r="T8" s="113"/>
      <c r="U8" s="113"/>
      <c r="V8" s="113"/>
      <c r="W8" s="113"/>
      <c r="Y8" s="760"/>
      <c r="Z8" s="760"/>
      <c r="AA8" s="760"/>
      <c r="AB8" s="760"/>
      <c r="AC8" s="760"/>
      <c r="AD8" s="760"/>
      <c r="AE8" s="760"/>
      <c r="AF8" s="760"/>
      <c r="AG8" s="760"/>
      <c r="AH8" s="760"/>
      <c r="AI8" s="760"/>
      <c r="AJ8" s="760"/>
      <c r="AK8" s="760"/>
      <c r="AL8" s="760"/>
      <c r="AM8" s="760"/>
      <c r="AN8" s="760"/>
      <c r="AO8" s="760"/>
      <c r="AP8" s="760"/>
      <c r="AQ8" s="760"/>
    </row>
    <row r="9" spans="1:43" ht="27" customHeight="1">
      <c r="D9" s="1083" t="s">
        <v>88</v>
      </c>
      <c r="E9" s="1065" t="s">
        <v>124</v>
      </c>
      <c r="F9" s="1064"/>
      <c r="G9" s="1083" t="s">
        <v>106</v>
      </c>
      <c r="H9" s="1083" t="s">
        <v>88</v>
      </c>
      <c r="I9" s="1083"/>
      <c r="J9" s="1083" t="s">
        <v>125</v>
      </c>
      <c r="K9" s="1135" t="s">
        <v>126</v>
      </c>
      <c r="L9" s="1135"/>
      <c r="M9" s="1135"/>
      <c r="N9" s="1135"/>
      <c r="O9" s="1135" t="s">
        <v>127</v>
      </c>
      <c r="P9" s="1135"/>
      <c r="Q9" s="1135"/>
      <c r="R9" s="1135"/>
      <c r="S9" s="1135" t="s">
        <v>128</v>
      </c>
      <c r="T9" s="1135"/>
      <c r="U9" s="1135"/>
      <c r="V9" s="1135"/>
      <c r="W9" s="1083" t="s">
        <v>129</v>
      </c>
    </row>
    <row r="10" spans="1:43" ht="30" customHeight="1">
      <c r="D10" s="1083"/>
      <c r="E10" s="39" t="s">
        <v>89</v>
      </c>
      <c r="F10" s="39" t="s">
        <v>130</v>
      </c>
      <c r="G10" s="1083"/>
      <c r="H10" s="1083"/>
      <c r="I10" s="1083"/>
      <c r="J10" s="1083"/>
      <c r="K10" s="39" t="s">
        <v>109</v>
      </c>
      <c r="L10" s="1083" t="s">
        <v>88</v>
      </c>
      <c r="M10" s="1083"/>
      <c r="N10" s="39" t="s">
        <v>131</v>
      </c>
      <c r="O10" s="39" t="s">
        <v>109</v>
      </c>
      <c r="P10" s="1083" t="s">
        <v>88</v>
      </c>
      <c r="Q10" s="1083"/>
      <c r="R10" s="39" t="s">
        <v>131</v>
      </c>
      <c r="S10" s="39" t="s">
        <v>109</v>
      </c>
      <c r="T10" s="1083" t="s">
        <v>88</v>
      </c>
      <c r="U10" s="1083"/>
      <c r="V10" s="39" t="s">
        <v>89</v>
      </c>
      <c r="W10" s="1083"/>
      <c r="Z10" s="15" t="s">
        <v>132</v>
      </c>
      <c r="AA10" s="15" t="s">
        <v>133</v>
      </c>
      <c r="AB10" s="15" t="s">
        <v>134</v>
      </c>
      <c r="AC10" s="15" t="s">
        <v>135</v>
      </c>
      <c r="AD10" s="15" t="s">
        <v>136</v>
      </c>
      <c r="AE10" s="15" t="s">
        <v>137</v>
      </c>
      <c r="AF10" s="15" t="s">
        <v>138</v>
      </c>
      <c r="AG10" s="15" t="s">
        <v>139</v>
      </c>
      <c r="AH10" s="15" t="s">
        <v>140</v>
      </c>
      <c r="AI10" s="15" t="s">
        <v>141</v>
      </c>
      <c r="AJ10" s="15" t="s">
        <v>142</v>
      </c>
      <c r="AK10" s="15" t="s">
        <v>143</v>
      </c>
      <c r="AL10" s="15" t="s">
        <v>144</v>
      </c>
      <c r="AM10" s="15" t="s">
        <v>145</v>
      </c>
      <c r="AN10" s="15" t="s">
        <v>146</v>
      </c>
      <c r="AO10" s="15" t="s">
        <v>147</v>
      </c>
      <c r="AP10" s="15" t="s">
        <v>148</v>
      </c>
      <c r="AQ10" s="15" t="s">
        <v>149</v>
      </c>
    </row>
    <row r="11" spans="1:43" s="66" customFormat="1" ht="12" hidden="1" customHeight="1">
      <c r="D11" s="746" t="s">
        <v>110</v>
      </c>
      <c r="E11" s="746" t="s">
        <v>111</v>
      </c>
      <c r="F11" s="746"/>
      <c r="G11" s="746" t="s">
        <v>90</v>
      </c>
      <c r="H11" s="1130" t="s">
        <v>112</v>
      </c>
      <c r="I11" s="1130"/>
      <c r="J11" s="746" t="s">
        <v>92</v>
      </c>
      <c r="K11" s="746" t="s">
        <v>93</v>
      </c>
      <c r="L11" s="1130" t="s">
        <v>113</v>
      </c>
      <c r="M11" s="1130"/>
      <c r="N11" s="746" t="s">
        <v>150</v>
      </c>
      <c r="O11" s="746" t="s">
        <v>151</v>
      </c>
      <c r="P11" s="1130" t="s">
        <v>152</v>
      </c>
      <c r="Q11" s="1130"/>
      <c r="R11" s="746" t="s">
        <v>153</v>
      </c>
      <c r="S11" s="746" t="s">
        <v>152</v>
      </c>
      <c r="T11" s="1130" t="s">
        <v>153</v>
      </c>
      <c r="U11" s="1130"/>
      <c r="V11" s="746" t="s">
        <v>154</v>
      </c>
      <c r="W11" s="746" t="s">
        <v>155</v>
      </c>
      <c r="Y11" s="15"/>
      <c r="Z11" s="15"/>
      <c r="AA11" s="15"/>
      <c r="AB11" s="15"/>
      <c r="AC11" s="15"/>
      <c r="AD11" s="15"/>
      <c r="AE11" s="15"/>
      <c r="AF11" s="15"/>
      <c r="AG11" s="15"/>
      <c r="AH11" s="15"/>
      <c r="AI11" s="15"/>
      <c r="AJ11" s="15"/>
      <c r="AK11" s="15"/>
      <c r="AL11" s="15"/>
      <c r="AM11" s="15"/>
      <c r="AN11" s="15"/>
      <c r="AO11" s="15"/>
      <c r="AP11" s="15"/>
      <c r="AQ11" s="15"/>
    </row>
    <row r="12" spans="1:43" ht="14.25" hidden="1" customHeight="1">
      <c r="C12" s="74"/>
      <c r="D12" s="480">
        <v>0</v>
      </c>
      <c r="E12" s="39"/>
      <c r="F12" s="39"/>
      <c r="G12" s="39"/>
      <c r="H12" s="144"/>
      <c r="I12" s="144"/>
      <c r="J12" s="41"/>
      <c r="K12" s="41"/>
      <c r="L12" s="41"/>
      <c r="M12" s="41"/>
      <c r="N12" s="145"/>
      <c r="O12" s="41"/>
      <c r="P12" s="41"/>
      <c r="Q12" s="41"/>
      <c r="R12" s="146"/>
      <c r="S12" s="41"/>
      <c r="T12" s="41"/>
      <c r="U12" s="41"/>
      <c r="V12" s="146"/>
      <c r="W12" s="41"/>
    </row>
    <row r="13" spans="1:43" s="33" customFormat="1" ht="17.25" hidden="1" customHeight="1">
      <c r="A13" s="191"/>
      <c r="C13" s="74"/>
      <c r="D13" s="1103">
        <v>1</v>
      </c>
      <c r="E13" s="1105" t="s">
        <v>156</v>
      </c>
      <c r="F13" s="1107" t="s">
        <v>57</v>
      </c>
      <c r="G13" s="1105"/>
      <c r="H13" s="1110"/>
      <c r="I13" s="1112"/>
      <c r="J13" s="1114"/>
      <c r="K13" s="1101"/>
      <c r="L13" s="1101"/>
      <c r="M13" s="1101"/>
      <c r="N13" s="1117"/>
      <c r="O13" s="1101"/>
      <c r="P13" s="1101"/>
      <c r="Q13" s="1101"/>
      <c r="R13" s="1120"/>
      <c r="S13" s="1101"/>
      <c r="T13" s="833"/>
      <c r="U13" s="833"/>
      <c r="V13" s="832"/>
      <c r="W13" s="776"/>
      <c r="Y13" s="761"/>
      <c r="Z13" s="761"/>
      <c r="AA13" s="761"/>
      <c r="AB13" s="761"/>
      <c r="AC13" s="761" t="s">
        <v>157</v>
      </c>
      <c r="AD13" s="761" t="s">
        <v>158</v>
      </c>
      <c r="AE13" s="761" t="s">
        <v>159</v>
      </c>
      <c r="AF13" s="761" t="s">
        <v>160</v>
      </c>
      <c r="AG13" s="761" t="s">
        <v>161</v>
      </c>
      <c r="AH13" s="761"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761" t="str">
        <f>IF($G$13=0,"",$G$13)</f>
        <v/>
      </c>
      <c r="AJ13" s="761" t="str">
        <f>IF($J$13=0,"",$J$13)</f>
        <v/>
      </c>
      <c r="AK13" s="761" t="str">
        <f>IF($K$13="нет","без дифференциации",IF($N$13=0,"",$N$13))</f>
        <v/>
      </c>
      <c r="AL13" s="761" t="str">
        <f>IF($O$13="нет","без дифференциации",IF($R$13=0,"",$R$13))</f>
        <v/>
      </c>
      <c r="AM13" s="761" t="str">
        <f>IF($S$13="нет","без дифференциации",IF($V$13=0,"",$V$13))</f>
        <v/>
      </c>
      <c r="AN13" s="761">
        <f>$I$13</f>
        <v>0</v>
      </c>
      <c r="AO13" s="761" t="str">
        <f>$I$13&amp;"."&amp;$M$13</f>
        <v>.</v>
      </c>
      <c r="AP13" s="761" t="str">
        <f>$I$13&amp;"."&amp;$M$13&amp;"."&amp;$Q$13</f>
        <v>..</v>
      </c>
      <c r="AQ13" s="761" t="str">
        <f>$I$13&amp;"."&amp;$M$13&amp;"."&amp;$Q$13&amp;"."&amp;$U$13</f>
        <v>...</v>
      </c>
    </row>
    <row r="14" spans="1:43" s="33" customFormat="1" ht="17.25" hidden="1" customHeight="1">
      <c r="A14" s="191"/>
      <c r="D14" s="1103"/>
      <c r="E14" s="1105"/>
      <c r="F14" s="1108"/>
      <c r="G14" s="1105"/>
      <c r="H14" s="1111"/>
      <c r="I14" s="1113"/>
      <c r="J14" s="1115"/>
      <c r="K14" s="1102"/>
      <c r="L14" s="1102"/>
      <c r="M14" s="1102"/>
      <c r="N14" s="1118"/>
      <c r="O14" s="1102"/>
      <c r="P14" s="1102"/>
      <c r="Q14" s="1102"/>
      <c r="R14" s="1119"/>
      <c r="S14" s="1102"/>
      <c r="T14" s="777"/>
      <c r="U14" s="777"/>
      <c r="V14" s="777"/>
      <c r="W14" s="778"/>
      <c r="Y14" s="15"/>
      <c r="Z14" s="15"/>
      <c r="AA14" s="15"/>
      <c r="AB14" s="15"/>
      <c r="AC14" s="15"/>
      <c r="AD14" s="15"/>
      <c r="AE14" s="15"/>
      <c r="AF14" s="15"/>
      <c r="AG14" s="15"/>
      <c r="AH14" s="15"/>
      <c r="AI14" s="15"/>
      <c r="AJ14" s="15"/>
      <c r="AK14" s="15"/>
      <c r="AL14" s="15"/>
      <c r="AM14" s="15"/>
      <c r="AN14" s="15"/>
      <c r="AO14" s="15"/>
      <c r="AP14" s="15"/>
      <c r="AQ14" s="15"/>
    </row>
    <row r="15" spans="1:43" s="33" customFormat="1" ht="17.25" hidden="1" customHeight="1">
      <c r="A15" s="191"/>
      <c r="C15" s="74"/>
      <c r="D15" s="1103"/>
      <c r="E15" s="1105"/>
      <c r="F15" s="1108"/>
      <c r="G15" s="1105"/>
      <c r="H15" s="1111"/>
      <c r="I15" s="1113"/>
      <c r="J15" s="1116"/>
      <c r="K15" s="1102"/>
      <c r="L15" s="1102"/>
      <c r="M15" s="1102"/>
      <c r="N15" s="1119"/>
      <c r="O15" s="1102"/>
      <c r="P15" s="53"/>
      <c r="Q15" s="777"/>
      <c r="R15" s="777"/>
      <c r="W15" s="778"/>
      <c r="Y15" s="761"/>
      <c r="Z15" s="761"/>
      <c r="AA15" s="761"/>
      <c r="AB15" s="761"/>
      <c r="AC15" s="761"/>
      <c r="AD15" s="761"/>
      <c r="AE15" s="761"/>
      <c r="AF15" s="761"/>
      <c r="AG15" s="761"/>
      <c r="AH15" s="761"/>
      <c r="AI15" s="761"/>
      <c r="AJ15" s="761"/>
      <c r="AK15" s="761"/>
      <c r="AL15" s="761"/>
      <c r="AM15" s="761"/>
      <c r="AN15" s="761"/>
      <c r="AO15" s="761"/>
      <c r="AP15" s="761"/>
      <c r="AQ15" s="761"/>
    </row>
    <row r="16" spans="1:43" s="33" customFormat="1" ht="17.25" hidden="1" customHeight="1">
      <c r="A16" s="191"/>
      <c r="D16" s="1103"/>
      <c r="E16" s="1105"/>
      <c r="F16" s="1108"/>
      <c r="G16" s="1105"/>
      <c r="H16" s="1111"/>
      <c r="I16" s="1113"/>
      <c r="J16" s="1116"/>
      <c r="K16" s="1102"/>
      <c r="L16" s="777"/>
      <c r="M16" s="777"/>
      <c r="N16" s="777"/>
      <c r="O16" s="777"/>
      <c r="P16" s="777"/>
      <c r="Q16" s="777"/>
      <c r="R16" s="777"/>
      <c r="W16" s="778"/>
      <c r="Y16" s="15"/>
      <c r="Z16" s="15"/>
      <c r="AA16" s="15"/>
      <c r="AB16" s="15"/>
      <c r="AC16" s="15"/>
      <c r="AD16" s="15"/>
      <c r="AE16" s="15"/>
      <c r="AF16" s="15"/>
      <c r="AG16" s="15"/>
      <c r="AH16" s="15"/>
      <c r="AI16" s="15"/>
      <c r="AJ16" s="15"/>
      <c r="AK16" s="15"/>
      <c r="AL16" s="15"/>
      <c r="AM16" s="15"/>
      <c r="AN16" s="15"/>
      <c r="AO16" s="15"/>
      <c r="AP16" s="15"/>
      <c r="AQ16" s="15"/>
    </row>
    <row r="17" spans="1:43" s="33" customFormat="1" ht="17.25" hidden="1" customHeight="1">
      <c r="A17" s="191"/>
      <c r="D17" s="1104"/>
      <c r="E17" s="1106"/>
      <c r="F17" s="1109"/>
      <c r="G17" s="1106"/>
      <c r="H17" s="779"/>
      <c r="I17" s="780"/>
      <c r="J17" s="780"/>
      <c r="K17" s="780"/>
      <c r="L17" s="780"/>
      <c r="M17" s="780"/>
      <c r="N17" s="780"/>
      <c r="O17" s="780"/>
      <c r="P17" s="780"/>
      <c r="Q17" s="780"/>
      <c r="R17" s="780"/>
      <c r="S17" s="781"/>
      <c r="T17" s="781"/>
      <c r="U17" s="781"/>
      <c r="V17" s="781"/>
      <c r="W17" s="782"/>
      <c r="Y17" s="15"/>
      <c r="Z17" s="15"/>
      <c r="AA17" s="15"/>
      <c r="AB17" s="15"/>
      <c r="AC17" s="15"/>
      <c r="AD17" s="15"/>
      <c r="AE17" s="15"/>
      <c r="AF17" s="15"/>
      <c r="AG17" s="15"/>
      <c r="AH17" s="15"/>
      <c r="AI17" s="15"/>
      <c r="AJ17" s="15"/>
      <c r="AK17" s="15"/>
      <c r="AL17" s="15"/>
      <c r="AM17" s="15"/>
      <c r="AN17" s="15"/>
      <c r="AO17" s="15"/>
      <c r="AP17" s="15"/>
      <c r="AQ17" s="15"/>
    </row>
    <row r="18" spans="1:43" s="33" customFormat="1" ht="17.25" hidden="1" customHeight="1">
      <c r="A18" s="191"/>
      <c r="C18" s="74"/>
      <c r="D18" s="1103">
        <v>2</v>
      </c>
      <c r="E18" s="1105" t="s">
        <v>162</v>
      </c>
      <c r="F18" s="1107" t="s">
        <v>57</v>
      </c>
      <c r="G18" s="1105"/>
      <c r="H18" s="1110"/>
      <c r="I18" s="1112"/>
      <c r="J18" s="1114"/>
      <c r="K18" s="1101"/>
      <c r="L18" s="1101"/>
      <c r="M18" s="1101"/>
      <c r="N18" s="1117"/>
      <c r="O18" s="1101"/>
      <c r="P18" s="1101"/>
      <c r="Q18" s="1101"/>
      <c r="R18" s="1120"/>
      <c r="S18" s="1101"/>
      <c r="T18" s="833"/>
      <c r="U18" s="833"/>
      <c r="V18" s="832"/>
      <c r="W18" s="776"/>
      <c r="X18" s="761"/>
      <c r="Y18" s="761"/>
      <c r="Z18" s="761"/>
      <c r="AA18" s="761"/>
      <c r="AB18" s="761"/>
      <c r="AC18" s="761" t="s">
        <v>163</v>
      </c>
      <c r="AD18" s="761" t="s">
        <v>164</v>
      </c>
      <c r="AE18" s="761" t="s">
        <v>165</v>
      </c>
      <c r="AF18" s="761" t="s">
        <v>166</v>
      </c>
      <c r="AG18" s="761" t="s">
        <v>167</v>
      </c>
      <c r="AH18" s="761" t="str">
        <f>IF($E$18=0,"",$E$18)</f>
        <v>Тарифы на тепловую энергию (мощность), поставляемую теплоснабжающими организациями потребителям, другим теплоснабжающим организациям</v>
      </c>
      <c r="AI18" s="761" t="str">
        <f>IF($G$18=0,"",$G$18)</f>
        <v/>
      </c>
      <c r="AJ18" s="761" t="str">
        <f>IF($J$18=0,"",$J$18)</f>
        <v/>
      </c>
      <c r="AK18" s="761" t="str">
        <f>IF($K$18="нет","без дифференциации",IF($N$18=0,"",$N$18))</f>
        <v/>
      </c>
      <c r="AL18" s="761" t="str">
        <f>IF($O$18="нет","без дифференциации",IF($R$18=0,"",$R$18))</f>
        <v/>
      </c>
      <c r="AM18" s="761" t="str">
        <f>IF($S$18="нет","без дифференциации",IF($V$18=0,"",$V$18))</f>
        <v/>
      </c>
      <c r="AN18" s="1009">
        <f>$I$18</f>
        <v>0</v>
      </c>
      <c r="AO18" s="761" t="str">
        <f>$I$18&amp;"."&amp;$M$18</f>
        <v>.</v>
      </c>
      <c r="AP18" s="15" t="str">
        <f>$I$18&amp;"."&amp;$M$18&amp;"."&amp;$Q$18</f>
        <v>..</v>
      </c>
      <c r="AQ18" s="15" t="str">
        <f>$I$18&amp;"."&amp;$M$18&amp;"."&amp;$Q$18&amp;"."&amp;$U$18</f>
        <v>...</v>
      </c>
    </row>
    <row r="19" spans="1:43" s="33" customFormat="1" ht="17.25" hidden="1" customHeight="1">
      <c r="A19" s="191"/>
      <c r="D19" s="1103"/>
      <c r="E19" s="1105"/>
      <c r="F19" s="1108"/>
      <c r="G19" s="1105"/>
      <c r="H19" s="1111"/>
      <c r="I19" s="1113"/>
      <c r="J19" s="1115"/>
      <c r="K19" s="1102"/>
      <c r="L19" s="1102"/>
      <c r="M19" s="1102"/>
      <c r="N19" s="1118"/>
      <c r="O19" s="1102"/>
      <c r="P19" s="1102"/>
      <c r="Q19" s="1102"/>
      <c r="R19" s="1119"/>
      <c r="S19" s="1102"/>
      <c r="T19" s="777"/>
      <c r="U19" s="777"/>
      <c r="V19" s="777"/>
      <c r="W19" s="778"/>
      <c r="X19" s="15"/>
      <c r="Y19" s="15"/>
      <c r="Z19" s="15"/>
      <c r="AA19" s="15"/>
      <c r="AB19" s="15"/>
      <c r="AC19" s="15"/>
      <c r="AD19" s="15"/>
      <c r="AE19" s="15"/>
      <c r="AF19" s="15"/>
      <c r="AG19" s="15"/>
      <c r="AH19" s="15"/>
      <c r="AI19" s="15"/>
      <c r="AJ19" s="15"/>
      <c r="AK19" s="15"/>
      <c r="AL19" s="15"/>
      <c r="AM19" s="15"/>
      <c r="AN19" s="15"/>
      <c r="AO19" s="15"/>
      <c r="AP19" s="15"/>
      <c r="AQ19" s="15"/>
    </row>
    <row r="20" spans="1:43" s="33" customFormat="1" ht="17.25" hidden="1" customHeight="1">
      <c r="A20" s="191"/>
      <c r="D20" s="1104"/>
      <c r="E20" s="1106"/>
      <c r="F20" s="1108"/>
      <c r="G20" s="1106"/>
      <c r="H20" s="1111"/>
      <c r="I20" s="1113"/>
      <c r="J20" s="1116"/>
      <c r="K20" s="1102"/>
      <c r="L20" s="1102"/>
      <c r="M20" s="1102"/>
      <c r="N20" s="1119"/>
      <c r="O20" s="1102"/>
      <c r="P20" s="53"/>
      <c r="Q20" s="777"/>
      <c r="R20" s="777"/>
      <c r="W20" s="778"/>
      <c r="X20" s="15"/>
      <c r="Y20" s="15"/>
      <c r="Z20" s="15"/>
      <c r="AA20" s="15"/>
      <c r="AB20" s="15"/>
      <c r="AC20" s="15"/>
      <c r="AD20" s="15"/>
      <c r="AE20" s="15"/>
      <c r="AF20" s="15"/>
      <c r="AG20" s="15"/>
      <c r="AH20" s="15"/>
      <c r="AI20" s="15"/>
      <c r="AJ20" s="15"/>
      <c r="AK20" s="15"/>
      <c r="AL20" s="15"/>
      <c r="AM20" s="15"/>
      <c r="AN20" s="15"/>
      <c r="AO20" s="15"/>
      <c r="AP20" s="15"/>
      <c r="AQ20" s="15"/>
    </row>
    <row r="21" spans="1:43" s="33" customFormat="1" ht="17.25" hidden="1" customHeight="1">
      <c r="A21" s="191"/>
      <c r="D21" s="1104"/>
      <c r="E21" s="1106"/>
      <c r="F21" s="1108"/>
      <c r="G21" s="1106"/>
      <c r="H21" s="1111"/>
      <c r="I21" s="1113"/>
      <c r="J21" s="1116"/>
      <c r="K21" s="1102"/>
      <c r="L21" s="777"/>
      <c r="M21" s="777"/>
      <c r="N21" s="777"/>
      <c r="O21" s="777"/>
      <c r="P21" s="777"/>
      <c r="Q21" s="777"/>
      <c r="R21" s="777"/>
      <c r="W21" s="778"/>
      <c r="X21" s="15"/>
      <c r="Y21" s="15"/>
      <c r="Z21" s="15"/>
      <c r="AA21" s="15"/>
      <c r="AB21" s="15"/>
      <c r="AC21" s="15"/>
      <c r="AD21" s="15"/>
      <c r="AE21" s="15"/>
      <c r="AF21" s="15"/>
      <c r="AG21" s="15"/>
      <c r="AH21" s="15"/>
      <c r="AI21" s="15"/>
      <c r="AJ21" s="15"/>
      <c r="AK21" s="15"/>
      <c r="AL21" s="15"/>
      <c r="AM21" s="15"/>
      <c r="AN21" s="15"/>
      <c r="AO21" s="15"/>
      <c r="AP21" s="15"/>
      <c r="AQ21" s="15"/>
    </row>
    <row r="22" spans="1:43" s="33" customFormat="1" ht="17.25" hidden="1" customHeight="1">
      <c r="A22" s="191"/>
      <c r="D22" s="1104"/>
      <c r="E22" s="1106"/>
      <c r="F22" s="1109"/>
      <c r="G22" s="1106"/>
      <c r="H22" s="779"/>
      <c r="I22" s="780"/>
      <c r="J22" s="780"/>
      <c r="K22" s="780"/>
      <c r="L22" s="780"/>
      <c r="M22" s="780"/>
      <c r="N22" s="780"/>
      <c r="O22" s="780"/>
      <c r="P22" s="780"/>
      <c r="Q22" s="780"/>
      <c r="R22" s="780"/>
      <c r="S22" s="781"/>
      <c r="T22" s="781"/>
      <c r="U22" s="781"/>
      <c r="V22" s="781"/>
      <c r="W22" s="782"/>
      <c r="X22" s="15"/>
      <c r="Y22" s="15"/>
      <c r="Z22" s="15"/>
      <c r="AA22" s="15"/>
      <c r="AB22" s="15"/>
      <c r="AC22" s="15"/>
      <c r="AD22" s="15"/>
      <c r="AE22" s="15"/>
      <c r="AF22" s="15"/>
      <c r="AG22" s="15"/>
      <c r="AH22" s="15"/>
      <c r="AI22" s="15"/>
      <c r="AJ22" s="15"/>
      <c r="AK22" s="15"/>
      <c r="AL22" s="15"/>
      <c r="AM22" s="15"/>
      <c r="AN22" s="15"/>
      <c r="AO22" s="15"/>
      <c r="AP22" s="15"/>
      <c r="AQ22" s="15"/>
    </row>
    <row r="23" spans="1:43" s="33" customFormat="1" ht="17.25" hidden="1" customHeight="1">
      <c r="A23" s="191"/>
      <c r="C23" s="74"/>
      <c r="D23" s="1103">
        <v>3</v>
      </c>
      <c r="E23" s="1105" t="s">
        <v>168</v>
      </c>
      <c r="F23" s="1107" t="s">
        <v>57</v>
      </c>
      <c r="G23" s="1105"/>
      <c r="H23" s="1110"/>
      <c r="I23" s="1112"/>
      <c r="J23" s="1114"/>
      <c r="K23" s="1101"/>
      <c r="L23" s="1101"/>
      <c r="M23" s="1101"/>
      <c r="N23" s="1117"/>
      <c r="O23" s="1101"/>
      <c r="P23" s="1101"/>
      <c r="Q23" s="1101"/>
      <c r="R23" s="1120"/>
      <c r="S23" s="1101"/>
      <c r="T23" s="833"/>
      <c r="U23" s="833"/>
      <c r="V23" s="832"/>
      <c r="W23" s="776"/>
      <c r="X23" s="761"/>
      <c r="Y23" s="761"/>
      <c r="Z23" s="761"/>
      <c r="AA23" s="761"/>
      <c r="AB23" s="761"/>
      <c r="AC23" s="761" t="s">
        <v>169</v>
      </c>
      <c r="AD23" s="761" t="s">
        <v>170</v>
      </c>
      <c r="AE23" s="761" t="s">
        <v>171</v>
      </c>
      <c r="AF23" s="761" t="s">
        <v>172</v>
      </c>
      <c r="AG23" s="761" t="s">
        <v>173</v>
      </c>
      <c r="AH23" s="761" t="str">
        <f>IF($E$23=0,"",$E$23)</f>
        <v>Тарифы на теплоноситель, поставляемый теплоснабжающими организациями потребителям, другим теплоснабжающим организациям</v>
      </c>
      <c r="AI23" s="761" t="str">
        <f>IF($G$23=0,"",$G$23)</f>
        <v/>
      </c>
      <c r="AJ23" s="761" t="str">
        <f>IF($J$23=0,"",$J$23)</f>
        <v/>
      </c>
      <c r="AK23" s="761" t="str">
        <f>IF($K$23="нет","без дифференциации",IF($N$23=0,"",$N$23))</f>
        <v/>
      </c>
      <c r="AL23" s="761" t="str">
        <f>IF($O$23="нет","без дифференциации",IF($R$23=0,"",$R$23))</f>
        <v/>
      </c>
      <c r="AM23" s="761" t="str">
        <f>IF($S$23="нет","без дифференциации",IF($V$23=0,"",$V$23))</f>
        <v/>
      </c>
      <c r="AN23" s="1009">
        <f>$I$23</f>
        <v>0</v>
      </c>
      <c r="AO23" s="761" t="str">
        <f>$I$23&amp;"."&amp;$M$23</f>
        <v>.</v>
      </c>
      <c r="AP23" s="15" t="str">
        <f>$I$23&amp;"."&amp;$M$23&amp;"."&amp;$Q$23</f>
        <v>..</v>
      </c>
      <c r="AQ23" s="15" t="str">
        <f>$I$23&amp;"."&amp;$M$23&amp;"."&amp;$Q$23&amp;"."&amp;$U$23</f>
        <v>...</v>
      </c>
    </row>
    <row r="24" spans="1:43" s="33" customFormat="1" ht="17.25" hidden="1" customHeight="1">
      <c r="A24" s="191"/>
      <c r="D24" s="1103"/>
      <c r="E24" s="1105"/>
      <c r="F24" s="1108"/>
      <c r="G24" s="1105"/>
      <c r="H24" s="1111"/>
      <c r="I24" s="1113"/>
      <c r="J24" s="1115"/>
      <c r="K24" s="1102"/>
      <c r="L24" s="1102"/>
      <c r="M24" s="1102"/>
      <c r="N24" s="1118"/>
      <c r="O24" s="1102"/>
      <c r="P24" s="1102"/>
      <c r="Q24" s="1102"/>
      <c r="R24" s="1119"/>
      <c r="S24" s="1102"/>
      <c r="T24" s="777"/>
      <c r="U24" s="777"/>
      <c r="V24" s="777"/>
      <c r="W24" s="778"/>
      <c r="X24" s="15"/>
      <c r="Y24" s="15"/>
      <c r="Z24" s="15"/>
      <c r="AA24" s="15"/>
      <c r="AB24" s="15"/>
      <c r="AC24" s="15"/>
      <c r="AD24" s="15"/>
      <c r="AE24" s="15"/>
      <c r="AF24" s="15"/>
      <c r="AG24" s="15"/>
      <c r="AH24" s="15"/>
      <c r="AI24" s="15"/>
      <c r="AJ24" s="15"/>
      <c r="AK24" s="15"/>
      <c r="AL24" s="15"/>
      <c r="AM24" s="15"/>
      <c r="AN24" s="15"/>
      <c r="AO24" s="15"/>
      <c r="AP24" s="15"/>
      <c r="AQ24" s="15"/>
    </row>
    <row r="25" spans="1:43" s="33" customFormat="1" ht="17.25" hidden="1" customHeight="1">
      <c r="A25" s="191"/>
      <c r="D25" s="1104"/>
      <c r="E25" s="1106"/>
      <c r="F25" s="1108"/>
      <c r="G25" s="1106"/>
      <c r="H25" s="1111"/>
      <c r="I25" s="1113"/>
      <c r="J25" s="1116"/>
      <c r="K25" s="1102"/>
      <c r="L25" s="1102"/>
      <c r="M25" s="1102"/>
      <c r="N25" s="1119"/>
      <c r="O25" s="1102"/>
      <c r="P25" s="53"/>
      <c r="Q25" s="777"/>
      <c r="R25" s="777"/>
      <c r="W25" s="778"/>
      <c r="X25" s="15"/>
      <c r="Y25" s="15"/>
      <c r="Z25" s="15"/>
      <c r="AA25" s="15"/>
      <c r="AB25" s="15"/>
      <c r="AC25" s="15"/>
      <c r="AD25" s="15"/>
      <c r="AE25" s="15"/>
      <c r="AF25" s="15"/>
      <c r="AG25" s="15"/>
      <c r="AH25" s="15"/>
      <c r="AI25" s="15"/>
      <c r="AJ25" s="15"/>
      <c r="AK25" s="15"/>
      <c r="AL25" s="15"/>
      <c r="AM25" s="15"/>
      <c r="AN25" s="15"/>
      <c r="AO25" s="15"/>
      <c r="AP25" s="15"/>
      <c r="AQ25" s="15"/>
    </row>
    <row r="26" spans="1:43" s="33" customFormat="1" ht="17.25" hidden="1" customHeight="1">
      <c r="A26" s="191"/>
      <c r="D26" s="1104"/>
      <c r="E26" s="1106"/>
      <c r="F26" s="1108"/>
      <c r="G26" s="1106"/>
      <c r="H26" s="1111"/>
      <c r="I26" s="1113"/>
      <c r="J26" s="1116"/>
      <c r="K26" s="1102"/>
      <c r="L26" s="777"/>
      <c r="M26" s="777"/>
      <c r="N26" s="777"/>
      <c r="O26" s="777"/>
      <c r="P26" s="777"/>
      <c r="Q26" s="777"/>
      <c r="R26" s="777"/>
      <c r="W26" s="778"/>
      <c r="X26" s="15"/>
      <c r="Y26" s="15"/>
      <c r="Z26" s="15"/>
      <c r="AA26" s="15"/>
      <c r="AB26" s="15"/>
      <c r="AC26" s="15"/>
      <c r="AD26" s="15"/>
      <c r="AE26" s="15"/>
      <c r="AF26" s="15"/>
      <c r="AG26" s="15"/>
      <c r="AH26" s="15"/>
      <c r="AI26" s="15"/>
      <c r="AJ26" s="15"/>
      <c r="AK26" s="15"/>
      <c r="AL26" s="15"/>
      <c r="AM26" s="15"/>
      <c r="AN26" s="15"/>
      <c r="AO26" s="15"/>
      <c r="AP26" s="15"/>
      <c r="AQ26" s="15"/>
    </row>
    <row r="27" spans="1:43" s="33" customFormat="1" ht="17.25" hidden="1" customHeight="1">
      <c r="A27" s="191"/>
      <c r="D27" s="1104"/>
      <c r="E27" s="1106"/>
      <c r="F27" s="1109"/>
      <c r="G27" s="1106"/>
      <c r="H27" s="779"/>
      <c r="I27" s="780"/>
      <c r="J27" s="780"/>
      <c r="K27" s="780"/>
      <c r="L27" s="780"/>
      <c r="M27" s="780"/>
      <c r="N27" s="780"/>
      <c r="O27" s="780"/>
      <c r="P27" s="780"/>
      <c r="Q27" s="780"/>
      <c r="R27" s="780"/>
      <c r="S27" s="781"/>
      <c r="T27" s="781"/>
      <c r="U27" s="781"/>
      <c r="V27" s="781"/>
      <c r="W27" s="782"/>
      <c r="X27" s="15"/>
      <c r="Y27" s="15"/>
      <c r="Z27" s="15"/>
      <c r="AA27" s="15"/>
      <c r="AB27" s="15"/>
      <c r="AC27" s="15"/>
      <c r="AD27" s="15"/>
      <c r="AE27" s="15"/>
      <c r="AF27" s="15"/>
      <c r="AG27" s="15"/>
      <c r="AH27" s="15"/>
      <c r="AI27" s="15"/>
      <c r="AJ27" s="15"/>
      <c r="AK27" s="15"/>
      <c r="AL27" s="15"/>
      <c r="AM27" s="15"/>
      <c r="AN27" s="15"/>
      <c r="AO27" s="15"/>
      <c r="AP27" s="15"/>
      <c r="AQ27" s="15"/>
    </row>
    <row r="28" spans="1:43" s="33" customFormat="1" ht="17.25" hidden="1" customHeight="1">
      <c r="A28" s="191"/>
      <c r="C28" s="74"/>
      <c r="D28" s="1103">
        <v>4</v>
      </c>
      <c r="E28" s="1105" t="s">
        <v>174</v>
      </c>
      <c r="F28" s="1107" t="s">
        <v>57</v>
      </c>
      <c r="G28" s="1105"/>
      <c r="H28" s="1110"/>
      <c r="I28" s="1112"/>
      <c r="J28" s="1114"/>
      <c r="K28" s="1101"/>
      <c r="L28" s="1101"/>
      <c r="M28" s="1101"/>
      <c r="N28" s="1117"/>
      <c r="O28" s="1101"/>
      <c r="P28" s="1101"/>
      <c r="Q28" s="1101"/>
      <c r="R28" s="1120"/>
      <c r="S28" s="1101"/>
      <c r="T28" s="833"/>
      <c r="U28" s="833"/>
      <c r="V28" s="832"/>
      <c r="W28" s="776"/>
      <c r="X28" s="761"/>
      <c r="Y28" s="761"/>
      <c r="Z28" s="761"/>
      <c r="AA28" s="761"/>
      <c r="AB28" s="761"/>
      <c r="AC28" s="761" t="s">
        <v>175</v>
      </c>
      <c r="AD28" s="761" t="s">
        <v>176</v>
      </c>
      <c r="AE28" s="761" t="s">
        <v>177</v>
      </c>
      <c r="AF28" s="761" t="s">
        <v>178</v>
      </c>
      <c r="AG28" s="761" t="s">
        <v>179</v>
      </c>
      <c r="AH28" s="761"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761" t="str">
        <f>IF($G$28=0,"",$G$28)</f>
        <v/>
      </c>
      <c r="AJ28" s="761" t="str">
        <f>IF($J$28=0,"",$J$28)</f>
        <v/>
      </c>
      <c r="AK28" s="761" t="str">
        <f>IF($K$28="нет","без дифференциации",IF($N$28=0,"",$N$28))</f>
        <v/>
      </c>
      <c r="AL28" s="761" t="str">
        <f>IF($O$28="нет","без дифференциации",IF($R$28=0,"",$R$28))</f>
        <v/>
      </c>
      <c r="AM28" s="761" t="str">
        <f>IF($S$28="нет","без дифференциации",IF($V$28=0,"",$V$28))</f>
        <v/>
      </c>
      <c r="AN28" s="1009">
        <f>$I$28</f>
        <v>0</v>
      </c>
      <c r="AO28" s="761" t="str">
        <f>$I$28&amp;"."&amp;$M$28</f>
        <v>.</v>
      </c>
      <c r="AP28" s="15" t="str">
        <f>$I$28&amp;"."&amp;$M$28&amp;"."&amp;$Q$28</f>
        <v>..</v>
      </c>
      <c r="AQ28" s="15" t="str">
        <f>$I$28&amp;"."&amp;$M$28&amp;"."&amp;$Q$28&amp;"."&amp;$U$28</f>
        <v>...</v>
      </c>
    </row>
    <row r="29" spans="1:43" s="33" customFormat="1" ht="17.25" hidden="1" customHeight="1">
      <c r="A29" s="191"/>
      <c r="D29" s="1103"/>
      <c r="E29" s="1105"/>
      <c r="F29" s="1108"/>
      <c r="G29" s="1105"/>
      <c r="H29" s="1111"/>
      <c r="I29" s="1113"/>
      <c r="J29" s="1115"/>
      <c r="K29" s="1102"/>
      <c r="L29" s="1102"/>
      <c r="M29" s="1102"/>
      <c r="N29" s="1118"/>
      <c r="O29" s="1102"/>
      <c r="P29" s="1102"/>
      <c r="Q29" s="1102"/>
      <c r="R29" s="1119"/>
      <c r="S29" s="1102"/>
      <c r="T29" s="777"/>
      <c r="U29" s="777"/>
      <c r="V29" s="777"/>
      <c r="W29" s="778"/>
      <c r="X29" s="15"/>
      <c r="Y29" s="15"/>
      <c r="Z29" s="15"/>
      <c r="AA29" s="15"/>
      <c r="AB29" s="15"/>
      <c r="AC29" s="15"/>
      <c r="AD29" s="15"/>
      <c r="AE29" s="15"/>
      <c r="AF29" s="15"/>
      <c r="AG29" s="15"/>
      <c r="AH29" s="15"/>
      <c r="AI29" s="15"/>
      <c r="AJ29" s="15"/>
      <c r="AK29" s="15"/>
      <c r="AL29" s="15"/>
      <c r="AM29" s="15"/>
      <c r="AN29" s="15"/>
      <c r="AO29" s="15"/>
      <c r="AP29" s="15"/>
      <c r="AQ29" s="15"/>
    </row>
    <row r="30" spans="1:43" s="33" customFormat="1" ht="17.25" hidden="1" customHeight="1">
      <c r="A30" s="191"/>
      <c r="D30" s="1104"/>
      <c r="E30" s="1106"/>
      <c r="F30" s="1108"/>
      <c r="G30" s="1106"/>
      <c r="H30" s="1111"/>
      <c r="I30" s="1113"/>
      <c r="J30" s="1116"/>
      <c r="K30" s="1102"/>
      <c r="L30" s="1102"/>
      <c r="M30" s="1102"/>
      <c r="N30" s="1119"/>
      <c r="O30" s="1102"/>
      <c r="P30" s="53"/>
      <c r="Q30" s="777"/>
      <c r="R30" s="777"/>
      <c r="W30" s="778"/>
      <c r="X30" s="15"/>
      <c r="Y30" s="15"/>
      <c r="Z30" s="15"/>
      <c r="AA30" s="15"/>
      <c r="AB30" s="15"/>
      <c r="AC30" s="15"/>
      <c r="AD30" s="15"/>
      <c r="AE30" s="15"/>
      <c r="AF30" s="15"/>
      <c r="AG30" s="15"/>
      <c r="AH30" s="15"/>
      <c r="AI30" s="15"/>
      <c r="AJ30" s="15"/>
      <c r="AK30" s="15"/>
      <c r="AL30" s="15"/>
      <c r="AM30" s="15"/>
      <c r="AN30" s="15"/>
      <c r="AO30" s="15"/>
      <c r="AP30" s="15"/>
      <c r="AQ30" s="15"/>
    </row>
    <row r="31" spans="1:43" s="33" customFormat="1" ht="17.25" hidden="1" customHeight="1">
      <c r="A31" s="191"/>
      <c r="D31" s="1104"/>
      <c r="E31" s="1106"/>
      <c r="F31" s="1108"/>
      <c r="G31" s="1106"/>
      <c r="H31" s="1111"/>
      <c r="I31" s="1113"/>
      <c r="J31" s="1116"/>
      <c r="K31" s="1102"/>
      <c r="L31" s="777"/>
      <c r="M31" s="777"/>
      <c r="N31" s="777"/>
      <c r="O31" s="777"/>
      <c r="P31" s="777"/>
      <c r="Q31" s="777"/>
      <c r="R31" s="777"/>
      <c r="W31" s="778"/>
      <c r="X31" s="15"/>
      <c r="Y31" s="15"/>
      <c r="Z31" s="15"/>
      <c r="AA31" s="15"/>
      <c r="AB31" s="15"/>
      <c r="AC31" s="15"/>
      <c r="AD31" s="15"/>
      <c r="AE31" s="15"/>
      <c r="AF31" s="15"/>
      <c r="AG31" s="15"/>
      <c r="AH31" s="15"/>
      <c r="AI31" s="15"/>
      <c r="AJ31" s="15"/>
      <c r="AK31" s="15"/>
      <c r="AL31" s="15"/>
      <c r="AM31" s="15"/>
      <c r="AN31" s="15"/>
      <c r="AO31" s="15"/>
      <c r="AP31" s="15"/>
      <c r="AQ31" s="15"/>
    </row>
    <row r="32" spans="1:43" s="33" customFormat="1" ht="17.25" hidden="1" customHeight="1">
      <c r="A32" s="191"/>
      <c r="D32" s="1104"/>
      <c r="E32" s="1106"/>
      <c r="F32" s="1109"/>
      <c r="G32" s="1106"/>
      <c r="H32" s="779"/>
      <c r="I32" s="780"/>
      <c r="J32" s="780"/>
      <c r="K32" s="780"/>
      <c r="L32" s="780"/>
      <c r="M32" s="780"/>
      <c r="N32" s="780"/>
      <c r="O32" s="780"/>
      <c r="P32" s="780"/>
      <c r="Q32" s="780"/>
      <c r="R32" s="780"/>
      <c r="S32" s="781"/>
      <c r="T32" s="781"/>
      <c r="U32" s="781"/>
      <c r="V32" s="781"/>
      <c r="W32" s="782"/>
      <c r="X32" s="15"/>
      <c r="Y32" s="15"/>
      <c r="Z32" s="15"/>
      <c r="AA32" s="15"/>
      <c r="AB32" s="15"/>
      <c r="AC32" s="15"/>
      <c r="AD32" s="15"/>
      <c r="AE32" s="15"/>
      <c r="AF32" s="15"/>
      <c r="AG32" s="15"/>
      <c r="AH32" s="15"/>
      <c r="AI32" s="15"/>
      <c r="AJ32" s="15"/>
      <c r="AK32" s="15"/>
      <c r="AL32" s="15"/>
      <c r="AM32" s="15"/>
      <c r="AN32" s="15"/>
      <c r="AO32" s="15"/>
      <c r="AP32" s="15"/>
      <c r="AQ32" s="15"/>
    </row>
    <row r="33" spans="1:43" s="33" customFormat="1" ht="17.25" hidden="1" customHeight="1">
      <c r="A33" s="191"/>
      <c r="C33" s="74"/>
      <c r="D33" s="1103">
        <v>5</v>
      </c>
      <c r="E33" s="1105" t="s">
        <v>180</v>
      </c>
      <c r="F33" s="1107" t="s">
        <v>57</v>
      </c>
      <c r="G33" s="1105"/>
      <c r="H33" s="1110"/>
      <c r="I33" s="1112"/>
      <c r="J33" s="1114"/>
      <c r="K33" s="1101"/>
      <c r="L33" s="1101"/>
      <c r="M33" s="1101"/>
      <c r="N33" s="1117"/>
      <c r="O33" s="1101"/>
      <c r="P33" s="1101"/>
      <c r="Q33" s="1101"/>
      <c r="R33" s="1120"/>
      <c r="S33" s="1101"/>
      <c r="T33" s="833"/>
      <c r="U33" s="833"/>
      <c r="V33" s="832"/>
      <c r="W33" s="776"/>
      <c r="X33" s="761"/>
      <c r="Y33" s="761"/>
      <c r="Z33" s="761"/>
      <c r="AA33" s="761"/>
      <c r="AB33" s="761"/>
      <c r="AC33" s="761" t="s">
        <v>181</v>
      </c>
      <c r="AD33" s="761" t="s">
        <v>182</v>
      </c>
      <c r="AE33" s="761" t="s">
        <v>183</v>
      </c>
      <c r="AF33" s="761" t="s">
        <v>184</v>
      </c>
      <c r="AG33" s="761" t="s">
        <v>185</v>
      </c>
      <c r="AH33" s="761" t="str">
        <f>IF($E$33=0,"",$E$33)</f>
        <v>Тарифы на услуги по передаче тепловой энергии</v>
      </c>
      <c r="AI33" s="761" t="str">
        <f>IF($G$33=0,"",$G$33)</f>
        <v/>
      </c>
      <c r="AJ33" s="761" t="str">
        <f>IF($J$33=0,"",$J$33)</f>
        <v/>
      </c>
      <c r="AK33" s="761" t="str">
        <f>IF($K$33="нет","без дифференциации",IF($N$33=0,"",$N$33))</f>
        <v/>
      </c>
      <c r="AL33" s="761" t="str">
        <f>IF($O$33="нет","без дифференциации",IF($R$33=0,"",$R$33))</f>
        <v/>
      </c>
      <c r="AM33" s="761" t="str">
        <f>IF($S$33="нет","без дифференциации",IF($V$33=0,"",$V$33))</f>
        <v/>
      </c>
      <c r="AN33" s="1009">
        <f>$I$33</f>
        <v>0</v>
      </c>
      <c r="AO33" s="761" t="str">
        <f>$I$33&amp;"."&amp;$M$33</f>
        <v>.</v>
      </c>
      <c r="AP33" s="15" t="str">
        <f>$I$33&amp;"."&amp;$M$33&amp;"."&amp;$Q$33</f>
        <v>..</v>
      </c>
      <c r="AQ33" s="15" t="str">
        <f>$I$33&amp;"."&amp;$M$33&amp;"."&amp;$Q$33&amp;"."&amp;$U$33</f>
        <v>...</v>
      </c>
    </row>
    <row r="34" spans="1:43" s="33" customFormat="1" ht="17.25" hidden="1" customHeight="1">
      <c r="A34" s="191"/>
      <c r="D34" s="1103"/>
      <c r="E34" s="1105"/>
      <c r="F34" s="1108"/>
      <c r="G34" s="1105"/>
      <c r="H34" s="1111"/>
      <c r="I34" s="1113"/>
      <c r="J34" s="1115"/>
      <c r="K34" s="1102"/>
      <c r="L34" s="1102"/>
      <c r="M34" s="1102"/>
      <c r="N34" s="1118"/>
      <c r="O34" s="1102"/>
      <c r="P34" s="1102"/>
      <c r="Q34" s="1102"/>
      <c r="R34" s="1119"/>
      <c r="S34" s="1102"/>
      <c r="T34" s="777"/>
      <c r="U34" s="777"/>
      <c r="V34" s="777"/>
      <c r="W34" s="778"/>
      <c r="X34" s="15"/>
      <c r="Y34" s="15"/>
      <c r="Z34" s="15"/>
      <c r="AA34" s="15"/>
      <c r="AB34" s="15"/>
      <c r="AC34" s="15"/>
      <c r="AD34" s="15"/>
      <c r="AE34" s="15"/>
      <c r="AF34" s="15"/>
      <c r="AG34" s="15"/>
      <c r="AH34" s="15"/>
      <c r="AI34" s="15"/>
      <c r="AJ34" s="15"/>
      <c r="AK34" s="15"/>
      <c r="AL34" s="15"/>
      <c r="AM34" s="15"/>
      <c r="AN34" s="15"/>
      <c r="AO34" s="15"/>
      <c r="AP34" s="15"/>
      <c r="AQ34" s="15"/>
    </row>
    <row r="35" spans="1:43" s="33" customFormat="1" ht="17.25" hidden="1" customHeight="1">
      <c r="A35" s="191"/>
      <c r="D35" s="1104"/>
      <c r="E35" s="1106"/>
      <c r="F35" s="1108"/>
      <c r="G35" s="1106"/>
      <c r="H35" s="1111"/>
      <c r="I35" s="1113"/>
      <c r="J35" s="1116"/>
      <c r="K35" s="1102"/>
      <c r="L35" s="1102"/>
      <c r="M35" s="1102"/>
      <c r="N35" s="1119"/>
      <c r="O35" s="1102"/>
      <c r="P35" s="53"/>
      <c r="Q35" s="777"/>
      <c r="R35" s="777"/>
      <c r="W35" s="778"/>
      <c r="X35" s="15"/>
      <c r="Y35" s="15"/>
      <c r="Z35" s="15"/>
      <c r="AA35" s="15"/>
      <c r="AB35" s="15"/>
      <c r="AC35" s="15"/>
      <c r="AD35" s="15"/>
      <c r="AE35" s="15"/>
      <c r="AF35" s="15"/>
      <c r="AG35" s="15"/>
      <c r="AH35" s="15"/>
      <c r="AI35" s="15"/>
      <c r="AJ35" s="15"/>
      <c r="AK35" s="15"/>
      <c r="AL35" s="15"/>
      <c r="AM35" s="15"/>
      <c r="AN35" s="15"/>
      <c r="AO35" s="15"/>
      <c r="AP35" s="15"/>
      <c r="AQ35" s="15"/>
    </row>
    <row r="36" spans="1:43" s="33" customFormat="1" ht="17.25" hidden="1" customHeight="1">
      <c r="A36" s="191"/>
      <c r="D36" s="1104"/>
      <c r="E36" s="1106"/>
      <c r="F36" s="1108"/>
      <c r="G36" s="1106"/>
      <c r="H36" s="1111"/>
      <c r="I36" s="1113"/>
      <c r="J36" s="1116"/>
      <c r="K36" s="1102"/>
      <c r="L36" s="777"/>
      <c r="M36" s="777"/>
      <c r="N36" s="777"/>
      <c r="O36" s="777"/>
      <c r="P36" s="777"/>
      <c r="Q36" s="777"/>
      <c r="R36" s="777"/>
      <c r="W36" s="778"/>
      <c r="X36" s="15"/>
      <c r="Y36" s="15"/>
      <c r="Z36" s="15"/>
      <c r="AA36" s="15"/>
      <c r="AB36" s="15"/>
      <c r="AC36" s="15"/>
      <c r="AD36" s="15"/>
      <c r="AE36" s="15"/>
      <c r="AF36" s="15"/>
      <c r="AG36" s="15"/>
      <c r="AH36" s="15"/>
      <c r="AI36" s="15"/>
      <c r="AJ36" s="15"/>
      <c r="AK36" s="15"/>
      <c r="AL36" s="15"/>
      <c r="AM36" s="15"/>
      <c r="AN36" s="15"/>
      <c r="AO36" s="15"/>
      <c r="AP36" s="15"/>
      <c r="AQ36" s="15"/>
    </row>
    <row r="37" spans="1:43" s="33" customFormat="1" ht="17.25" hidden="1" customHeight="1">
      <c r="A37" s="191"/>
      <c r="D37" s="1104"/>
      <c r="E37" s="1106"/>
      <c r="F37" s="1109"/>
      <c r="G37" s="1106"/>
      <c r="H37" s="779"/>
      <c r="I37" s="780"/>
      <c r="J37" s="780"/>
      <c r="K37" s="780"/>
      <c r="L37" s="780"/>
      <c r="M37" s="780"/>
      <c r="N37" s="780"/>
      <c r="O37" s="780"/>
      <c r="P37" s="780"/>
      <c r="Q37" s="780"/>
      <c r="R37" s="780"/>
      <c r="S37" s="781"/>
      <c r="T37" s="781"/>
      <c r="U37" s="781"/>
      <c r="V37" s="781"/>
      <c r="W37" s="782"/>
      <c r="X37" s="15"/>
      <c r="Y37" s="15"/>
      <c r="Z37" s="15"/>
      <c r="AA37" s="15"/>
      <c r="AB37" s="15"/>
      <c r="AC37" s="15"/>
      <c r="AD37" s="15"/>
      <c r="AE37" s="15"/>
      <c r="AF37" s="15"/>
      <c r="AG37" s="15"/>
      <c r="AH37" s="15"/>
      <c r="AI37" s="15"/>
      <c r="AJ37" s="15"/>
      <c r="AK37" s="15"/>
      <c r="AL37" s="15"/>
      <c r="AM37" s="15"/>
      <c r="AN37" s="15"/>
      <c r="AO37" s="15"/>
      <c r="AP37" s="15"/>
      <c r="AQ37" s="15"/>
    </row>
    <row r="38" spans="1:43" s="33" customFormat="1" ht="17.25" hidden="1" customHeight="1">
      <c r="A38" s="191"/>
      <c r="C38" s="74"/>
      <c r="D38" s="1103">
        <v>6</v>
      </c>
      <c r="E38" s="1105" t="s">
        <v>186</v>
      </c>
      <c r="F38" s="1107" t="s">
        <v>57</v>
      </c>
      <c r="G38" s="1105"/>
      <c r="H38" s="1110"/>
      <c r="I38" s="1112"/>
      <c r="J38" s="1114"/>
      <c r="K38" s="1101"/>
      <c r="L38" s="1101"/>
      <c r="M38" s="1101"/>
      <c r="N38" s="1117"/>
      <c r="O38" s="1101"/>
      <c r="P38" s="1101"/>
      <c r="Q38" s="1101"/>
      <c r="R38" s="1120"/>
      <c r="S38" s="1101"/>
      <c r="T38" s="833"/>
      <c r="U38" s="833"/>
      <c r="V38" s="832"/>
      <c r="W38" s="776"/>
      <c r="X38" s="761"/>
      <c r="Y38" s="761"/>
      <c r="Z38" s="761"/>
      <c r="AA38" s="761"/>
      <c r="AB38" s="761"/>
      <c r="AC38" s="761" t="s">
        <v>187</v>
      </c>
      <c r="AD38" s="761" t="s">
        <v>188</v>
      </c>
      <c r="AE38" s="761" t="s">
        <v>189</v>
      </c>
      <c r="AF38" s="761" t="s">
        <v>190</v>
      </c>
      <c r="AG38" s="761" t="s">
        <v>191</v>
      </c>
      <c r="AH38" s="761" t="str">
        <f>IF($E$38=0,"",$E$38)</f>
        <v>Тарифы на услуги по передаче теплоносителя</v>
      </c>
      <c r="AI38" s="761" t="str">
        <f>IF($G$38=0,"",$G$38)</f>
        <v/>
      </c>
      <c r="AJ38" s="761" t="str">
        <f>IF($J$38=0,"",$J$38)</f>
        <v/>
      </c>
      <c r="AK38" s="761" t="str">
        <f>IF($K$38="нет","без дифференциации",IF($N$38=0,"",$N$38))</f>
        <v/>
      </c>
      <c r="AL38" s="761" t="str">
        <f>IF($O$38="нет","без дифференциации",IF($R$38=0,"",$R$38))</f>
        <v/>
      </c>
      <c r="AM38" s="761" t="str">
        <f>IF($S$38="нет","без дифференциации",IF($V$38=0,"",$V$38))</f>
        <v/>
      </c>
      <c r="AN38" s="1009">
        <f>$I$38</f>
        <v>0</v>
      </c>
      <c r="AO38" s="761" t="str">
        <f>$I$38&amp;"."&amp;$M$38</f>
        <v>.</v>
      </c>
      <c r="AP38" s="15" t="str">
        <f>$I$38&amp;"."&amp;$M$38&amp;"."&amp;$Q$38</f>
        <v>..</v>
      </c>
      <c r="AQ38" s="15" t="str">
        <f>$I$38&amp;"."&amp;$M$38&amp;"."&amp;$Q$38&amp;"."&amp;$U$38</f>
        <v>...</v>
      </c>
    </row>
    <row r="39" spans="1:43" s="33" customFormat="1" ht="17.25" hidden="1" customHeight="1">
      <c r="A39" s="191"/>
      <c r="D39" s="1103"/>
      <c r="E39" s="1105"/>
      <c r="F39" s="1108"/>
      <c r="G39" s="1105"/>
      <c r="H39" s="1111"/>
      <c r="I39" s="1113"/>
      <c r="J39" s="1115"/>
      <c r="K39" s="1102"/>
      <c r="L39" s="1102"/>
      <c r="M39" s="1102"/>
      <c r="N39" s="1118"/>
      <c r="O39" s="1102"/>
      <c r="P39" s="1102"/>
      <c r="Q39" s="1102"/>
      <c r="R39" s="1119"/>
      <c r="S39" s="1102"/>
      <c r="T39" s="777"/>
      <c r="U39" s="777"/>
      <c r="V39" s="777"/>
      <c r="W39" s="778"/>
      <c r="X39" s="15"/>
      <c r="Y39" s="15"/>
      <c r="Z39" s="15"/>
      <c r="AA39" s="15"/>
      <c r="AB39" s="15"/>
      <c r="AC39" s="15"/>
      <c r="AD39" s="15"/>
      <c r="AE39" s="15"/>
      <c r="AF39" s="15"/>
      <c r="AG39" s="15"/>
      <c r="AH39" s="15"/>
      <c r="AI39" s="15"/>
      <c r="AJ39" s="15"/>
      <c r="AK39" s="15"/>
      <c r="AL39" s="15"/>
      <c r="AM39" s="15"/>
      <c r="AN39" s="15"/>
      <c r="AO39" s="15"/>
      <c r="AP39" s="15"/>
      <c r="AQ39" s="15"/>
    </row>
    <row r="40" spans="1:43" s="33" customFormat="1" ht="17.25" hidden="1" customHeight="1">
      <c r="A40" s="191"/>
      <c r="D40" s="1104"/>
      <c r="E40" s="1106"/>
      <c r="F40" s="1108"/>
      <c r="G40" s="1106"/>
      <c r="H40" s="1111"/>
      <c r="I40" s="1113"/>
      <c r="J40" s="1116"/>
      <c r="K40" s="1102"/>
      <c r="L40" s="1102"/>
      <c r="M40" s="1102"/>
      <c r="N40" s="1119"/>
      <c r="O40" s="1102"/>
      <c r="P40" s="53"/>
      <c r="Q40" s="777"/>
      <c r="R40" s="777"/>
      <c r="W40" s="778"/>
      <c r="X40" s="15"/>
      <c r="Y40" s="15"/>
      <c r="Z40" s="15"/>
      <c r="AA40" s="15"/>
      <c r="AB40" s="15"/>
      <c r="AC40" s="15"/>
      <c r="AD40" s="15"/>
      <c r="AE40" s="15"/>
      <c r="AF40" s="15"/>
      <c r="AG40" s="15"/>
      <c r="AH40" s="15"/>
      <c r="AI40" s="15"/>
      <c r="AJ40" s="15"/>
      <c r="AK40" s="15"/>
      <c r="AL40" s="15"/>
      <c r="AM40" s="15"/>
      <c r="AN40" s="15"/>
      <c r="AO40" s="15"/>
      <c r="AP40" s="15"/>
      <c r="AQ40" s="15"/>
    </row>
    <row r="41" spans="1:43" s="33" customFormat="1" ht="17.25" hidden="1" customHeight="1">
      <c r="A41" s="191"/>
      <c r="C41" s="74"/>
      <c r="D41" s="1104"/>
      <c r="E41" s="1106"/>
      <c r="F41" s="1108"/>
      <c r="G41" s="1106"/>
      <c r="H41" s="1111"/>
      <c r="I41" s="1113"/>
      <c r="J41" s="1116"/>
      <c r="K41" s="1102"/>
      <c r="L41" s="777"/>
      <c r="M41" s="777"/>
      <c r="N41" s="777"/>
      <c r="O41" s="777"/>
      <c r="P41" s="777"/>
      <c r="Q41" s="777"/>
      <c r="R41" s="777"/>
      <c r="W41" s="778"/>
      <c r="Y41" s="761"/>
      <c r="Z41" s="761"/>
      <c r="AA41" s="761"/>
      <c r="AB41" s="761"/>
      <c r="AC41" s="761"/>
      <c r="AD41" s="761"/>
      <c r="AE41" s="761"/>
      <c r="AF41" s="761"/>
      <c r="AG41" s="761"/>
      <c r="AH41" s="761"/>
      <c r="AI41" s="761"/>
      <c r="AJ41" s="761"/>
      <c r="AK41" s="761"/>
      <c r="AL41" s="761"/>
      <c r="AM41" s="761"/>
      <c r="AN41" s="761"/>
      <c r="AO41" s="761"/>
      <c r="AP41" s="761"/>
      <c r="AQ41" s="761"/>
    </row>
    <row r="42" spans="1:43" s="33" customFormat="1" ht="17.25" hidden="1" customHeight="1">
      <c r="A42" s="191"/>
      <c r="D42" s="1104"/>
      <c r="E42" s="1106"/>
      <c r="F42" s="1109"/>
      <c r="G42" s="1106"/>
      <c r="H42" s="779"/>
      <c r="I42" s="780"/>
      <c r="J42" s="780"/>
      <c r="K42" s="780"/>
      <c r="L42" s="780"/>
      <c r="M42" s="780"/>
      <c r="N42" s="780"/>
      <c r="O42" s="780"/>
      <c r="P42" s="780"/>
      <c r="Q42" s="780"/>
      <c r="R42" s="780"/>
      <c r="S42" s="781"/>
      <c r="T42" s="781"/>
      <c r="U42" s="781"/>
      <c r="V42" s="781"/>
      <c r="W42" s="782"/>
      <c r="X42" s="15"/>
      <c r="Y42" s="15"/>
      <c r="Z42" s="15"/>
      <c r="AA42" s="15"/>
      <c r="AB42" s="15"/>
      <c r="AC42" s="15"/>
      <c r="AD42" s="15"/>
      <c r="AE42" s="15"/>
      <c r="AF42" s="15"/>
      <c r="AG42" s="15"/>
      <c r="AH42" s="15"/>
      <c r="AI42" s="15"/>
      <c r="AJ42" s="15"/>
      <c r="AK42" s="15"/>
      <c r="AL42" s="15"/>
      <c r="AM42" s="15"/>
      <c r="AN42" s="15"/>
      <c r="AO42" s="15"/>
      <c r="AP42" s="15"/>
      <c r="AQ42" s="15"/>
    </row>
    <row r="43" spans="1:43" s="33" customFormat="1" ht="17.25" hidden="1" customHeight="1">
      <c r="A43" s="191"/>
      <c r="C43" s="74"/>
      <c r="D43" s="1124">
        <v>7</v>
      </c>
      <c r="E43" s="1127" t="s">
        <v>192</v>
      </c>
      <c r="F43" s="1107" t="s">
        <v>57</v>
      </c>
      <c r="G43" s="1127"/>
      <c r="H43" s="1110"/>
      <c r="I43" s="1112"/>
      <c r="J43" s="1114"/>
      <c r="K43" s="1101"/>
      <c r="L43" s="1101"/>
      <c r="M43" s="1101"/>
      <c r="N43" s="1117"/>
      <c r="O43" s="1101"/>
      <c r="P43" s="1101"/>
      <c r="Q43" s="1101"/>
      <c r="R43" s="1120"/>
      <c r="S43" s="1101"/>
      <c r="T43" s="833"/>
      <c r="U43" s="833"/>
      <c r="V43" s="832"/>
      <c r="W43" s="776"/>
      <c r="X43" s="761"/>
      <c r="Y43" s="761"/>
      <c r="Z43" s="761"/>
      <c r="AA43" s="761"/>
      <c r="AB43" s="761"/>
      <c r="AC43" s="761" t="s">
        <v>193</v>
      </c>
      <c r="AD43" s="761" t="s">
        <v>194</v>
      </c>
      <c r="AE43" s="761" t="s">
        <v>195</v>
      </c>
      <c r="AF43" s="761" t="s">
        <v>196</v>
      </c>
      <c r="AG43" s="761" t="s">
        <v>197</v>
      </c>
      <c r="AH43" s="761" t="str">
        <f>IF($E$43=0,"",$E$43)</f>
        <v>Плата за услуги по поддержанию резервной тепловой мощности при отсутствии потребления тепловой энергии</v>
      </c>
      <c r="AI43" s="761" t="str">
        <f>IF($G$43=0,"",$G$43)</f>
        <v/>
      </c>
      <c r="AJ43" s="761" t="str">
        <f>IF($J$43=0,"",$J$43)</f>
        <v/>
      </c>
      <c r="AK43" s="761" t="str">
        <f>IF($K$43="нет","без дифференциации",IF($N$43=0,"",$N$43))</f>
        <v/>
      </c>
      <c r="AL43" s="761" t="str">
        <f>IF($O$43="нет","без дифференциации",IF($R$43=0,"",$R$43))</f>
        <v/>
      </c>
      <c r="AM43" s="761" t="str">
        <f>IF($S$43="нет","без дифференциации",IF($V$43=0,"",$V$43))</f>
        <v/>
      </c>
      <c r="AN43" s="1009">
        <f>$I$43</f>
        <v>0</v>
      </c>
      <c r="AO43" s="761" t="str">
        <f>$I$43&amp;"."&amp;$M$43</f>
        <v>.</v>
      </c>
      <c r="AP43" s="15" t="str">
        <f>$I$43&amp;"."&amp;$M$43&amp;"."&amp;$Q$43</f>
        <v>..</v>
      </c>
      <c r="AQ43" s="15" t="str">
        <f>$I$43&amp;"."&amp;$M$43&amp;"."&amp;$Q$43&amp;"."&amp;$U$43</f>
        <v>...</v>
      </c>
    </row>
    <row r="44" spans="1:43" s="33" customFormat="1" ht="17.25" hidden="1" customHeight="1">
      <c r="A44" s="191"/>
      <c r="D44" s="1125"/>
      <c r="E44" s="1128"/>
      <c r="F44" s="1108"/>
      <c r="G44" s="1128"/>
      <c r="H44" s="1111"/>
      <c r="I44" s="1113"/>
      <c r="J44" s="1115"/>
      <c r="K44" s="1102"/>
      <c r="L44" s="1102"/>
      <c r="M44" s="1102"/>
      <c r="N44" s="1118"/>
      <c r="O44" s="1102"/>
      <c r="P44" s="1102"/>
      <c r="Q44" s="1102"/>
      <c r="R44" s="1119"/>
      <c r="S44" s="1102"/>
      <c r="T44" s="777"/>
      <c r="U44" s="777"/>
      <c r="V44" s="777"/>
      <c r="W44" s="778"/>
      <c r="X44" s="15"/>
      <c r="Y44" s="15"/>
      <c r="Z44" s="15"/>
      <c r="AA44" s="15"/>
      <c r="AB44" s="15"/>
      <c r="AC44" s="15"/>
      <c r="AD44" s="15"/>
      <c r="AE44" s="15"/>
      <c r="AF44" s="15"/>
      <c r="AG44" s="15"/>
      <c r="AH44" s="15"/>
      <c r="AI44" s="15"/>
      <c r="AJ44" s="15"/>
      <c r="AK44" s="15"/>
      <c r="AL44" s="15"/>
      <c r="AM44" s="15"/>
      <c r="AN44" s="15"/>
      <c r="AO44" s="15"/>
      <c r="AP44" s="15"/>
      <c r="AQ44" s="15"/>
    </row>
    <row r="45" spans="1:43" s="33" customFormat="1" ht="17.25" hidden="1" customHeight="1">
      <c r="A45" s="191"/>
      <c r="D45" s="1125"/>
      <c r="E45" s="1128"/>
      <c r="F45" s="1108"/>
      <c r="G45" s="1128"/>
      <c r="H45" s="1111"/>
      <c r="I45" s="1113"/>
      <c r="J45" s="1116"/>
      <c r="K45" s="1102"/>
      <c r="L45" s="1102"/>
      <c r="M45" s="1102"/>
      <c r="N45" s="1119"/>
      <c r="O45" s="1102"/>
      <c r="P45" s="53"/>
      <c r="Q45" s="777"/>
      <c r="R45" s="777"/>
      <c r="W45" s="778"/>
      <c r="X45" s="15"/>
      <c r="Y45" s="15"/>
      <c r="Z45" s="15"/>
      <c r="AA45" s="15"/>
      <c r="AB45" s="15"/>
      <c r="AC45" s="15"/>
      <c r="AD45" s="15"/>
      <c r="AE45" s="15"/>
      <c r="AF45" s="15"/>
      <c r="AG45" s="15"/>
      <c r="AH45" s="15"/>
      <c r="AI45" s="15"/>
      <c r="AJ45" s="15"/>
      <c r="AK45" s="15"/>
      <c r="AL45" s="15"/>
      <c r="AM45" s="15"/>
      <c r="AN45" s="15"/>
      <c r="AO45" s="15"/>
      <c r="AP45" s="15"/>
      <c r="AQ45" s="15"/>
    </row>
    <row r="46" spans="1:43" s="33" customFormat="1" ht="17.25" hidden="1" customHeight="1">
      <c r="A46" s="191"/>
      <c r="C46" s="74"/>
      <c r="D46" s="1125"/>
      <c r="E46" s="1128"/>
      <c r="F46" s="1108"/>
      <c r="G46" s="1128"/>
      <c r="H46" s="1111"/>
      <c r="I46" s="1113"/>
      <c r="J46" s="1116"/>
      <c r="K46" s="1102"/>
      <c r="L46" s="777"/>
      <c r="M46" s="777"/>
      <c r="N46" s="777"/>
      <c r="O46" s="777"/>
      <c r="P46" s="777"/>
      <c r="Q46" s="777"/>
      <c r="R46" s="777"/>
      <c r="W46" s="778"/>
      <c r="Y46" s="761"/>
      <c r="Z46" s="761"/>
      <c r="AA46" s="761"/>
      <c r="AB46" s="761"/>
      <c r="AC46" s="761"/>
      <c r="AD46" s="761"/>
      <c r="AE46" s="761"/>
      <c r="AF46" s="761"/>
      <c r="AG46" s="761"/>
      <c r="AH46" s="761"/>
      <c r="AI46" s="761"/>
      <c r="AJ46" s="761"/>
      <c r="AK46" s="761"/>
      <c r="AL46" s="761"/>
      <c r="AM46" s="761"/>
      <c r="AN46" s="761"/>
      <c r="AO46" s="761"/>
      <c r="AP46" s="761"/>
      <c r="AQ46" s="761"/>
    </row>
    <row r="47" spans="1:43" s="33" customFormat="1" ht="17.25" hidden="1" customHeight="1">
      <c r="A47" s="191"/>
      <c r="D47" s="1126"/>
      <c r="E47" s="1129"/>
      <c r="F47" s="1109"/>
      <c r="G47" s="1129"/>
      <c r="H47" s="779"/>
      <c r="I47" s="780"/>
      <c r="J47" s="780"/>
      <c r="K47" s="780"/>
      <c r="L47" s="780"/>
      <c r="M47" s="780"/>
      <c r="N47" s="780"/>
      <c r="O47" s="780"/>
      <c r="P47" s="780"/>
      <c r="Q47" s="780"/>
      <c r="R47" s="780"/>
      <c r="S47" s="781"/>
      <c r="T47" s="781"/>
      <c r="U47" s="781"/>
      <c r="V47" s="781"/>
      <c r="W47" s="782"/>
      <c r="X47" s="15"/>
      <c r="Y47" s="15"/>
      <c r="Z47" s="15"/>
      <c r="AA47" s="15"/>
      <c r="AB47" s="15"/>
      <c r="AC47" s="15"/>
      <c r="AD47" s="15"/>
      <c r="AE47" s="15"/>
      <c r="AF47" s="15"/>
      <c r="AG47" s="15"/>
      <c r="AH47" s="15"/>
      <c r="AI47" s="15"/>
      <c r="AJ47" s="15"/>
      <c r="AK47" s="15"/>
      <c r="AL47" s="15"/>
      <c r="AM47" s="15"/>
      <c r="AN47" s="15"/>
      <c r="AO47" s="15"/>
      <c r="AP47" s="15"/>
      <c r="AQ47" s="15"/>
    </row>
    <row r="48" spans="1:43" s="33" customFormat="1" ht="17.25" hidden="1" customHeight="1">
      <c r="A48" s="191"/>
      <c r="C48" s="74"/>
      <c r="D48" s="1103">
        <v>8</v>
      </c>
      <c r="E48" s="1105" t="s">
        <v>198</v>
      </c>
      <c r="F48" s="1107" t="s">
        <v>57</v>
      </c>
      <c r="G48" s="1105"/>
      <c r="H48" s="1110"/>
      <c r="I48" s="1112"/>
      <c r="J48" s="1114"/>
      <c r="K48" s="1101"/>
      <c r="L48" s="1101"/>
      <c r="M48" s="1101"/>
      <c r="N48" s="1117"/>
      <c r="O48" s="1101"/>
      <c r="P48" s="1101"/>
      <c r="Q48" s="1101"/>
      <c r="R48" s="1120"/>
      <c r="S48" s="1101"/>
      <c r="T48" s="833"/>
      <c r="U48" s="833"/>
      <c r="V48" s="832"/>
      <c r="W48" s="776"/>
      <c r="X48" s="761"/>
      <c r="Y48" s="761"/>
      <c r="Z48" s="761"/>
      <c r="AA48" s="761"/>
      <c r="AB48" s="761"/>
      <c r="AC48" s="761" t="s">
        <v>199</v>
      </c>
      <c r="AD48" s="761" t="s">
        <v>200</v>
      </c>
      <c r="AE48" s="761" t="s">
        <v>201</v>
      </c>
      <c r="AF48" s="761" t="s">
        <v>202</v>
      </c>
      <c r="AG48" s="761" t="s">
        <v>203</v>
      </c>
      <c r="AH48" s="761" t="str">
        <f>IF($E$48=0,"",$E$48)</f>
        <v>Плата за подключение (технологическое присоединение) к системе теплоснабжения</v>
      </c>
      <c r="AI48" s="761" t="str">
        <f>IF($G$48=0,"",$G$48)</f>
        <v/>
      </c>
      <c r="AJ48" s="761" t="str">
        <f>IF($J$48=0,"",$J$48)</f>
        <v/>
      </c>
      <c r="AK48" s="761" t="str">
        <f>IF($K$48="нет","без дифференциации",IF($N$48=0,"",$N$48))</f>
        <v/>
      </c>
      <c r="AL48" s="761" t="str">
        <f>IF($O$48="нет","без дифференциации",IF($R$48=0,"",$R$48))</f>
        <v/>
      </c>
      <c r="AM48" s="761" t="str">
        <f>IF($S$48="нет","без дифференциации",IF($V$48=0,"",$V$48))</f>
        <v/>
      </c>
      <c r="AN48" s="1009">
        <f>$I$48</f>
        <v>0</v>
      </c>
      <c r="AO48" s="761" t="str">
        <f>$I$48&amp;"."&amp;$M$48</f>
        <v>.</v>
      </c>
      <c r="AP48" s="15" t="str">
        <f>$I$48&amp;"."&amp;$M$48&amp;"."&amp;$Q$48</f>
        <v>..</v>
      </c>
      <c r="AQ48" s="15" t="str">
        <f>$I$48&amp;"."&amp;$M$48&amp;"."&amp;$Q$48&amp;"."&amp;$U$48</f>
        <v>...</v>
      </c>
    </row>
    <row r="49" spans="1:43" s="33" customFormat="1" ht="17.25" hidden="1" customHeight="1">
      <c r="A49" s="191"/>
      <c r="D49" s="1103"/>
      <c r="E49" s="1105"/>
      <c r="F49" s="1108"/>
      <c r="G49" s="1105"/>
      <c r="H49" s="1111"/>
      <c r="I49" s="1113"/>
      <c r="J49" s="1115"/>
      <c r="K49" s="1102"/>
      <c r="L49" s="1102"/>
      <c r="M49" s="1102"/>
      <c r="N49" s="1118"/>
      <c r="O49" s="1102"/>
      <c r="P49" s="1102"/>
      <c r="Q49" s="1102"/>
      <c r="R49" s="1119"/>
      <c r="S49" s="1102"/>
      <c r="T49" s="777"/>
      <c r="U49" s="777"/>
      <c r="V49" s="777"/>
      <c r="W49" s="778"/>
      <c r="X49" s="15"/>
      <c r="Y49" s="15"/>
      <c r="Z49" s="15"/>
      <c r="AA49" s="15"/>
      <c r="AB49" s="15"/>
      <c r="AC49" s="15"/>
      <c r="AD49" s="15"/>
      <c r="AE49" s="15"/>
      <c r="AF49" s="15"/>
      <c r="AG49" s="15"/>
      <c r="AH49" s="15"/>
      <c r="AI49" s="15"/>
      <c r="AJ49" s="15"/>
      <c r="AK49" s="15"/>
      <c r="AL49" s="15"/>
      <c r="AM49" s="15"/>
      <c r="AN49" s="15"/>
      <c r="AO49" s="15"/>
      <c r="AP49" s="15"/>
      <c r="AQ49" s="15"/>
    </row>
    <row r="50" spans="1:43" s="33" customFormat="1" ht="17.25" hidden="1" customHeight="1">
      <c r="A50" s="191"/>
      <c r="D50" s="1104"/>
      <c r="E50" s="1106"/>
      <c r="F50" s="1108"/>
      <c r="G50" s="1106"/>
      <c r="H50" s="1111"/>
      <c r="I50" s="1113"/>
      <c r="J50" s="1116"/>
      <c r="K50" s="1102"/>
      <c r="L50" s="1102"/>
      <c r="M50" s="1102"/>
      <c r="N50" s="1119"/>
      <c r="O50" s="1102"/>
      <c r="P50" s="53"/>
      <c r="Q50" s="777"/>
      <c r="R50" s="777"/>
      <c r="W50" s="778"/>
      <c r="X50" s="15"/>
      <c r="Y50" s="15"/>
      <c r="Z50" s="15"/>
      <c r="AA50" s="15"/>
      <c r="AB50" s="15"/>
      <c r="AC50" s="15"/>
      <c r="AD50" s="15"/>
      <c r="AE50" s="15"/>
      <c r="AF50" s="15"/>
      <c r="AG50" s="15"/>
      <c r="AH50" s="15"/>
      <c r="AI50" s="15"/>
      <c r="AJ50" s="15"/>
      <c r="AK50" s="15"/>
      <c r="AL50" s="15"/>
      <c r="AM50" s="15"/>
      <c r="AN50" s="15"/>
      <c r="AO50" s="15"/>
      <c r="AP50" s="15"/>
      <c r="AQ50" s="15"/>
    </row>
    <row r="51" spans="1:43" s="33" customFormat="1" ht="17.25" hidden="1" customHeight="1">
      <c r="A51" s="191"/>
      <c r="C51" s="74"/>
      <c r="D51" s="1104"/>
      <c r="E51" s="1106"/>
      <c r="F51" s="1108"/>
      <c r="G51" s="1106"/>
      <c r="H51" s="1111"/>
      <c r="I51" s="1113"/>
      <c r="J51" s="1116"/>
      <c r="K51" s="1102"/>
      <c r="L51" s="777"/>
      <c r="M51" s="777"/>
      <c r="N51" s="777"/>
      <c r="O51" s="777"/>
      <c r="P51" s="777"/>
      <c r="Q51" s="777"/>
      <c r="R51" s="777"/>
      <c r="W51" s="778"/>
      <c r="Y51" s="761"/>
      <c r="Z51" s="761"/>
      <c r="AA51" s="761"/>
      <c r="AB51" s="761"/>
      <c r="AC51" s="761"/>
      <c r="AD51" s="761"/>
      <c r="AE51" s="761"/>
      <c r="AF51" s="761"/>
      <c r="AG51" s="761"/>
      <c r="AH51" s="761"/>
      <c r="AI51" s="761"/>
      <c r="AJ51" s="761"/>
      <c r="AK51" s="761"/>
      <c r="AL51" s="761"/>
      <c r="AM51" s="761"/>
      <c r="AN51" s="761"/>
      <c r="AO51" s="761"/>
      <c r="AP51" s="761"/>
      <c r="AQ51" s="761"/>
    </row>
    <row r="52" spans="1:43" s="33" customFormat="1" ht="17.25" hidden="1" customHeight="1">
      <c r="A52" s="191"/>
      <c r="D52" s="1104"/>
      <c r="E52" s="1106"/>
      <c r="F52" s="1109"/>
      <c r="G52" s="1106"/>
      <c r="H52" s="779"/>
      <c r="I52" s="780"/>
      <c r="J52" s="780"/>
      <c r="K52" s="780"/>
      <c r="L52" s="780"/>
      <c r="M52" s="780"/>
      <c r="N52" s="780"/>
      <c r="O52" s="780"/>
      <c r="P52" s="780"/>
      <c r="Q52" s="780"/>
      <c r="R52" s="780"/>
      <c r="S52" s="781"/>
      <c r="T52" s="781"/>
      <c r="U52" s="781"/>
      <c r="V52" s="781"/>
      <c r="W52" s="782"/>
      <c r="X52" s="15"/>
      <c r="Y52" s="15"/>
      <c r="Z52" s="15"/>
      <c r="AA52" s="15"/>
      <c r="AB52" s="15"/>
      <c r="AC52" s="15"/>
      <c r="AD52" s="15"/>
      <c r="AE52" s="15"/>
      <c r="AF52" s="15"/>
      <c r="AG52" s="15"/>
      <c r="AH52" s="15"/>
      <c r="AI52" s="15"/>
      <c r="AJ52" s="15"/>
      <c r="AK52" s="15"/>
      <c r="AL52" s="15"/>
      <c r="AM52" s="15"/>
      <c r="AN52" s="15"/>
      <c r="AO52" s="15"/>
      <c r="AP52" s="15"/>
      <c r="AQ52" s="15"/>
    </row>
    <row r="53" spans="1:43" ht="11.25" hidden="1" customHeight="1"/>
    <row r="54" spans="1:43" ht="11.25" hidden="1" customHeight="1">
      <c r="E54" s="1123" t="s">
        <v>204</v>
      </c>
      <c r="F54" s="1123"/>
      <c r="G54" s="1123"/>
      <c r="H54" s="1123"/>
      <c r="I54" s="1123"/>
      <c r="J54" s="1123"/>
      <c r="K54" s="1123"/>
      <c r="L54" s="1123"/>
      <c r="M54" s="1123"/>
      <c r="N54" s="1123"/>
      <c r="O54" s="1123"/>
      <c r="P54" s="1123"/>
      <c r="Q54" s="1123"/>
      <c r="R54" s="1123"/>
      <c r="S54" s="1123"/>
      <c r="T54" s="1123"/>
      <c r="U54" s="1123"/>
      <c r="V54" s="1123"/>
      <c r="W54" s="1123"/>
    </row>
    <row r="55" spans="1:43" ht="36.75" hidden="1" customHeight="1">
      <c r="E55" s="1121" t="s">
        <v>205</v>
      </c>
      <c r="F55" s="1121"/>
      <c r="G55" s="1122"/>
      <c r="H55" s="1122"/>
      <c r="I55" s="1122"/>
      <c r="J55" s="1122"/>
      <c r="K55" s="1122"/>
      <c r="L55" s="1122"/>
      <c r="M55" s="1122"/>
      <c r="N55" s="1122"/>
      <c r="O55" s="1122"/>
      <c r="P55" s="1122"/>
      <c r="Q55" s="1122"/>
      <c r="R55" s="1122"/>
      <c r="S55" s="1122"/>
      <c r="T55" s="1122"/>
      <c r="U55" s="1122"/>
      <c r="V55" s="1122"/>
      <c r="W55" s="1122"/>
    </row>
    <row r="56" spans="1:43" ht="28.5" hidden="1" customHeight="1">
      <c r="E56" s="1121" t="s">
        <v>206</v>
      </c>
      <c r="F56" s="1121"/>
      <c r="G56" s="1122"/>
      <c r="H56" s="1122"/>
      <c r="I56" s="1122"/>
      <c r="J56" s="1122"/>
      <c r="K56" s="1122"/>
      <c r="L56" s="1122"/>
      <c r="M56" s="1122"/>
      <c r="N56" s="1122"/>
      <c r="O56" s="1122"/>
      <c r="P56" s="1122"/>
      <c r="Q56" s="1122"/>
      <c r="R56" s="1122"/>
      <c r="S56" s="1122"/>
      <c r="T56" s="1122"/>
      <c r="U56" s="1122"/>
      <c r="V56" s="1122"/>
      <c r="W56" s="1122"/>
    </row>
    <row r="57" spans="1:43" ht="27" hidden="1" customHeight="1">
      <c r="E57" s="1121" t="s">
        <v>207</v>
      </c>
      <c r="F57" s="1121"/>
      <c r="G57" s="1122"/>
      <c r="H57" s="1122"/>
      <c r="I57" s="1122"/>
      <c r="J57" s="1122"/>
      <c r="K57" s="1122"/>
      <c r="L57" s="1122"/>
      <c r="M57" s="1122"/>
      <c r="N57" s="1122"/>
      <c r="O57" s="1122"/>
      <c r="P57" s="1122"/>
      <c r="Q57" s="1122"/>
      <c r="R57" s="1122"/>
      <c r="S57" s="1122"/>
      <c r="T57" s="1122"/>
      <c r="U57" s="1122"/>
      <c r="V57" s="1122"/>
      <c r="W57" s="1122"/>
    </row>
    <row r="58" spans="1:43" ht="17.25" hidden="1" customHeight="1">
      <c r="E58" s="1121" t="s">
        <v>208</v>
      </c>
      <c r="F58" s="1121"/>
      <c r="G58" s="1122"/>
      <c r="H58" s="1122"/>
      <c r="I58" s="1122"/>
      <c r="J58" s="1122"/>
      <c r="K58" s="1122"/>
      <c r="L58" s="1122"/>
      <c r="M58" s="1122"/>
      <c r="N58" s="1122"/>
      <c r="O58" s="1122"/>
      <c r="P58" s="1122"/>
      <c r="Q58" s="1122"/>
      <c r="R58" s="1122"/>
      <c r="S58" s="1122"/>
      <c r="T58" s="1122"/>
      <c r="U58" s="1122"/>
      <c r="V58" s="1122"/>
      <c r="W58" s="1122"/>
    </row>
    <row r="59" spans="1:43" ht="15" hidden="1" customHeight="1">
      <c r="E59" s="206"/>
      <c r="F59" s="206"/>
      <c r="G59" s="68"/>
      <c r="H59" s="68"/>
      <c r="I59" s="68"/>
      <c r="J59" s="68"/>
      <c r="K59" s="68"/>
      <c r="L59" s="68"/>
      <c r="M59" s="68"/>
      <c r="N59" s="68"/>
      <c r="O59" s="68"/>
      <c r="P59" s="68"/>
      <c r="Q59" s="68"/>
      <c r="R59" s="68"/>
      <c r="S59" s="68"/>
      <c r="T59" s="68"/>
      <c r="U59" s="68"/>
      <c r="V59" s="68"/>
      <c r="W59" s="68"/>
    </row>
    <row r="60" spans="1:43" ht="15" hidden="1" customHeight="1">
      <c r="E60" s="1123" t="s">
        <v>209</v>
      </c>
      <c r="F60" s="1123"/>
      <c r="G60" s="1123"/>
      <c r="H60" s="1123"/>
      <c r="I60" s="1123"/>
      <c r="J60" s="1123"/>
      <c r="K60" s="1123"/>
      <c r="L60" s="1123"/>
      <c r="M60" s="1123"/>
      <c r="N60" s="1123"/>
      <c r="O60" s="1123"/>
      <c r="P60" s="1123"/>
      <c r="Q60" s="1123"/>
      <c r="R60" s="1123"/>
      <c r="S60" s="1123"/>
      <c r="T60" s="1123"/>
      <c r="U60" s="1123"/>
      <c r="V60" s="1123"/>
      <c r="W60" s="1123"/>
    </row>
    <row r="61" spans="1:43" ht="17.25" hidden="1" customHeight="1">
      <c r="E61" s="1121" t="s">
        <v>210</v>
      </c>
      <c r="F61" s="1121"/>
      <c r="G61" s="1122"/>
      <c r="H61" s="1122"/>
      <c r="I61" s="1122"/>
      <c r="J61" s="1122"/>
      <c r="K61" s="1122"/>
      <c r="L61" s="1122"/>
      <c r="M61" s="1122"/>
      <c r="N61" s="1122"/>
      <c r="O61" s="1122"/>
      <c r="P61" s="1122"/>
      <c r="Q61" s="1122"/>
      <c r="R61" s="1122"/>
      <c r="S61" s="1122"/>
      <c r="T61" s="1122"/>
      <c r="U61" s="1122"/>
      <c r="V61" s="1122"/>
      <c r="W61" s="1122"/>
    </row>
    <row r="62" spans="1:43" ht="17.25" hidden="1" customHeight="1">
      <c r="E62" s="1121" t="s">
        <v>211</v>
      </c>
      <c r="F62" s="1121"/>
      <c r="G62" s="1122"/>
      <c r="H62" s="1122"/>
      <c r="I62" s="1122"/>
      <c r="J62" s="1122"/>
      <c r="K62" s="1122"/>
      <c r="L62" s="1122"/>
      <c r="M62" s="1122"/>
      <c r="N62" s="1122"/>
      <c r="O62" s="1122"/>
      <c r="P62" s="1122"/>
      <c r="Q62" s="1122"/>
      <c r="R62" s="1122"/>
      <c r="S62" s="1122"/>
      <c r="T62" s="1122"/>
      <c r="U62" s="1122"/>
      <c r="V62" s="1122"/>
      <c r="W62" s="1122"/>
    </row>
    <row r="63" spans="1:43" s="33" customFormat="1" ht="11.25" customHeight="1">
      <c r="A63" s="66"/>
      <c r="B63" s="66"/>
      <c r="Y63" s="15"/>
      <c r="Z63" s="15"/>
      <c r="AA63" s="15"/>
      <c r="AB63" s="15"/>
      <c r="AC63" s="15"/>
      <c r="AD63" s="15"/>
      <c r="AE63" s="15"/>
      <c r="AF63" s="15"/>
      <c r="AG63" s="15"/>
      <c r="AH63" s="15"/>
      <c r="AI63" s="15"/>
      <c r="AJ63" s="15"/>
      <c r="AK63" s="15"/>
      <c r="AL63" s="15"/>
      <c r="AM63" s="15"/>
      <c r="AN63" s="15"/>
      <c r="AO63" s="15"/>
      <c r="AP63" s="15"/>
      <c r="AQ63" s="15"/>
    </row>
    <row r="64" spans="1:43" s="33" customFormat="1" ht="17.25" hidden="1" customHeight="1">
      <c r="A64" s="191"/>
      <c r="C64" s="74"/>
      <c r="D64" s="1103">
        <v>1</v>
      </c>
      <c r="E64" s="1105" t="s">
        <v>212</v>
      </c>
      <c r="F64" s="1107" t="s">
        <v>57</v>
      </c>
      <c r="G64" s="1105"/>
      <c r="H64" s="1110"/>
      <c r="I64" s="1112"/>
      <c r="J64" s="1114"/>
      <c r="K64" s="1101"/>
      <c r="L64" s="1101"/>
      <c r="M64" s="1101"/>
      <c r="N64" s="1117"/>
      <c r="O64" s="1101"/>
      <c r="P64" s="1101"/>
      <c r="Q64" s="1101"/>
      <c r="R64" s="1120"/>
      <c r="S64" s="1101"/>
      <c r="T64" s="833"/>
      <c r="U64" s="833"/>
      <c r="V64" s="832"/>
      <c r="W64" s="776"/>
      <c r="Y64" s="761"/>
      <c r="Z64" s="761"/>
      <c r="AA64" s="761"/>
      <c r="AB64" s="761"/>
      <c r="AC64" s="761" t="s">
        <v>213</v>
      </c>
      <c r="AD64" s="761" t="s">
        <v>214</v>
      </c>
      <c r="AE64" s="761" t="s">
        <v>215</v>
      </c>
      <c r="AF64" s="761" t="s">
        <v>216</v>
      </c>
      <c r="AG64" s="761"/>
      <c r="AH64" s="761" t="str">
        <f>IF($E$64=0,"",$E$64)</f>
        <v>Тариф на питьевую воду (питьевое водоснабжение)</v>
      </c>
      <c r="AI64" s="761" t="str">
        <f>IF($G$64=0,"",$G$64)</f>
        <v/>
      </c>
      <c r="AJ64" s="761" t="str">
        <f>IF($J$64=0,"",$J$64)</f>
        <v/>
      </c>
      <c r="AK64" s="761" t="str">
        <f>IF($K$64="нет","без дифференциации",IF($N$64=0,"",$N$64))</f>
        <v/>
      </c>
      <c r="AL64" s="761" t="str">
        <f>IF($O$64="нет","без дифференциации",IF($R$64=0,"",$R$64))</f>
        <v/>
      </c>
      <c r="AM64" s="761" t="str">
        <f>IF($S$64="нет","без дифференциации",IF($V$64=0,"",$V$64))</f>
        <v/>
      </c>
      <c r="AN64" s="761">
        <f>$I$64</f>
        <v>0</v>
      </c>
      <c r="AO64" s="761" t="str">
        <f>$I$64&amp;"."&amp;$M$64</f>
        <v>.</v>
      </c>
      <c r="AP64" s="761" t="str">
        <f>$I$64&amp;"."&amp;$M$64&amp;"."&amp;$Q$64</f>
        <v>..</v>
      </c>
      <c r="AQ64" s="761" t="str">
        <f>$I$64&amp;"."&amp;$M$64&amp;"."&amp;$Q$64&amp;"."&amp;$U$64</f>
        <v>...</v>
      </c>
    </row>
    <row r="65" spans="1:43" s="33" customFormat="1" ht="17.25" hidden="1" customHeight="1">
      <c r="A65" s="191"/>
      <c r="D65" s="1103"/>
      <c r="E65" s="1105"/>
      <c r="F65" s="1108"/>
      <c r="G65" s="1105"/>
      <c r="H65" s="1111"/>
      <c r="I65" s="1113"/>
      <c r="J65" s="1115"/>
      <c r="K65" s="1102"/>
      <c r="L65" s="1102"/>
      <c r="M65" s="1102"/>
      <c r="N65" s="1118"/>
      <c r="O65" s="1102"/>
      <c r="P65" s="1102"/>
      <c r="Q65" s="1102"/>
      <c r="R65" s="1119"/>
      <c r="S65" s="1102"/>
      <c r="T65" s="777"/>
      <c r="U65" s="777"/>
      <c r="V65" s="777"/>
      <c r="W65" s="778"/>
      <c r="Y65" s="15"/>
      <c r="Z65" s="15"/>
      <c r="AA65" s="15"/>
      <c r="AB65" s="15"/>
      <c r="AC65" s="15"/>
      <c r="AD65" s="15"/>
      <c r="AE65" s="15"/>
      <c r="AF65" s="15"/>
      <c r="AG65" s="15"/>
      <c r="AH65" s="15"/>
      <c r="AI65" s="15"/>
      <c r="AJ65" s="15"/>
      <c r="AK65" s="15"/>
      <c r="AL65" s="15"/>
      <c r="AM65" s="15"/>
      <c r="AN65" s="15"/>
      <c r="AO65" s="15"/>
      <c r="AP65" s="15"/>
      <c r="AQ65" s="15"/>
    </row>
    <row r="66" spans="1:43" s="33" customFormat="1" ht="17.25" hidden="1" customHeight="1">
      <c r="A66" s="191"/>
      <c r="C66" s="74"/>
      <c r="D66" s="1103"/>
      <c r="E66" s="1105"/>
      <c r="F66" s="1108"/>
      <c r="G66" s="1105"/>
      <c r="H66" s="1111"/>
      <c r="I66" s="1113"/>
      <c r="J66" s="1116"/>
      <c r="K66" s="1102"/>
      <c r="L66" s="1102"/>
      <c r="M66" s="1102"/>
      <c r="N66" s="1119"/>
      <c r="O66" s="1102"/>
      <c r="P66" s="53"/>
      <c r="Q66" s="777"/>
      <c r="R66" s="777"/>
      <c r="W66" s="778"/>
      <c r="Y66" s="761"/>
      <c r="Z66" s="761"/>
      <c r="AA66" s="761"/>
      <c r="AB66" s="761"/>
      <c r="AC66" s="761"/>
      <c r="AD66" s="761"/>
      <c r="AE66" s="761"/>
      <c r="AF66" s="761"/>
      <c r="AG66" s="761"/>
      <c r="AH66" s="761"/>
      <c r="AI66" s="761"/>
      <c r="AJ66" s="761"/>
      <c r="AK66" s="761"/>
      <c r="AL66" s="761"/>
      <c r="AM66" s="761"/>
      <c r="AN66" s="761"/>
      <c r="AO66" s="761"/>
      <c r="AP66" s="761"/>
      <c r="AQ66" s="761"/>
    </row>
    <row r="67" spans="1:43" s="33" customFormat="1" ht="17.25" hidden="1" customHeight="1">
      <c r="A67" s="191"/>
      <c r="D67" s="1103"/>
      <c r="E67" s="1105"/>
      <c r="F67" s="1108"/>
      <c r="G67" s="1105"/>
      <c r="H67" s="1111"/>
      <c r="I67" s="1113"/>
      <c r="J67" s="1116"/>
      <c r="K67" s="1102"/>
      <c r="L67" s="777"/>
      <c r="M67" s="777"/>
      <c r="N67" s="777"/>
      <c r="O67" s="777"/>
      <c r="P67" s="777"/>
      <c r="Q67" s="777"/>
      <c r="R67" s="777"/>
      <c r="W67" s="778"/>
      <c r="Y67" s="15"/>
      <c r="Z67" s="15"/>
      <c r="AA67" s="15"/>
      <c r="AB67" s="15"/>
      <c r="AC67" s="15"/>
      <c r="AD67" s="15"/>
      <c r="AE67" s="15"/>
      <c r="AF67" s="15"/>
      <c r="AG67" s="15"/>
      <c r="AH67" s="15"/>
      <c r="AI67" s="15"/>
      <c r="AJ67" s="15"/>
      <c r="AK67" s="15"/>
      <c r="AL67" s="15"/>
      <c r="AM67" s="15"/>
      <c r="AN67" s="15"/>
      <c r="AO67" s="15"/>
      <c r="AP67" s="15"/>
      <c r="AQ67" s="15"/>
    </row>
    <row r="68" spans="1:43" s="33" customFormat="1" ht="17.25" hidden="1" customHeight="1">
      <c r="A68" s="191"/>
      <c r="D68" s="1104"/>
      <c r="E68" s="1106"/>
      <c r="F68" s="1109"/>
      <c r="G68" s="1106"/>
      <c r="H68" s="779"/>
      <c r="I68" s="780"/>
      <c r="J68" s="780"/>
      <c r="K68" s="780"/>
      <c r="L68" s="780"/>
      <c r="M68" s="780"/>
      <c r="N68" s="780"/>
      <c r="O68" s="780"/>
      <c r="P68" s="780"/>
      <c r="Q68" s="780"/>
      <c r="R68" s="780"/>
      <c r="S68" s="781"/>
      <c r="T68" s="781"/>
      <c r="U68" s="781"/>
      <c r="V68" s="781"/>
      <c r="W68" s="782"/>
      <c r="Y68" s="15"/>
      <c r="Z68" s="15"/>
      <c r="AA68" s="15"/>
      <c r="AB68" s="15"/>
      <c r="AC68" s="15"/>
      <c r="AD68" s="15"/>
      <c r="AE68" s="15"/>
      <c r="AF68" s="15"/>
      <c r="AG68" s="15"/>
      <c r="AH68" s="15"/>
      <c r="AI68" s="15"/>
      <c r="AJ68" s="15"/>
      <c r="AK68" s="15"/>
      <c r="AL68" s="15"/>
      <c r="AM68" s="15"/>
      <c r="AN68" s="15"/>
      <c r="AO68" s="15"/>
      <c r="AP68" s="15"/>
      <c r="AQ68" s="15"/>
    </row>
    <row r="69" spans="1:43" s="33" customFormat="1" ht="17.25" hidden="1" customHeight="1">
      <c r="A69" s="191"/>
      <c r="C69" s="74"/>
      <c r="D69" s="1103">
        <v>2</v>
      </c>
      <c r="E69" s="1105" t="s">
        <v>217</v>
      </c>
      <c r="F69" s="1107" t="s">
        <v>57</v>
      </c>
      <c r="G69" s="1105"/>
      <c r="H69" s="1110"/>
      <c r="I69" s="1112"/>
      <c r="J69" s="1114"/>
      <c r="K69" s="1101"/>
      <c r="L69" s="1101"/>
      <c r="M69" s="1101"/>
      <c r="N69" s="1117"/>
      <c r="O69" s="1101"/>
      <c r="P69" s="1101"/>
      <c r="Q69" s="1101"/>
      <c r="R69" s="1120"/>
      <c r="S69" s="1101"/>
      <c r="T69" s="833"/>
      <c r="U69" s="833"/>
      <c r="V69" s="832"/>
      <c r="W69" s="776"/>
      <c r="X69" s="761"/>
      <c r="Y69" s="761"/>
      <c r="Z69" s="761"/>
      <c r="AA69" s="761"/>
      <c r="AB69" s="761"/>
      <c r="AC69" s="761" t="s">
        <v>218</v>
      </c>
      <c r="AD69" s="761" t="s">
        <v>219</v>
      </c>
      <c r="AE69" s="761" t="s">
        <v>220</v>
      </c>
      <c r="AF69" s="761" t="s">
        <v>221</v>
      </c>
      <c r="AG69" s="761"/>
      <c r="AH69" s="761" t="str">
        <f>IF($E$69=0,"",$E$69)</f>
        <v>Тариф на техническую воду</v>
      </c>
      <c r="AI69" s="761" t="str">
        <f>IF($G$69=0,"",$G$69)</f>
        <v/>
      </c>
      <c r="AJ69" s="761" t="str">
        <f>IF($J$69=0,"",$J$69)</f>
        <v/>
      </c>
      <c r="AK69" s="761" t="str">
        <f>IF($K$69="нет","без дифференциации",IF($N$69=0,"",$N$69))</f>
        <v/>
      </c>
      <c r="AL69" s="761" t="str">
        <f>IF($O$69="нет","без дифференциации",IF($R$69=0,"",$R$69))</f>
        <v/>
      </c>
      <c r="AM69" s="761" t="str">
        <f>IF($S$69="нет","без дифференциации",IF($V$69=0,"",$V$69))</f>
        <v/>
      </c>
      <c r="AN69" s="1009">
        <f>$I$69</f>
        <v>0</v>
      </c>
      <c r="AO69" s="761" t="str">
        <f>$I$69&amp;"."&amp;$M$69</f>
        <v>.</v>
      </c>
      <c r="AP69" s="15" t="str">
        <f>$I$69&amp;"."&amp;$M$69&amp;"."&amp;$Q$69</f>
        <v>..</v>
      </c>
      <c r="AQ69" s="15" t="str">
        <f>$I$69&amp;"."&amp;$M$69&amp;"."&amp;$Q$69&amp;"."&amp;$U$69</f>
        <v>...</v>
      </c>
    </row>
    <row r="70" spans="1:43" s="33" customFormat="1" ht="17.25" hidden="1" customHeight="1">
      <c r="A70" s="191"/>
      <c r="D70" s="1103"/>
      <c r="E70" s="1105"/>
      <c r="F70" s="1108"/>
      <c r="G70" s="1105"/>
      <c r="H70" s="1111"/>
      <c r="I70" s="1113"/>
      <c r="J70" s="1115"/>
      <c r="K70" s="1102"/>
      <c r="L70" s="1102"/>
      <c r="M70" s="1102"/>
      <c r="N70" s="1118"/>
      <c r="O70" s="1102"/>
      <c r="P70" s="1102"/>
      <c r="Q70" s="1102"/>
      <c r="R70" s="1119"/>
      <c r="S70" s="1102"/>
      <c r="T70" s="777"/>
      <c r="U70" s="777"/>
      <c r="V70" s="777"/>
      <c r="W70" s="778"/>
      <c r="X70" s="15"/>
      <c r="Y70" s="15"/>
      <c r="Z70" s="15"/>
      <c r="AA70" s="15"/>
      <c r="AB70" s="15"/>
      <c r="AC70" s="15"/>
      <c r="AD70" s="15"/>
      <c r="AE70" s="15"/>
      <c r="AF70" s="15"/>
      <c r="AG70" s="15"/>
      <c r="AH70" s="15"/>
      <c r="AI70" s="15"/>
      <c r="AJ70" s="15"/>
      <c r="AK70" s="15"/>
      <c r="AL70" s="15"/>
      <c r="AM70" s="15"/>
      <c r="AN70" s="15"/>
      <c r="AO70" s="15"/>
      <c r="AP70" s="15"/>
      <c r="AQ70" s="15"/>
    </row>
    <row r="71" spans="1:43" s="33" customFormat="1" ht="17.25" hidden="1" customHeight="1">
      <c r="A71" s="191"/>
      <c r="D71" s="1104"/>
      <c r="E71" s="1106"/>
      <c r="F71" s="1108"/>
      <c r="G71" s="1106"/>
      <c r="H71" s="1111"/>
      <c r="I71" s="1113"/>
      <c r="J71" s="1116"/>
      <c r="K71" s="1102"/>
      <c r="L71" s="1102"/>
      <c r="M71" s="1102"/>
      <c r="N71" s="1119"/>
      <c r="O71" s="1102"/>
      <c r="P71" s="53"/>
      <c r="Q71" s="777"/>
      <c r="R71" s="777"/>
      <c r="W71" s="778"/>
      <c r="X71" s="15"/>
      <c r="Y71" s="15"/>
      <c r="Z71" s="15"/>
      <c r="AA71" s="15"/>
      <c r="AB71" s="15"/>
      <c r="AC71" s="15"/>
      <c r="AD71" s="15"/>
      <c r="AE71" s="15"/>
      <c r="AF71" s="15"/>
      <c r="AG71" s="15"/>
      <c r="AH71" s="15"/>
      <c r="AI71" s="15"/>
      <c r="AJ71" s="15"/>
      <c r="AK71" s="15"/>
      <c r="AL71" s="15"/>
      <c r="AM71" s="15"/>
      <c r="AN71" s="15"/>
      <c r="AO71" s="15"/>
      <c r="AP71" s="15"/>
      <c r="AQ71" s="15"/>
    </row>
    <row r="72" spans="1:43" s="33" customFormat="1" ht="17.25" hidden="1" customHeight="1">
      <c r="A72" s="191"/>
      <c r="D72" s="1104"/>
      <c r="E72" s="1106"/>
      <c r="F72" s="1108"/>
      <c r="G72" s="1106"/>
      <c r="H72" s="1111"/>
      <c r="I72" s="1113"/>
      <c r="J72" s="1116"/>
      <c r="K72" s="1102"/>
      <c r="L72" s="777"/>
      <c r="M72" s="777"/>
      <c r="N72" s="777"/>
      <c r="O72" s="777"/>
      <c r="P72" s="777"/>
      <c r="Q72" s="777"/>
      <c r="R72" s="777"/>
      <c r="W72" s="778"/>
      <c r="X72" s="15"/>
      <c r="Y72" s="15"/>
      <c r="Z72" s="15"/>
      <c r="AA72" s="15"/>
      <c r="AB72" s="15"/>
      <c r="AC72" s="15"/>
      <c r="AD72" s="15"/>
      <c r="AE72" s="15"/>
      <c r="AF72" s="15"/>
      <c r="AG72" s="15"/>
      <c r="AH72" s="15"/>
      <c r="AI72" s="15"/>
      <c r="AJ72" s="15"/>
      <c r="AK72" s="15"/>
      <c r="AL72" s="15"/>
      <c r="AM72" s="15"/>
      <c r="AN72" s="15"/>
      <c r="AO72" s="15"/>
      <c r="AP72" s="15"/>
      <c r="AQ72" s="15"/>
    </row>
    <row r="73" spans="1:43" s="33" customFormat="1" ht="17.25" hidden="1" customHeight="1">
      <c r="A73" s="191"/>
      <c r="D73" s="1104"/>
      <c r="E73" s="1106"/>
      <c r="F73" s="1109"/>
      <c r="G73" s="1106"/>
      <c r="H73" s="779"/>
      <c r="I73" s="780"/>
      <c r="J73" s="780"/>
      <c r="K73" s="780"/>
      <c r="L73" s="780"/>
      <c r="M73" s="780"/>
      <c r="N73" s="780"/>
      <c r="O73" s="780"/>
      <c r="P73" s="780"/>
      <c r="Q73" s="780"/>
      <c r="R73" s="780"/>
      <c r="S73" s="781"/>
      <c r="T73" s="781"/>
      <c r="U73" s="781"/>
      <c r="V73" s="781"/>
      <c r="W73" s="782"/>
      <c r="X73" s="15"/>
      <c r="Y73" s="15"/>
      <c r="Z73" s="15"/>
      <c r="AA73" s="15"/>
      <c r="AB73" s="15"/>
      <c r="AC73" s="15"/>
      <c r="AD73" s="15"/>
      <c r="AE73" s="15"/>
      <c r="AF73" s="15"/>
      <c r="AG73" s="15"/>
      <c r="AH73" s="15"/>
      <c r="AI73" s="15"/>
      <c r="AJ73" s="15"/>
      <c r="AK73" s="15"/>
      <c r="AL73" s="15"/>
      <c r="AM73" s="15"/>
      <c r="AN73" s="15"/>
      <c r="AO73" s="15"/>
      <c r="AP73" s="15"/>
      <c r="AQ73" s="15"/>
    </row>
    <row r="74" spans="1:43" s="33" customFormat="1" ht="17.25" hidden="1" customHeight="1">
      <c r="A74" s="191"/>
      <c r="C74" s="74"/>
      <c r="D74" s="1103">
        <v>3</v>
      </c>
      <c r="E74" s="1105" t="s">
        <v>222</v>
      </c>
      <c r="F74" s="1107" t="s">
        <v>57</v>
      </c>
      <c r="G74" s="1105"/>
      <c r="H74" s="1110"/>
      <c r="I74" s="1112"/>
      <c r="J74" s="1114"/>
      <c r="K74" s="1101"/>
      <c r="L74" s="1101"/>
      <c r="M74" s="1101"/>
      <c r="N74" s="1117"/>
      <c r="O74" s="1101"/>
      <c r="P74" s="1101"/>
      <c r="Q74" s="1101"/>
      <c r="R74" s="1120"/>
      <c r="S74" s="1101"/>
      <c r="T74" s="833"/>
      <c r="U74" s="833"/>
      <c r="V74" s="832"/>
      <c r="W74" s="776"/>
      <c r="X74" s="761"/>
      <c r="Y74" s="761"/>
      <c r="Z74" s="761"/>
      <c r="AA74" s="761"/>
      <c r="AB74" s="761"/>
      <c r="AC74" s="761" t="s">
        <v>223</v>
      </c>
      <c r="AD74" s="761" t="s">
        <v>224</v>
      </c>
      <c r="AE74" s="761" t="s">
        <v>225</v>
      </c>
      <c r="AF74" s="761" t="s">
        <v>226</v>
      </c>
      <c r="AG74" s="761"/>
      <c r="AH74" s="761" t="str">
        <f>IF($E$74=0,"",$E$74)</f>
        <v>Тариф на транспортировку воды</v>
      </c>
      <c r="AI74" s="761" t="str">
        <f>IF($G$74=0,"",$G$74)</f>
        <v/>
      </c>
      <c r="AJ74" s="761" t="str">
        <f>IF($J$74=0,"",$J$74)</f>
        <v/>
      </c>
      <c r="AK74" s="761" t="str">
        <f>IF($K$74="нет","без дифференциации",IF($N$74=0,"",$N$74))</f>
        <v/>
      </c>
      <c r="AL74" s="761" t="str">
        <f>IF($O$74="нет","без дифференциации",IF($R$74=0,"",$R$74))</f>
        <v/>
      </c>
      <c r="AM74" s="761" t="str">
        <f>IF($S$74="нет","без дифференциации",IF($V$74=0,"",$V$74))</f>
        <v/>
      </c>
      <c r="AN74" s="1009">
        <f>$I$74</f>
        <v>0</v>
      </c>
      <c r="AO74" s="761" t="str">
        <f>$I$74&amp;"."&amp;$M$74</f>
        <v>.</v>
      </c>
      <c r="AP74" s="15" t="str">
        <f>$I$74&amp;"."&amp;$M$74&amp;"."&amp;$Q$74</f>
        <v>..</v>
      </c>
      <c r="AQ74" s="15" t="str">
        <f>$I$74&amp;"."&amp;$M$74&amp;"."&amp;$Q$74&amp;"."&amp;$U$74</f>
        <v>...</v>
      </c>
    </row>
    <row r="75" spans="1:43" s="33" customFormat="1" ht="17.25" hidden="1" customHeight="1">
      <c r="A75" s="191"/>
      <c r="D75" s="1103"/>
      <c r="E75" s="1105"/>
      <c r="F75" s="1108"/>
      <c r="G75" s="1105"/>
      <c r="H75" s="1111"/>
      <c r="I75" s="1113"/>
      <c r="J75" s="1115"/>
      <c r="K75" s="1102"/>
      <c r="L75" s="1102"/>
      <c r="M75" s="1102"/>
      <c r="N75" s="1118"/>
      <c r="O75" s="1102"/>
      <c r="P75" s="1102"/>
      <c r="Q75" s="1102"/>
      <c r="R75" s="1119"/>
      <c r="S75" s="1102"/>
      <c r="T75" s="777"/>
      <c r="U75" s="777"/>
      <c r="V75" s="777"/>
      <c r="W75" s="778"/>
      <c r="X75" s="15"/>
      <c r="Y75" s="15"/>
      <c r="Z75" s="15"/>
      <c r="AA75" s="15"/>
      <c r="AB75" s="15"/>
      <c r="AC75" s="15"/>
      <c r="AD75" s="15"/>
      <c r="AE75" s="15"/>
      <c r="AF75" s="15"/>
      <c r="AG75" s="15"/>
      <c r="AH75" s="15"/>
      <c r="AI75" s="15"/>
      <c r="AJ75" s="15"/>
      <c r="AK75" s="15"/>
      <c r="AL75" s="15"/>
      <c r="AM75" s="15"/>
      <c r="AN75" s="15"/>
      <c r="AO75" s="15"/>
      <c r="AP75" s="15"/>
      <c r="AQ75" s="15"/>
    </row>
    <row r="76" spans="1:43" s="33" customFormat="1" ht="17.25" hidden="1" customHeight="1">
      <c r="A76" s="191"/>
      <c r="D76" s="1104"/>
      <c r="E76" s="1106"/>
      <c r="F76" s="1108"/>
      <c r="G76" s="1106"/>
      <c r="H76" s="1111"/>
      <c r="I76" s="1113"/>
      <c r="J76" s="1116"/>
      <c r="K76" s="1102"/>
      <c r="L76" s="1102"/>
      <c r="M76" s="1102"/>
      <c r="N76" s="1119"/>
      <c r="O76" s="1102"/>
      <c r="P76" s="53"/>
      <c r="Q76" s="777"/>
      <c r="R76" s="777"/>
      <c r="W76" s="778"/>
      <c r="X76" s="15"/>
      <c r="Y76" s="15"/>
      <c r="Z76" s="15"/>
      <c r="AA76" s="15"/>
      <c r="AB76" s="15"/>
      <c r="AC76" s="15"/>
      <c r="AD76" s="15"/>
      <c r="AE76" s="15"/>
      <c r="AF76" s="15"/>
      <c r="AG76" s="15"/>
      <c r="AH76" s="15"/>
      <c r="AI76" s="15"/>
      <c r="AJ76" s="15"/>
      <c r="AK76" s="15"/>
      <c r="AL76" s="15"/>
      <c r="AM76" s="15"/>
      <c r="AN76" s="15"/>
      <c r="AO76" s="15"/>
      <c r="AP76" s="15"/>
      <c r="AQ76" s="15"/>
    </row>
    <row r="77" spans="1:43" s="33" customFormat="1" ht="17.25" hidden="1" customHeight="1">
      <c r="A77" s="191"/>
      <c r="D77" s="1104"/>
      <c r="E77" s="1106"/>
      <c r="F77" s="1108"/>
      <c r="G77" s="1106"/>
      <c r="H77" s="1111"/>
      <c r="I77" s="1113"/>
      <c r="J77" s="1116"/>
      <c r="K77" s="1102"/>
      <c r="L77" s="777"/>
      <c r="M77" s="777"/>
      <c r="N77" s="777"/>
      <c r="O77" s="777"/>
      <c r="P77" s="777"/>
      <c r="Q77" s="777"/>
      <c r="R77" s="777"/>
      <c r="W77" s="778"/>
      <c r="X77" s="15"/>
      <c r="Y77" s="15"/>
      <c r="Z77" s="15"/>
      <c r="AA77" s="15"/>
      <c r="AB77" s="15"/>
      <c r="AC77" s="15"/>
      <c r="AD77" s="15"/>
      <c r="AE77" s="15"/>
      <c r="AF77" s="15"/>
      <c r="AG77" s="15"/>
      <c r="AH77" s="15"/>
      <c r="AI77" s="15"/>
      <c r="AJ77" s="15"/>
      <c r="AK77" s="15"/>
      <c r="AL77" s="15"/>
      <c r="AM77" s="15"/>
      <c r="AN77" s="15"/>
      <c r="AO77" s="15"/>
      <c r="AP77" s="15"/>
      <c r="AQ77" s="15"/>
    </row>
    <row r="78" spans="1:43" s="33" customFormat="1" ht="17.25" hidden="1" customHeight="1">
      <c r="A78" s="191"/>
      <c r="D78" s="1104"/>
      <c r="E78" s="1106"/>
      <c r="F78" s="1109"/>
      <c r="G78" s="1106"/>
      <c r="H78" s="779"/>
      <c r="I78" s="780"/>
      <c r="J78" s="780"/>
      <c r="K78" s="780"/>
      <c r="L78" s="780"/>
      <c r="M78" s="780"/>
      <c r="N78" s="780"/>
      <c r="O78" s="780"/>
      <c r="P78" s="780"/>
      <c r="Q78" s="780"/>
      <c r="R78" s="780"/>
      <c r="S78" s="781"/>
      <c r="T78" s="781"/>
      <c r="U78" s="781"/>
      <c r="V78" s="781"/>
      <c r="W78" s="782"/>
      <c r="X78" s="15"/>
      <c r="Y78" s="15"/>
      <c r="Z78" s="15"/>
      <c r="AA78" s="15"/>
      <c r="AB78" s="15"/>
      <c r="AC78" s="15"/>
      <c r="AD78" s="15"/>
      <c r="AE78" s="15"/>
      <c r="AF78" s="15"/>
      <c r="AG78" s="15"/>
      <c r="AH78" s="15"/>
      <c r="AI78" s="15"/>
      <c r="AJ78" s="15"/>
      <c r="AK78" s="15"/>
      <c r="AL78" s="15"/>
      <c r="AM78" s="15"/>
      <c r="AN78" s="15"/>
      <c r="AO78" s="15"/>
      <c r="AP78" s="15"/>
      <c r="AQ78" s="15"/>
    </row>
    <row r="79" spans="1:43" s="33" customFormat="1" ht="17.25" hidden="1" customHeight="1">
      <c r="A79" s="191"/>
      <c r="C79" s="74"/>
      <c r="D79" s="1103">
        <v>4</v>
      </c>
      <c r="E79" s="1105" t="s">
        <v>227</v>
      </c>
      <c r="F79" s="1107" t="s">
        <v>57</v>
      </c>
      <c r="G79" s="1105"/>
      <c r="H79" s="1110"/>
      <c r="I79" s="1112"/>
      <c r="J79" s="1114"/>
      <c r="K79" s="1101"/>
      <c r="L79" s="1101"/>
      <c r="M79" s="1101"/>
      <c r="N79" s="1117"/>
      <c r="O79" s="1101"/>
      <c r="P79" s="1101"/>
      <c r="Q79" s="1101"/>
      <c r="R79" s="1120"/>
      <c r="S79" s="1101"/>
      <c r="T79" s="833"/>
      <c r="U79" s="833"/>
      <c r="V79" s="832"/>
      <c r="W79" s="776"/>
      <c r="X79" s="761"/>
      <c r="Y79" s="761"/>
      <c r="Z79" s="761"/>
      <c r="AA79" s="761"/>
      <c r="AB79" s="761"/>
      <c r="AC79" s="761" t="s">
        <v>228</v>
      </c>
      <c r="AD79" s="761" t="s">
        <v>229</v>
      </c>
      <c r="AE79" s="761" t="s">
        <v>230</v>
      </c>
      <c r="AF79" s="761" t="s">
        <v>231</v>
      </c>
      <c r="AG79" s="761"/>
      <c r="AH79" s="761" t="str">
        <f>IF($E$79=0,"",$E$79)</f>
        <v>Тариф на подвоз воды</v>
      </c>
      <c r="AI79" s="761" t="str">
        <f>IF($G$79=0,"",$G$79)</f>
        <v/>
      </c>
      <c r="AJ79" s="761" t="str">
        <f>IF($J$79=0,"",$J$79)</f>
        <v/>
      </c>
      <c r="AK79" s="761" t="str">
        <f>IF($K$79="нет","без дифференциации",IF($N$79=0,"",$N$79))</f>
        <v/>
      </c>
      <c r="AL79" s="761" t="str">
        <f>IF($O$79="нет","без дифференциации",IF($R$79=0,"",$R$79))</f>
        <v/>
      </c>
      <c r="AM79" s="761" t="str">
        <f>IF($S$79="нет","без дифференциации",IF($V$79=0,"",$V$79))</f>
        <v/>
      </c>
      <c r="AN79" s="1009">
        <f>$I$79</f>
        <v>0</v>
      </c>
      <c r="AO79" s="761" t="str">
        <f>$I$79&amp;"."&amp;$M$79</f>
        <v>.</v>
      </c>
      <c r="AP79" s="15" t="str">
        <f>$I$79&amp;"."&amp;$M$79&amp;"."&amp;$Q$79</f>
        <v>..</v>
      </c>
      <c r="AQ79" s="15" t="str">
        <f>$I$79&amp;"."&amp;$M$79&amp;"."&amp;$Q$79&amp;"."&amp;$U$79</f>
        <v>...</v>
      </c>
    </row>
    <row r="80" spans="1:43" s="33" customFormat="1" ht="17.25" hidden="1" customHeight="1">
      <c r="A80" s="191"/>
      <c r="D80" s="1103"/>
      <c r="E80" s="1105"/>
      <c r="F80" s="1108"/>
      <c r="G80" s="1105"/>
      <c r="H80" s="1111"/>
      <c r="I80" s="1113"/>
      <c r="J80" s="1115"/>
      <c r="K80" s="1102"/>
      <c r="L80" s="1102"/>
      <c r="M80" s="1102"/>
      <c r="N80" s="1118"/>
      <c r="O80" s="1102"/>
      <c r="P80" s="1102"/>
      <c r="Q80" s="1102"/>
      <c r="R80" s="1119"/>
      <c r="S80" s="1102"/>
      <c r="T80" s="777"/>
      <c r="U80" s="777"/>
      <c r="V80" s="777"/>
      <c r="W80" s="778"/>
      <c r="X80" s="15"/>
      <c r="Y80" s="15"/>
      <c r="Z80" s="15"/>
      <c r="AA80" s="15"/>
      <c r="AB80" s="15"/>
      <c r="AC80" s="15"/>
      <c r="AD80" s="15"/>
      <c r="AE80" s="15"/>
      <c r="AF80" s="15"/>
      <c r="AG80" s="15"/>
      <c r="AH80" s="15"/>
      <c r="AI80" s="15"/>
      <c r="AJ80" s="15"/>
      <c r="AK80" s="15"/>
      <c r="AL80" s="15"/>
      <c r="AM80" s="15"/>
      <c r="AN80" s="15"/>
      <c r="AO80" s="15"/>
      <c r="AP80" s="15"/>
      <c r="AQ80" s="15"/>
    </row>
    <row r="81" spans="1:43" s="33" customFormat="1" ht="17.25" hidden="1" customHeight="1">
      <c r="A81" s="191"/>
      <c r="D81" s="1104"/>
      <c r="E81" s="1106"/>
      <c r="F81" s="1108"/>
      <c r="G81" s="1106"/>
      <c r="H81" s="1111"/>
      <c r="I81" s="1113"/>
      <c r="J81" s="1116"/>
      <c r="K81" s="1102"/>
      <c r="L81" s="1102"/>
      <c r="M81" s="1102"/>
      <c r="N81" s="1119"/>
      <c r="O81" s="1102"/>
      <c r="P81" s="53"/>
      <c r="Q81" s="777"/>
      <c r="R81" s="777"/>
      <c r="W81" s="778"/>
      <c r="X81" s="15"/>
      <c r="Y81" s="15"/>
      <c r="Z81" s="15"/>
      <c r="AA81" s="15"/>
      <c r="AB81" s="15"/>
      <c r="AC81" s="15"/>
      <c r="AD81" s="15"/>
      <c r="AE81" s="15"/>
      <c r="AF81" s="15"/>
      <c r="AG81" s="15"/>
      <c r="AH81" s="15"/>
      <c r="AI81" s="15"/>
      <c r="AJ81" s="15"/>
      <c r="AK81" s="15"/>
      <c r="AL81" s="15"/>
      <c r="AM81" s="15"/>
      <c r="AN81" s="15"/>
      <c r="AO81" s="15"/>
      <c r="AP81" s="15"/>
      <c r="AQ81" s="15"/>
    </row>
    <row r="82" spans="1:43" s="33" customFormat="1" ht="17.25" hidden="1" customHeight="1">
      <c r="A82" s="191"/>
      <c r="D82" s="1104"/>
      <c r="E82" s="1106"/>
      <c r="F82" s="1108"/>
      <c r="G82" s="1106"/>
      <c r="H82" s="1111"/>
      <c r="I82" s="1113"/>
      <c r="J82" s="1116"/>
      <c r="K82" s="1102"/>
      <c r="L82" s="777"/>
      <c r="M82" s="777"/>
      <c r="N82" s="777"/>
      <c r="O82" s="777"/>
      <c r="P82" s="777"/>
      <c r="Q82" s="777"/>
      <c r="R82" s="777"/>
      <c r="W82" s="778"/>
      <c r="X82" s="15"/>
      <c r="Y82" s="15"/>
      <c r="Z82" s="15"/>
      <c r="AA82" s="15"/>
      <c r="AB82" s="15"/>
      <c r="AC82" s="15"/>
      <c r="AD82" s="15"/>
      <c r="AE82" s="15"/>
      <c r="AF82" s="15"/>
      <c r="AG82" s="15"/>
      <c r="AH82" s="15"/>
      <c r="AI82" s="15"/>
      <c r="AJ82" s="15"/>
      <c r="AK82" s="15"/>
      <c r="AL82" s="15"/>
      <c r="AM82" s="15"/>
      <c r="AN82" s="15"/>
      <c r="AO82" s="15"/>
      <c r="AP82" s="15"/>
      <c r="AQ82" s="15"/>
    </row>
    <row r="83" spans="1:43" s="33" customFormat="1" ht="17.25" hidden="1" customHeight="1">
      <c r="A83" s="191"/>
      <c r="D83" s="1104"/>
      <c r="E83" s="1106"/>
      <c r="F83" s="1109"/>
      <c r="G83" s="1106"/>
      <c r="H83" s="779"/>
      <c r="I83" s="780"/>
      <c r="J83" s="780"/>
      <c r="K83" s="780"/>
      <c r="L83" s="780"/>
      <c r="M83" s="780"/>
      <c r="N83" s="780"/>
      <c r="O83" s="780"/>
      <c r="P83" s="780"/>
      <c r="Q83" s="780"/>
      <c r="R83" s="780"/>
      <c r="S83" s="781"/>
      <c r="T83" s="781"/>
      <c r="U83" s="781"/>
      <c r="V83" s="781"/>
      <c r="W83" s="782"/>
      <c r="X83" s="15"/>
      <c r="Y83" s="15"/>
      <c r="Z83" s="15"/>
      <c r="AA83" s="15"/>
      <c r="AB83" s="15"/>
      <c r="AC83" s="15"/>
      <c r="AD83" s="15"/>
      <c r="AE83" s="15"/>
      <c r="AF83" s="15"/>
      <c r="AG83" s="15"/>
      <c r="AH83" s="15"/>
      <c r="AI83" s="15"/>
      <c r="AJ83" s="15"/>
      <c r="AK83" s="15"/>
      <c r="AL83" s="15"/>
      <c r="AM83" s="15"/>
      <c r="AN83" s="15"/>
      <c r="AO83" s="15"/>
      <c r="AP83" s="15"/>
      <c r="AQ83" s="15"/>
    </row>
    <row r="84" spans="1:43" s="33" customFormat="1" ht="17.25" hidden="1" customHeight="1">
      <c r="A84" s="191"/>
      <c r="C84" s="74"/>
      <c r="D84" s="1103">
        <v>5</v>
      </c>
      <c r="E84" s="1105" t="s">
        <v>232</v>
      </c>
      <c r="F84" s="1107" t="s">
        <v>57</v>
      </c>
      <c r="G84" s="1105"/>
      <c r="H84" s="1110"/>
      <c r="I84" s="1112"/>
      <c r="J84" s="1114"/>
      <c r="K84" s="1101"/>
      <c r="L84" s="1101"/>
      <c r="M84" s="1101"/>
      <c r="N84" s="1117"/>
      <c r="O84" s="1101"/>
      <c r="P84" s="1101"/>
      <c r="Q84" s="1101"/>
      <c r="R84" s="1120"/>
      <c r="S84" s="1101"/>
      <c r="T84" s="833"/>
      <c r="U84" s="833"/>
      <c r="V84" s="832"/>
      <c r="W84" s="776"/>
      <c r="X84" s="761"/>
      <c r="Y84" s="761"/>
      <c r="Z84" s="761"/>
      <c r="AA84" s="761"/>
      <c r="AB84" s="761"/>
      <c r="AC84" s="761" t="s">
        <v>233</v>
      </c>
      <c r="AD84" s="761" t="s">
        <v>234</v>
      </c>
      <c r="AE84" s="761" t="s">
        <v>235</v>
      </c>
      <c r="AF84" s="761" t="s">
        <v>236</v>
      </c>
      <c r="AG84" s="761"/>
      <c r="AH84" s="761" t="str">
        <f>IF($E$84=0,"",$E$84)</f>
        <v>Тариф на подключение (технологическое присоединение) к централизованной системе холодного водоснабжения</v>
      </c>
      <c r="AI84" s="761" t="str">
        <f>IF($G$84=0,"",$G$84)</f>
        <v/>
      </c>
      <c r="AJ84" s="761" t="str">
        <f>IF($J$84=0,"",$J$84)</f>
        <v/>
      </c>
      <c r="AK84" s="761" t="str">
        <f>IF($K$84="нет","без дифференциации",IF($N$84=0,"",$N$84))</f>
        <v/>
      </c>
      <c r="AL84" s="761" t="str">
        <f>IF($O$84="нет","без дифференциации",IF($R$84=0,"",$R$84))</f>
        <v/>
      </c>
      <c r="AM84" s="761" t="str">
        <f>IF($S$84="нет","без дифференциации",IF($V$84=0,"",$V$84))</f>
        <v/>
      </c>
      <c r="AN84" s="1009">
        <f>$I$84</f>
        <v>0</v>
      </c>
      <c r="AO84" s="761" t="str">
        <f>$I$84&amp;"."&amp;$M$84</f>
        <v>.</v>
      </c>
      <c r="AP84" s="15" t="str">
        <f>$I$84&amp;"."&amp;$M$84&amp;"."&amp;$Q$84</f>
        <v>..</v>
      </c>
      <c r="AQ84" s="15" t="str">
        <f>$I$84&amp;"."&amp;$M$84&amp;"."&amp;$Q$84&amp;"."&amp;$U$84</f>
        <v>...</v>
      </c>
    </row>
    <row r="85" spans="1:43" s="33" customFormat="1" ht="17.25" hidden="1" customHeight="1">
      <c r="A85" s="191"/>
      <c r="D85" s="1103"/>
      <c r="E85" s="1105"/>
      <c r="F85" s="1108"/>
      <c r="G85" s="1105"/>
      <c r="H85" s="1111"/>
      <c r="I85" s="1113"/>
      <c r="J85" s="1115"/>
      <c r="K85" s="1102"/>
      <c r="L85" s="1102"/>
      <c r="M85" s="1102"/>
      <c r="N85" s="1118"/>
      <c r="O85" s="1102"/>
      <c r="P85" s="1102"/>
      <c r="Q85" s="1102"/>
      <c r="R85" s="1119"/>
      <c r="S85" s="1102"/>
      <c r="T85" s="777"/>
      <c r="U85" s="777"/>
      <c r="V85" s="777"/>
      <c r="W85" s="778"/>
      <c r="X85" s="15"/>
      <c r="Y85" s="15"/>
      <c r="Z85" s="15"/>
      <c r="AA85" s="15"/>
      <c r="AB85" s="15"/>
      <c r="AC85" s="15"/>
      <c r="AD85" s="15"/>
      <c r="AE85" s="15"/>
      <c r="AF85" s="15"/>
      <c r="AG85" s="15"/>
      <c r="AH85" s="15"/>
      <c r="AI85" s="15"/>
      <c r="AJ85" s="15"/>
      <c r="AK85" s="15"/>
      <c r="AL85" s="15"/>
      <c r="AM85" s="15"/>
      <c r="AN85" s="15"/>
      <c r="AO85" s="15"/>
      <c r="AP85" s="15"/>
      <c r="AQ85" s="15"/>
    </row>
    <row r="86" spans="1:43" s="33" customFormat="1" ht="17.25" hidden="1" customHeight="1">
      <c r="A86" s="191"/>
      <c r="D86" s="1104"/>
      <c r="E86" s="1106"/>
      <c r="F86" s="1108"/>
      <c r="G86" s="1106"/>
      <c r="H86" s="1111"/>
      <c r="I86" s="1113"/>
      <c r="J86" s="1116"/>
      <c r="K86" s="1102"/>
      <c r="L86" s="1102"/>
      <c r="M86" s="1102"/>
      <c r="N86" s="1119"/>
      <c r="O86" s="1102"/>
      <c r="P86" s="53"/>
      <c r="Q86" s="777"/>
      <c r="R86" s="777"/>
      <c r="W86" s="778"/>
      <c r="X86" s="15"/>
      <c r="Y86" s="15"/>
      <c r="Z86" s="15"/>
      <c r="AA86" s="15"/>
      <c r="AB86" s="15"/>
      <c r="AC86" s="15"/>
      <c r="AD86" s="15"/>
      <c r="AE86" s="15"/>
      <c r="AF86" s="15"/>
      <c r="AG86" s="15"/>
      <c r="AH86" s="15"/>
      <c r="AI86" s="15"/>
      <c r="AJ86" s="15"/>
      <c r="AK86" s="15"/>
      <c r="AL86" s="15"/>
      <c r="AM86" s="15"/>
      <c r="AN86" s="15"/>
      <c r="AO86" s="15"/>
      <c r="AP86" s="15"/>
      <c r="AQ86" s="15"/>
    </row>
    <row r="87" spans="1:43" s="33" customFormat="1" ht="17.25" hidden="1" customHeight="1">
      <c r="A87" s="191"/>
      <c r="D87" s="1104"/>
      <c r="E87" s="1106"/>
      <c r="F87" s="1108"/>
      <c r="G87" s="1106"/>
      <c r="H87" s="1111"/>
      <c r="I87" s="1113"/>
      <c r="J87" s="1116"/>
      <c r="K87" s="1102"/>
      <c r="L87" s="777"/>
      <c r="M87" s="777"/>
      <c r="N87" s="777"/>
      <c r="O87" s="777"/>
      <c r="P87" s="777"/>
      <c r="Q87" s="777"/>
      <c r="R87" s="777"/>
      <c r="W87" s="778"/>
      <c r="X87" s="15"/>
      <c r="Y87" s="15"/>
      <c r="Z87" s="15"/>
      <c r="AA87" s="15"/>
      <c r="AB87" s="15"/>
      <c r="AC87" s="15"/>
      <c r="AD87" s="15"/>
      <c r="AE87" s="15"/>
      <c r="AF87" s="15"/>
      <c r="AG87" s="15"/>
      <c r="AH87" s="15"/>
      <c r="AI87" s="15"/>
      <c r="AJ87" s="15"/>
      <c r="AK87" s="15"/>
      <c r="AL87" s="15"/>
      <c r="AM87" s="15"/>
      <c r="AN87" s="15"/>
      <c r="AO87" s="15"/>
      <c r="AP87" s="15"/>
      <c r="AQ87" s="15"/>
    </row>
    <row r="88" spans="1:43" s="33" customFormat="1" ht="17.25" hidden="1" customHeight="1">
      <c r="A88" s="191"/>
      <c r="D88" s="1104"/>
      <c r="E88" s="1106"/>
      <c r="F88" s="1109"/>
      <c r="G88" s="1106"/>
      <c r="H88" s="779"/>
      <c r="I88" s="780"/>
      <c r="J88" s="780"/>
      <c r="K88" s="780"/>
      <c r="L88" s="780"/>
      <c r="M88" s="780"/>
      <c r="N88" s="780"/>
      <c r="O88" s="780"/>
      <c r="P88" s="780"/>
      <c r="Q88" s="780"/>
      <c r="R88" s="780"/>
      <c r="S88" s="781"/>
      <c r="T88" s="781"/>
      <c r="U88" s="781"/>
      <c r="V88" s="781"/>
      <c r="W88" s="782"/>
      <c r="X88" s="15"/>
      <c r="Y88" s="15"/>
      <c r="Z88" s="15"/>
      <c r="AA88" s="15"/>
      <c r="AB88" s="15"/>
      <c r="AC88" s="15"/>
      <c r="AD88" s="15"/>
      <c r="AE88" s="15"/>
      <c r="AF88" s="15"/>
      <c r="AG88" s="15"/>
      <c r="AH88" s="15"/>
      <c r="AI88" s="15"/>
      <c r="AJ88" s="15"/>
      <c r="AK88" s="15"/>
      <c r="AL88" s="15"/>
      <c r="AM88" s="15"/>
      <c r="AN88" s="15"/>
      <c r="AO88" s="15"/>
      <c r="AP88" s="15"/>
      <c r="AQ88" s="15"/>
    </row>
    <row r="89" spans="1:43" s="33" customFormat="1" ht="11.25" customHeight="1">
      <c r="A89" s="66"/>
      <c r="B89" s="66"/>
      <c r="Y89" s="15"/>
      <c r="Z89" s="15"/>
      <c r="AA89" s="15"/>
      <c r="AB89" s="15"/>
      <c r="AC89" s="15"/>
      <c r="AD89" s="15"/>
      <c r="AE89" s="15"/>
      <c r="AF89" s="15"/>
      <c r="AG89" s="15"/>
      <c r="AH89" s="15"/>
      <c r="AI89" s="15"/>
      <c r="AJ89" s="15"/>
      <c r="AK89" s="15"/>
      <c r="AL89" s="15"/>
      <c r="AM89" s="15"/>
      <c r="AN89" s="15"/>
      <c r="AO89" s="15"/>
      <c r="AP89" s="15"/>
      <c r="AQ89" s="15"/>
    </row>
    <row r="90" spans="1:43" s="33" customFormat="1" ht="17.25" hidden="1" customHeight="1">
      <c r="A90" s="191"/>
      <c r="C90" s="74"/>
      <c r="D90" s="1103">
        <v>1</v>
      </c>
      <c r="E90" s="1105" t="s">
        <v>237</v>
      </c>
      <c r="F90" s="1107" t="s">
        <v>57</v>
      </c>
      <c r="G90" s="1105"/>
      <c r="H90" s="1110"/>
      <c r="I90" s="1112"/>
      <c r="J90" s="1114"/>
      <c r="K90" s="1101"/>
      <c r="L90" s="1101"/>
      <c r="M90" s="1101"/>
      <c r="N90" s="1117"/>
      <c r="O90" s="1101"/>
      <c r="P90" s="1101"/>
      <c r="Q90" s="1101"/>
      <c r="R90" s="1120"/>
      <c r="S90" s="1101"/>
      <c r="T90" s="833"/>
      <c r="U90" s="833"/>
      <c r="V90" s="832"/>
      <c r="W90" s="776"/>
      <c r="Y90" s="761"/>
      <c r="Z90" s="761"/>
      <c r="AA90" s="761"/>
      <c r="AB90" s="761"/>
      <c r="AC90" s="761" t="s">
        <v>238</v>
      </c>
      <c r="AD90" s="761" t="s">
        <v>239</v>
      </c>
      <c r="AE90" s="761" t="s">
        <v>240</v>
      </c>
      <c r="AF90" s="761" t="s">
        <v>241</v>
      </c>
      <c r="AG90" s="761"/>
      <c r="AH90" s="761" t="str">
        <f>IF($E$90=0,"",$E$90)</f>
        <v>Тариф на горячую воду (горячее водоснабжение)</v>
      </c>
      <c r="AI90" s="761" t="str">
        <f>IF($G$90=0,"",$G$90)</f>
        <v/>
      </c>
      <c r="AJ90" s="761" t="str">
        <f>IF($J$90=0,"",$J$90)</f>
        <v/>
      </c>
      <c r="AK90" s="761" t="str">
        <f>IF($K$90="нет","без дифференциации",IF($N$90=0,"",$N$90))</f>
        <v/>
      </c>
      <c r="AL90" s="761" t="str">
        <f>IF($O$90="нет","без дифференциации",IF($R$90=0,"",$R$90))</f>
        <v/>
      </c>
      <c r="AM90" s="761" t="str">
        <f>IF($S$90="нет","без дифференциации",IF($V$90=0,"",$V$90))</f>
        <v/>
      </c>
      <c r="AN90" s="761">
        <f>$I$90</f>
        <v>0</v>
      </c>
      <c r="AO90" s="761" t="str">
        <f>$I$90&amp;"."&amp;$M$90</f>
        <v>.</v>
      </c>
      <c r="AP90" s="761" t="str">
        <f>$I$90&amp;"."&amp;$M$90&amp;"."&amp;$Q$90</f>
        <v>..</v>
      </c>
      <c r="AQ90" s="761" t="str">
        <f>$I$90&amp;"."&amp;$M$90&amp;"."&amp;$Q$90&amp;"."&amp;$U$90</f>
        <v>...</v>
      </c>
    </row>
    <row r="91" spans="1:43" s="33" customFormat="1" ht="17.25" hidden="1" customHeight="1">
      <c r="A91" s="191"/>
      <c r="D91" s="1103"/>
      <c r="E91" s="1105"/>
      <c r="F91" s="1108"/>
      <c r="G91" s="1105"/>
      <c r="H91" s="1111"/>
      <c r="I91" s="1113"/>
      <c r="J91" s="1115"/>
      <c r="K91" s="1102"/>
      <c r="L91" s="1102"/>
      <c r="M91" s="1102"/>
      <c r="N91" s="1118"/>
      <c r="O91" s="1102"/>
      <c r="P91" s="1102"/>
      <c r="Q91" s="1102"/>
      <c r="R91" s="1119"/>
      <c r="S91" s="1102"/>
      <c r="T91" s="777"/>
      <c r="U91" s="777"/>
      <c r="V91" s="777"/>
      <c r="W91" s="778"/>
      <c r="Y91" s="15"/>
      <c r="Z91" s="15"/>
      <c r="AA91" s="15"/>
      <c r="AB91" s="15"/>
      <c r="AC91" s="15"/>
      <c r="AD91" s="15"/>
      <c r="AE91" s="15"/>
      <c r="AF91" s="15"/>
      <c r="AG91" s="15"/>
      <c r="AH91" s="15"/>
      <c r="AI91" s="15"/>
      <c r="AJ91" s="15"/>
      <c r="AK91" s="15"/>
      <c r="AL91" s="15"/>
      <c r="AM91" s="15"/>
      <c r="AN91" s="15"/>
      <c r="AO91" s="15"/>
      <c r="AP91" s="15"/>
      <c r="AQ91" s="15"/>
    </row>
    <row r="92" spans="1:43" s="33" customFormat="1" ht="17.25" hidden="1" customHeight="1">
      <c r="A92" s="191"/>
      <c r="C92" s="74"/>
      <c r="D92" s="1103"/>
      <c r="E92" s="1105"/>
      <c r="F92" s="1108"/>
      <c r="G92" s="1105"/>
      <c r="H92" s="1111"/>
      <c r="I92" s="1113"/>
      <c r="J92" s="1116"/>
      <c r="K92" s="1102"/>
      <c r="L92" s="1102"/>
      <c r="M92" s="1102"/>
      <c r="N92" s="1119"/>
      <c r="O92" s="1102"/>
      <c r="P92" s="53"/>
      <c r="Q92" s="777"/>
      <c r="R92" s="777"/>
      <c r="W92" s="778"/>
      <c r="Y92" s="761"/>
      <c r="Z92" s="761"/>
      <c r="AA92" s="761"/>
      <c r="AB92" s="761"/>
      <c r="AC92" s="761"/>
      <c r="AD92" s="761"/>
      <c r="AE92" s="761"/>
      <c r="AF92" s="761"/>
      <c r="AG92" s="761"/>
      <c r="AH92" s="761"/>
      <c r="AI92" s="761"/>
      <c r="AJ92" s="761"/>
      <c r="AK92" s="761"/>
      <c r="AL92" s="761"/>
      <c r="AM92" s="761"/>
      <c r="AN92" s="761"/>
      <c r="AO92" s="761"/>
      <c r="AP92" s="761"/>
      <c r="AQ92" s="761"/>
    </row>
    <row r="93" spans="1:43" s="33" customFormat="1" ht="17.25" hidden="1" customHeight="1">
      <c r="A93" s="191"/>
      <c r="D93" s="1103"/>
      <c r="E93" s="1105"/>
      <c r="F93" s="1108"/>
      <c r="G93" s="1105"/>
      <c r="H93" s="1111"/>
      <c r="I93" s="1113"/>
      <c r="J93" s="1116"/>
      <c r="K93" s="1102"/>
      <c r="L93" s="777"/>
      <c r="M93" s="777"/>
      <c r="N93" s="777"/>
      <c r="O93" s="777"/>
      <c r="P93" s="777"/>
      <c r="Q93" s="777"/>
      <c r="R93" s="777"/>
      <c r="W93" s="778"/>
      <c r="Y93" s="15"/>
      <c r="Z93" s="15"/>
      <c r="AA93" s="15"/>
      <c r="AB93" s="15"/>
      <c r="AC93" s="15"/>
      <c r="AD93" s="15"/>
      <c r="AE93" s="15"/>
      <c r="AF93" s="15"/>
      <c r="AG93" s="15"/>
      <c r="AH93" s="15"/>
      <c r="AI93" s="15"/>
      <c r="AJ93" s="15"/>
      <c r="AK93" s="15"/>
      <c r="AL93" s="15"/>
      <c r="AM93" s="15"/>
      <c r="AN93" s="15"/>
      <c r="AO93" s="15"/>
      <c r="AP93" s="15"/>
      <c r="AQ93" s="15"/>
    </row>
    <row r="94" spans="1:43" s="33" customFormat="1" ht="17.25" hidden="1" customHeight="1">
      <c r="A94" s="191"/>
      <c r="D94" s="1104"/>
      <c r="E94" s="1106"/>
      <c r="F94" s="1109"/>
      <c r="G94" s="1106"/>
      <c r="H94" s="779"/>
      <c r="I94" s="780"/>
      <c r="J94" s="780"/>
      <c r="K94" s="780"/>
      <c r="L94" s="780"/>
      <c r="M94" s="780"/>
      <c r="N94" s="780"/>
      <c r="O94" s="780"/>
      <c r="P94" s="780"/>
      <c r="Q94" s="780"/>
      <c r="R94" s="780"/>
      <c r="S94" s="781"/>
      <c r="T94" s="781"/>
      <c r="U94" s="781"/>
      <c r="V94" s="781"/>
      <c r="W94" s="782"/>
      <c r="Y94" s="15"/>
      <c r="Z94" s="15"/>
      <c r="AA94" s="15"/>
      <c r="AB94" s="15"/>
      <c r="AC94" s="15"/>
      <c r="AD94" s="15"/>
      <c r="AE94" s="15"/>
      <c r="AF94" s="15"/>
      <c r="AG94" s="15"/>
      <c r="AH94" s="15"/>
      <c r="AI94" s="15"/>
      <c r="AJ94" s="15"/>
      <c r="AK94" s="15"/>
      <c r="AL94" s="15"/>
      <c r="AM94" s="15"/>
      <c r="AN94" s="15"/>
      <c r="AO94" s="15"/>
      <c r="AP94" s="15"/>
      <c r="AQ94" s="15"/>
    </row>
    <row r="95" spans="1:43" s="33" customFormat="1" ht="17.25" hidden="1" customHeight="1">
      <c r="A95" s="191"/>
      <c r="C95" s="74"/>
      <c r="D95" s="1103">
        <v>2</v>
      </c>
      <c r="E95" s="1105" t="s">
        <v>242</v>
      </c>
      <c r="F95" s="1107" t="s">
        <v>57</v>
      </c>
      <c r="G95" s="1105"/>
      <c r="H95" s="1110"/>
      <c r="I95" s="1112"/>
      <c r="J95" s="1114"/>
      <c r="K95" s="1101"/>
      <c r="L95" s="1101"/>
      <c r="M95" s="1101"/>
      <c r="N95" s="1117"/>
      <c r="O95" s="1101"/>
      <c r="P95" s="1101"/>
      <c r="Q95" s="1101"/>
      <c r="R95" s="1120"/>
      <c r="S95" s="1101"/>
      <c r="T95" s="833"/>
      <c r="U95" s="833"/>
      <c r="V95" s="832"/>
      <c r="W95" s="776"/>
      <c r="X95" s="761"/>
      <c r="Y95" s="761"/>
      <c r="Z95" s="761"/>
      <c r="AA95" s="761"/>
      <c r="AB95" s="761"/>
      <c r="AC95" s="761" t="s">
        <v>243</v>
      </c>
      <c r="AD95" s="761" t="s">
        <v>244</v>
      </c>
      <c r="AE95" s="761" t="s">
        <v>245</v>
      </c>
      <c r="AF95" s="761" t="s">
        <v>246</v>
      </c>
      <c r="AG95" s="761"/>
      <c r="AH95" s="761" t="str">
        <f>IF($E$95=0,"",$E$95)</f>
        <v>Тариф на транспортировку горячей воды</v>
      </c>
      <c r="AI95" s="761" t="str">
        <f>IF($G$95=0,"",$G$95)</f>
        <v/>
      </c>
      <c r="AJ95" s="761" t="str">
        <f>IF($J$95=0,"",$J$95)</f>
        <v/>
      </c>
      <c r="AK95" s="761" t="str">
        <f>IF($K$95="нет","без дифференциации",IF($N$95=0,"",$N$95))</f>
        <v/>
      </c>
      <c r="AL95" s="761" t="str">
        <f>IF($O$95="нет","без дифференциации",IF($R$95=0,"",$R$95))</f>
        <v/>
      </c>
      <c r="AM95" s="761" t="str">
        <f>IF($S$95="нет","без дифференциации",IF($V$95=0,"",$V$95))</f>
        <v/>
      </c>
      <c r="AN95" s="1009">
        <f>$I$95</f>
        <v>0</v>
      </c>
      <c r="AO95" s="761" t="str">
        <f>$I$95&amp;"."&amp;$M$95</f>
        <v>.</v>
      </c>
      <c r="AP95" s="15" t="str">
        <f>$I$95&amp;"."&amp;$M$95&amp;"."&amp;$Q$95</f>
        <v>..</v>
      </c>
      <c r="AQ95" s="15" t="str">
        <f>$I$95&amp;"."&amp;$M$95&amp;"."&amp;$Q$95&amp;"."&amp;$U$95</f>
        <v>...</v>
      </c>
    </row>
    <row r="96" spans="1:43" s="33" customFormat="1" ht="17.25" hidden="1" customHeight="1">
      <c r="A96" s="191"/>
      <c r="D96" s="1103"/>
      <c r="E96" s="1105"/>
      <c r="F96" s="1108"/>
      <c r="G96" s="1105"/>
      <c r="H96" s="1111"/>
      <c r="I96" s="1113"/>
      <c r="J96" s="1115"/>
      <c r="K96" s="1102"/>
      <c r="L96" s="1102"/>
      <c r="M96" s="1102"/>
      <c r="N96" s="1118"/>
      <c r="O96" s="1102"/>
      <c r="P96" s="1102"/>
      <c r="Q96" s="1102"/>
      <c r="R96" s="1119"/>
      <c r="S96" s="1102"/>
      <c r="T96" s="777"/>
      <c r="U96" s="777"/>
      <c r="V96" s="777"/>
      <c r="W96" s="778"/>
      <c r="X96" s="15"/>
      <c r="Y96" s="15"/>
      <c r="Z96" s="15"/>
      <c r="AA96" s="15"/>
      <c r="AB96" s="15"/>
      <c r="AC96" s="15"/>
      <c r="AD96" s="15"/>
      <c r="AE96" s="15"/>
      <c r="AF96" s="15"/>
      <c r="AG96" s="15"/>
      <c r="AH96" s="15"/>
      <c r="AI96" s="15"/>
      <c r="AJ96" s="15"/>
      <c r="AK96" s="15"/>
      <c r="AL96" s="15"/>
      <c r="AM96" s="15"/>
      <c r="AN96" s="15"/>
      <c r="AO96" s="15"/>
      <c r="AP96" s="15"/>
      <c r="AQ96" s="15"/>
    </row>
    <row r="97" spans="1:43" s="33" customFormat="1" ht="17.25" hidden="1" customHeight="1">
      <c r="A97" s="191"/>
      <c r="D97" s="1104"/>
      <c r="E97" s="1106"/>
      <c r="F97" s="1108"/>
      <c r="G97" s="1106"/>
      <c r="H97" s="1111"/>
      <c r="I97" s="1113"/>
      <c r="J97" s="1116"/>
      <c r="K97" s="1102"/>
      <c r="L97" s="1102"/>
      <c r="M97" s="1102"/>
      <c r="N97" s="1119"/>
      <c r="O97" s="1102"/>
      <c r="P97" s="53"/>
      <c r="Q97" s="777"/>
      <c r="R97" s="777"/>
      <c r="W97" s="778"/>
      <c r="X97" s="15"/>
      <c r="Y97" s="15"/>
      <c r="Z97" s="15"/>
      <c r="AA97" s="15"/>
      <c r="AB97" s="15"/>
      <c r="AC97" s="15"/>
      <c r="AD97" s="15"/>
      <c r="AE97" s="15"/>
      <c r="AF97" s="15"/>
      <c r="AG97" s="15"/>
      <c r="AH97" s="15"/>
      <c r="AI97" s="15"/>
      <c r="AJ97" s="15"/>
      <c r="AK97" s="15"/>
      <c r="AL97" s="15"/>
      <c r="AM97" s="15"/>
      <c r="AN97" s="15"/>
      <c r="AO97" s="15"/>
      <c r="AP97" s="15"/>
      <c r="AQ97" s="15"/>
    </row>
    <row r="98" spans="1:43" s="33" customFormat="1" ht="17.25" hidden="1" customHeight="1">
      <c r="A98" s="191"/>
      <c r="D98" s="1104"/>
      <c r="E98" s="1106"/>
      <c r="F98" s="1108"/>
      <c r="G98" s="1106"/>
      <c r="H98" s="1111"/>
      <c r="I98" s="1113"/>
      <c r="J98" s="1116"/>
      <c r="K98" s="1102"/>
      <c r="L98" s="777"/>
      <c r="M98" s="777"/>
      <c r="N98" s="777"/>
      <c r="O98" s="777"/>
      <c r="P98" s="777"/>
      <c r="Q98" s="777"/>
      <c r="R98" s="777"/>
      <c r="W98" s="778"/>
      <c r="X98" s="15"/>
      <c r="Y98" s="15"/>
      <c r="Z98" s="15"/>
      <c r="AA98" s="15"/>
      <c r="AB98" s="15"/>
      <c r="AC98" s="15"/>
      <c r="AD98" s="15"/>
      <c r="AE98" s="15"/>
      <c r="AF98" s="15"/>
      <c r="AG98" s="15"/>
      <c r="AH98" s="15"/>
      <c r="AI98" s="15"/>
      <c r="AJ98" s="15"/>
      <c r="AK98" s="15"/>
      <c r="AL98" s="15"/>
      <c r="AM98" s="15"/>
      <c r="AN98" s="15"/>
      <c r="AO98" s="15"/>
      <c r="AP98" s="15"/>
      <c r="AQ98" s="15"/>
    </row>
    <row r="99" spans="1:43" s="33" customFormat="1" ht="17.25" hidden="1" customHeight="1">
      <c r="A99" s="191"/>
      <c r="D99" s="1104"/>
      <c r="E99" s="1106"/>
      <c r="F99" s="1109"/>
      <c r="G99" s="1106"/>
      <c r="H99" s="779"/>
      <c r="I99" s="780"/>
      <c r="J99" s="780"/>
      <c r="K99" s="780"/>
      <c r="L99" s="780"/>
      <c r="M99" s="780"/>
      <c r="N99" s="780"/>
      <c r="O99" s="780"/>
      <c r="P99" s="780"/>
      <c r="Q99" s="780"/>
      <c r="R99" s="780"/>
      <c r="S99" s="781"/>
      <c r="T99" s="781"/>
      <c r="U99" s="781"/>
      <c r="V99" s="781"/>
      <c r="W99" s="782"/>
      <c r="X99" s="15"/>
      <c r="Y99" s="15"/>
      <c r="Z99" s="15"/>
      <c r="AA99" s="15"/>
      <c r="AB99" s="15"/>
      <c r="AC99" s="15"/>
      <c r="AD99" s="15"/>
      <c r="AE99" s="15"/>
      <c r="AF99" s="15"/>
      <c r="AG99" s="15"/>
      <c r="AH99" s="15"/>
      <c r="AI99" s="15"/>
      <c r="AJ99" s="15"/>
      <c r="AK99" s="15"/>
      <c r="AL99" s="15"/>
      <c r="AM99" s="15"/>
      <c r="AN99" s="15"/>
      <c r="AO99" s="15"/>
      <c r="AP99" s="15"/>
      <c r="AQ99" s="15"/>
    </row>
    <row r="100" spans="1:43" s="33" customFormat="1" ht="17.25" hidden="1" customHeight="1">
      <c r="A100" s="191"/>
      <c r="C100" s="74"/>
      <c r="D100" s="1103">
        <v>3</v>
      </c>
      <c r="E100" s="1105" t="s">
        <v>247</v>
      </c>
      <c r="F100" s="1107" t="s">
        <v>57</v>
      </c>
      <c r="G100" s="1105"/>
      <c r="H100" s="1110"/>
      <c r="I100" s="1112"/>
      <c r="J100" s="1114"/>
      <c r="K100" s="1101"/>
      <c r="L100" s="1101"/>
      <c r="M100" s="1101"/>
      <c r="N100" s="1117"/>
      <c r="O100" s="1101"/>
      <c r="P100" s="1101"/>
      <c r="Q100" s="1101"/>
      <c r="R100" s="1120"/>
      <c r="S100" s="1101"/>
      <c r="T100" s="833"/>
      <c r="U100" s="833"/>
      <c r="V100" s="832"/>
      <c r="W100" s="776"/>
      <c r="X100" s="761"/>
      <c r="Y100" s="761"/>
      <c r="Z100" s="761"/>
      <c r="AA100" s="761"/>
      <c r="AB100" s="761"/>
      <c r="AC100" s="761" t="s">
        <v>248</v>
      </c>
      <c r="AD100" s="761" t="s">
        <v>249</v>
      </c>
      <c r="AE100" s="761" t="s">
        <v>250</v>
      </c>
      <c r="AF100" s="761" t="s">
        <v>251</v>
      </c>
      <c r="AG100" s="761"/>
      <c r="AH100" s="761" t="str">
        <f>IF($E$100=0,"",$E$100)</f>
        <v>Тариф на подключение (технологическое присоединение) к централизованной системе горячего водоснабжения</v>
      </c>
      <c r="AI100" s="761" t="str">
        <f>IF($G$100=0,"",$G$100)</f>
        <v/>
      </c>
      <c r="AJ100" s="761" t="str">
        <f>IF($J$100=0,"",$J$100)</f>
        <v/>
      </c>
      <c r="AK100" s="761" t="str">
        <f>IF($K$100="нет","без дифференциации",IF($N$100=0,"",$N$100))</f>
        <v/>
      </c>
      <c r="AL100" s="761" t="str">
        <f>IF($O$100="нет","без дифференциации",IF($R$100=0,"",$R$100))</f>
        <v/>
      </c>
      <c r="AM100" s="761" t="str">
        <f>IF($S$100="нет","без дифференциации",IF($V$100=0,"",$V$100))</f>
        <v/>
      </c>
      <c r="AN100" s="1009">
        <f>$I$100</f>
        <v>0</v>
      </c>
      <c r="AO100" s="761" t="str">
        <f>$I$100&amp;"."&amp;$M$100</f>
        <v>.</v>
      </c>
      <c r="AP100" s="15" t="str">
        <f>$I$100&amp;"."&amp;$M$100&amp;"."&amp;$Q$100</f>
        <v>..</v>
      </c>
      <c r="AQ100" s="15" t="str">
        <f>$I$100&amp;"."&amp;$M$100&amp;"."&amp;$Q$100&amp;"."&amp;$U$100</f>
        <v>...</v>
      </c>
    </row>
    <row r="101" spans="1:43" s="33" customFormat="1" ht="17.25" hidden="1" customHeight="1">
      <c r="A101" s="191"/>
      <c r="D101" s="1103"/>
      <c r="E101" s="1105"/>
      <c r="F101" s="1108"/>
      <c r="G101" s="1105"/>
      <c r="H101" s="1111"/>
      <c r="I101" s="1113"/>
      <c r="J101" s="1115"/>
      <c r="K101" s="1102"/>
      <c r="L101" s="1102"/>
      <c r="M101" s="1102"/>
      <c r="N101" s="1118"/>
      <c r="O101" s="1102"/>
      <c r="P101" s="1102"/>
      <c r="Q101" s="1102"/>
      <c r="R101" s="1119"/>
      <c r="S101" s="1102"/>
      <c r="T101" s="777"/>
      <c r="U101" s="777"/>
      <c r="V101" s="777"/>
      <c r="W101" s="778"/>
      <c r="X101" s="15"/>
      <c r="Y101" s="15"/>
      <c r="Z101" s="15"/>
      <c r="AA101" s="15"/>
      <c r="AB101" s="15"/>
      <c r="AC101" s="15"/>
      <c r="AD101" s="15"/>
      <c r="AE101" s="15"/>
      <c r="AF101" s="15"/>
      <c r="AG101" s="15"/>
      <c r="AH101" s="15"/>
      <c r="AI101" s="15"/>
      <c r="AJ101" s="15"/>
      <c r="AK101" s="15"/>
      <c r="AL101" s="15"/>
      <c r="AM101" s="15"/>
      <c r="AN101" s="15"/>
      <c r="AO101" s="15"/>
      <c r="AP101" s="15"/>
      <c r="AQ101" s="15"/>
    </row>
    <row r="102" spans="1:43" s="33" customFormat="1" ht="17.25" hidden="1" customHeight="1">
      <c r="A102" s="191"/>
      <c r="D102" s="1104"/>
      <c r="E102" s="1106"/>
      <c r="F102" s="1108"/>
      <c r="G102" s="1106"/>
      <c r="H102" s="1111"/>
      <c r="I102" s="1113"/>
      <c r="J102" s="1116"/>
      <c r="K102" s="1102"/>
      <c r="L102" s="1102"/>
      <c r="M102" s="1102"/>
      <c r="N102" s="1119"/>
      <c r="O102" s="1102"/>
      <c r="P102" s="53"/>
      <c r="Q102" s="777"/>
      <c r="R102" s="777"/>
      <c r="W102" s="778"/>
      <c r="X102" s="15"/>
      <c r="Y102" s="15"/>
      <c r="Z102" s="15"/>
      <c r="AA102" s="15"/>
      <c r="AB102" s="15"/>
      <c r="AC102" s="15"/>
      <c r="AD102" s="15"/>
      <c r="AE102" s="15"/>
      <c r="AF102" s="15"/>
      <c r="AG102" s="15"/>
      <c r="AH102" s="15"/>
      <c r="AI102" s="15"/>
      <c r="AJ102" s="15"/>
      <c r="AK102" s="15"/>
      <c r="AL102" s="15"/>
      <c r="AM102" s="15"/>
      <c r="AN102" s="15"/>
      <c r="AO102" s="15"/>
      <c r="AP102" s="15"/>
      <c r="AQ102" s="15"/>
    </row>
    <row r="103" spans="1:43" s="33" customFormat="1" ht="17.25" hidden="1" customHeight="1">
      <c r="A103" s="191"/>
      <c r="D103" s="1104"/>
      <c r="E103" s="1106"/>
      <c r="F103" s="1108"/>
      <c r="G103" s="1106"/>
      <c r="H103" s="1111"/>
      <c r="I103" s="1113"/>
      <c r="J103" s="1116"/>
      <c r="K103" s="1102"/>
      <c r="L103" s="777"/>
      <c r="M103" s="777"/>
      <c r="N103" s="777"/>
      <c r="O103" s="777"/>
      <c r="P103" s="777"/>
      <c r="Q103" s="777"/>
      <c r="R103" s="777"/>
      <c r="W103" s="778"/>
      <c r="X103" s="15"/>
      <c r="Y103" s="15"/>
      <c r="Z103" s="15"/>
      <c r="AA103" s="15"/>
      <c r="AB103" s="15"/>
      <c r="AC103" s="15"/>
      <c r="AD103" s="15"/>
      <c r="AE103" s="15"/>
      <c r="AF103" s="15"/>
      <c r="AG103" s="15"/>
      <c r="AH103" s="15"/>
      <c r="AI103" s="15"/>
      <c r="AJ103" s="15"/>
      <c r="AK103" s="15"/>
      <c r="AL103" s="15"/>
      <c r="AM103" s="15"/>
      <c r="AN103" s="15"/>
      <c r="AO103" s="15"/>
      <c r="AP103" s="15"/>
      <c r="AQ103" s="15"/>
    </row>
    <row r="104" spans="1:43" s="33" customFormat="1" ht="17.25" hidden="1" customHeight="1">
      <c r="A104" s="191"/>
      <c r="D104" s="1104"/>
      <c r="E104" s="1106"/>
      <c r="F104" s="1109"/>
      <c r="G104" s="1106"/>
      <c r="H104" s="779"/>
      <c r="I104" s="780"/>
      <c r="J104" s="780"/>
      <c r="K104" s="780"/>
      <c r="L104" s="780"/>
      <c r="M104" s="780"/>
      <c r="N104" s="780"/>
      <c r="O104" s="780"/>
      <c r="P104" s="780"/>
      <c r="Q104" s="780"/>
      <c r="R104" s="780"/>
      <c r="S104" s="781"/>
      <c r="T104" s="781"/>
      <c r="U104" s="781"/>
      <c r="V104" s="781"/>
      <c r="W104" s="782"/>
      <c r="X104" s="15"/>
      <c r="Y104" s="15"/>
      <c r="Z104" s="15"/>
      <c r="AA104" s="15"/>
      <c r="AB104" s="15"/>
      <c r="AC104" s="15"/>
      <c r="AD104" s="15"/>
      <c r="AE104" s="15"/>
      <c r="AF104" s="15"/>
      <c r="AG104" s="15"/>
      <c r="AH104" s="15"/>
      <c r="AI104" s="15"/>
      <c r="AJ104" s="15"/>
      <c r="AK104" s="15"/>
      <c r="AL104" s="15"/>
      <c r="AM104" s="15"/>
      <c r="AN104" s="15"/>
      <c r="AO104" s="15"/>
      <c r="AP104" s="15"/>
      <c r="AQ104" s="15"/>
    </row>
    <row r="105" spans="1:43" s="33" customFormat="1" ht="11.25" customHeight="1">
      <c r="A105" s="66"/>
      <c r="B105" s="66"/>
      <c r="Y105" s="15"/>
      <c r="Z105" s="15"/>
      <c r="AA105" s="15"/>
      <c r="AB105" s="15"/>
      <c r="AC105" s="15"/>
      <c r="AD105" s="15"/>
      <c r="AE105" s="15"/>
      <c r="AF105" s="15"/>
      <c r="AG105" s="15"/>
      <c r="AH105" s="15"/>
      <c r="AI105" s="15"/>
      <c r="AJ105" s="15"/>
      <c r="AK105" s="15"/>
      <c r="AL105" s="15"/>
      <c r="AM105" s="15"/>
      <c r="AN105" s="15"/>
      <c r="AO105" s="15"/>
      <c r="AP105" s="15"/>
      <c r="AQ105" s="15"/>
    </row>
    <row r="106" spans="1:43" s="33" customFormat="1" ht="17.25" hidden="1" customHeight="1">
      <c r="A106" s="191"/>
      <c r="C106" s="74"/>
      <c r="D106" s="1103">
        <v>1</v>
      </c>
      <c r="E106" s="1105" t="s">
        <v>252</v>
      </c>
      <c r="F106" s="1107" t="s">
        <v>57</v>
      </c>
      <c r="G106" s="1105"/>
      <c r="H106" s="1110"/>
      <c r="I106" s="1112"/>
      <c r="J106" s="1114"/>
      <c r="K106" s="1101"/>
      <c r="L106" s="1101"/>
      <c r="M106" s="1101"/>
      <c r="N106" s="1117"/>
      <c r="O106" s="1101"/>
      <c r="P106" s="1101"/>
      <c r="Q106" s="1101"/>
      <c r="R106" s="1120"/>
      <c r="S106" s="1101"/>
      <c r="T106" s="833"/>
      <c r="U106" s="833"/>
      <c r="V106" s="832"/>
      <c r="W106" s="776"/>
      <c r="Y106" s="761"/>
      <c r="Z106" s="761"/>
      <c r="AA106" s="761"/>
      <c r="AB106" s="761"/>
      <c r="AC106" s="761" t="s">
        <v>253</v>
      </c>
      <c r="AD106" s="761" t="s">
        <v>254</v>
      </c>
      <c r="AE106" s="761" t="s">
        <v>255</v>
      </c>
      <c r="AF106" s="761" t="s">
        <v>256</v>
      </c>
      <c r="AG106" s="761"/>
      <c r="AH106" s="761" t="str">
        <f>IF($E$106=0,"",$E$106)</f>
        <v>Тариф на водоотведение</v>
      </c>
      <c r="AI106" s="761" t="str">
        <f>IF($G$106=0,"",$G$106)</f>
        <v/>
      </c>
      <c r="AJ106" s="761" t="str">
        <f>IF($J$106=0,"",$J$106)</f>
        <v/>
      </c>
      <c r="AK106" s="761" t="str">
        <f>IF($K$106="нет","без дифференциации",IF($N$106=0,"",$N$106))</f>
        <v/>
      </c>
      <c r="AL106" s="761" t="str">
        <f>IF($O$106="нет","без дифференциации",IF($R$106=0,"",$R$106))</f>
        <v/>
      </c>
      <c r="AM106" s="761" t="str">
        <f>IF($S$106="нет","без дифференциации",IF($V$106=0,"",$V$106))</f>
        <v/>
      </c>
      <c r="AN106" s="761">
        <f>$I$106</f>
        <v>0</v>
      </c>
      <c r="AO106" s="761" t="str">
        <f>$I$106&amp;"."&amp;$M$106</f>
        <v>.</v>
      </c>
      <c r="AP106" s="761" t="str">
        <f>$I$106&amp;"."&amp;$M$106&amp;"."&amp;$Q$106</f>
        <v>..</v>
      </c>
      <c r="AQ106" s="761" t="str">
        <f>$I$106&amp;"."&amp;$M$106&amp;"."&amp;$Q$106&amp;"."&amp;$U$106</f>
        <v>...</v>
      </c>
    </row>
    <row r="107" spans="1:43" s="33" customFormat="1" ht="17.25" hidden="1" customHeight="1">
      <c r="A107" s="191"/>
      <c r="D107" s="1103"/>
      <c r="E107" s="1105"/>
      <c r="F107" s="1108"/>
      <c r="G107" s="1105"/>
      <c r="H107" s="1111"/>
      <c r="I107" s="1113"/>
      <c r="J107" s="1115"/>
      <c r="K107" s="1102"/>
      <c r="L107" s="1102"/>
      <c r="M107" s="1102"/>
      <c r="N107" s="1118"/>
      <c r="O107" s="1102"/>
      <c r="P107" s="1102"/>
      <c r="Q107" s="1102"/>
      <c r="R107" s="1119"/>
      <c r="S107" s="1102"/>
      <c r="T107" s="777"/>
      <c r="U107" s="777"/>
      <c r="V107" s="777"/>
      <c r="W107" s="778"/>
      <c r="Y107" s="15"/>
      <c r="Z107" s="15"/>
      <c r="AA107" s="15"/>
      <c r="AB107" s="15"/>
      <c r="AC107" s="15"/>
      <c r="AD107" s="15"/>
      <c r="AE107" s="15"/>
      <c r="AF107" s="15"/>
      <c r="AG107" s="15"/>
      <c r="AH107" s="15"/>
      <c r="AI107" s="15"/>
      <c r="AJ107" s="15"/>
      <c r="AK107" s="15"/>
      <c r="AL107" s="15"/>
      <c r="AM107" s="15"/>
      <c r="AN107" s="15"/>
      <c r="AO107" s="15"/>
      <c r="AP107" s="15"/>
      <c r="AQ107" s="15"/>
    </row>
    <row r="108" spans="1:43" s="33" customFormat="1" ht="17.25" hidden="1" customHeight="1">
      <c r="A108" s="191"/>
      <c r="C108" s="74"/>
      <c r="D108" s="1103"/>
      <c r="E108" s="1105"/>
      <c r="F108" s="1108"/>
      <c r="G108" s="1105"/>
      <c r="H108" s="1111"/>
      <c r="I108" s="1113"/>
      <c r="J108" s="1116"/>
      <c r="K108" s="1102"/>
      <c r="L108" s="1102"/>
      <c r="M108" s="1102"/>
      <c r="N108" s="1119"/>
      <c r="O108" s="1102"/>
      <c r="P108" s="53"/>
      <c r="Q108" s="777"/>
      <c r="R108" s="777"/>
      <c r="W108" s="778"/>
      <c r="Y108" s="761"/>
      <c r="Z108" s="761"/>
      <c r="AA108" s="761"/>
      <c r="AB108" s="761"/>
      <c r="AC108" s="761"/>
      <c r="AD108" s="761"/>
      <c r="AE108" s="761"/>
      <c r="AF108" s="761"/>
      <c r="AG108" s="761"/>
      <c r="AH108" s="761"/>
      <c r="AI108" s="761"/>
      <c r="AJ108" s="761"/>
      <c r="AK108" s="761"/>
      <c r="AL108" s="761"/>
      <c r="AM108" s="761"/>
      <c r="AN108" s="761"/>
      <c r="AO108" s="761"/>
      <c r="AP108" s="761"/>
      <c r="AQ108" s="761"/>
    </row>
    <row r="109" spans="1:43" s="33" customFormat="1" ht="17.25" hidden="1" customHeight="1">
      <c r="A109" s="191"/>
      <c r="D109" s="1103"/>
      <c r="E109" s="1105"/>
      <c r="F109" s="1108"/>
      <c r="G109" s="1105"/>
      <c r="H109" s="1111"/>
      <c r="I109" s="1113"/>
      <c r="J109" s="1116"/>
      <c r="K109" s="1102"/>
      <c r="L109" s="777"/>
      <c r="M109" s="777"/>
      <c r="N109" s="777"/>
      <c r="O109" s="777"/>
      <c r="P109" s="777"/>
      <c r="Q109" s="777"/>
      <c r="R109" s="777"/>
      <c r="W109" s="778"/>
      <c r="Y109" s="15"/>
      <c r="Z109" s="15"/>
      <c r="AA109" s="15"/>
      <c r="AB109" s="15"/>
      <c r="AC109" s="15"/>
      <c r="AD109" s="15"/>
      <c r="AE109" s="15"/>
      <c r="AF109" s="15"/>
      <c r="AG109" s="15"/>
      <c r="AH109" s="15"/>
      <c r="AI109" s="15"/>
      <c r="AJ109" s="15"/>
      <c r="AK109" s="15"/>
      <c r="AL109" s="15"/>
      <c r="AM109" s="15"/>
      <c r="AN109" s="15"/>
      <c r="AO109" s="15"/>
      <c r="AP109" s="15"/>
      <c r="AQ109" s="15"/>
    </row>
    <row r="110" spans="1:43" s="33" customFormat="1" ht="17.25" hidden="1" customHeight="1">
      <c r="A110" s="191"/>
      <c r="D110" s="1104"/>
      <c r="E110" s="1106"/>
      <c r="F110" s="1109"/>
      <c r="G110" s="1106"/>
      <c r="H110" s="779"/>
      <c r="I110" s="780"/>
      <c r="J110" s="780"/>
      <c r="K110" s="780"/>
      <c r="L110" s="780"/>
      <c r="M110" s="780"/>
      <c r="N110" s="780"/>
      <c r="O110" s="780"/>
      <c r="P110" s="780"/>
      <c r="Q110" s="780"/>
      <c r="R110" s="780"/>
      <c r="S110" s="781"/>
      <c r="T110" s="781"/>
      <c r="U110" s="781"/>
      <c r="V110" s="781"/>
      <c r="W110" s="782"/>
      <c r="Y110" s="15"/>
      <c r="Z110" s="15"/>
      <c r="AA110" s="15"/>
      <c r="AB110" s="15"/>
      <c r="AC110" s="15"/>
      <c r="AD110" s="15"/>
      <c r="AE110" s="15"/>
      <c r="AF110" s="15"/>
      <c r="AG110" s="15"/>
      <c r="AH110" s="15"/>
      <c r="AI110" s="15"/>
      <c r="AJ110" s="15"/>
      <c r="AK110" s="15"/>
      <c r="AL110" s="15"/>
      <c r="AM110" s="15"/>
      <c r="AN110" s="15"/>
      <c r="AO110" s="15"/>
      <c r="AP110" s="15"/>
      <c r="AQ110" s="15"/>
    </row>
    <row r="111" spans="1:43" s="33" customFormat="1" ht="17.25" hidden="1" customHeight="1">
      <c r="A111" s="191"/>
      <c r="C111" s="74"/>
      <c r="D111" s="1103">
        <v>2</v>
      </c>
      <c r="E111" s="1105" t="s">
        <v>257</v>
      </c>
      <c r="F111" s="1107" t="s">
        <v>57</v>
      </c>
      <c r="G111" s="1105"/>
      <c r="H111" s="1110"/>
      <c r="I111" s="1112"/>
      <c r="J111" s="1114"/>
      <c r="K111" s="1101"/>
      <c r="L111" s="1101"/>
      <c r="M111" s="1101"/>
      <c r="N111" s="1117"/>
      <c r="O111" s="1101"/>
      <c r="P111" s="1101"/>
      <c r="Q111" s="1101"/>
      <c r="R111" s="1120"/>
      <c r="S111" s="1101"/>
      <c r="T111" s="833"/>
      <c r="U111" s="833"/>
      <c r="V111" s="832"/>
      <c r="W111" s="776"/>
      <c r="X111" s="761"/>
      <c r="Y111" s="761"/>
      <c r="Z111" s="761"/>
      <c r="AA111" s="761"/>
      <c r="AB111" s="761"/>
      <c r="AC111" s="761" t="s">
        <v>258</v>
      </c>
      <c r="AD111" s="761" t="s">
        <v>259</v>
      </c>
      <c r="AE111" s="761" t="s">
        <v>260</v>
      </c>
      <c r="AF111" s="761" t="s">
        <v>261</v>
      </c>
      <c r="AG111" s="761"/>
      <c r="AH111" s="761" t="str">
        <f>IF($E$111=0,"",$E$111)</f>
        <v>Тариф на транспортировку сточных вод</v>
      </c>
      <c r="AI111" s="761" t="str">
        <f>IF($G$111=0,"",$G$111)</f>
        <v/>
      </c>
      <c r="AJ111" s="761" t="str">
        <f>IF($J$111=0,"",$J$111)</f>
        <v/>
      </c>
      <c r="AK111" s="761" t="str">
        <f>IF($K$111="нет","без дифференциации",IF($N$111=0,"",$N$111))</f>
        <v/>
      </c>
      <c r="AL111" s="761" t="str">
        <f>IF($O$111="нет","без дифференциации",IF($R$111=0,"",$R$111))</f>
        <v/>
      </c>
      <c r="AM111" s="761" t="str">
        <f>IF($S$111="нет","без дифференциации",IF($V$111=0,"",$V$111))</f>
        <v/>
      </c>
      <c r="AN111" s="1009">
        <f>$I$111</f>
        <v>0</v>
      </c>
      <c r="AO111" s="761" t="str">
        <f>$I$111&amp;"."&amp;$M$111</f>
        <v>.</v>
      </c>
      <c r="AP111" s="15" t="str">
        <f>$I$111&amp;"."&amp;$M$111&amp;"."&amp;$Q$111</f>
        <v>..</v>
      </c>
      <c r="AQ111" s="15" t="str">
        <f>$I$111&amp;"."&amp;$M$111&amp;"."&amp;$Q$111&amp;"."&amp;$U$111</f>
        <v>...</v>
      </c>
    </row>
    <row r="112" spans="1:43" s="33" customFormat="1" ht="17.25" hidden="1" customHeight="1">
      <c r="A112" s="191"/>
      <c r="D112" s="1103"/>
      <c r="E112" s="1105"/>
      <c r="F112" s="1108"/>
      <c r="G112" s="1105"/>
      <c r="H112" s="1111"/>
      <c r="I112" s="1113"/>
      <c r="J112" s="1115"/>
      <c r="K112" s="1102"/>
      <c r="L112" s="1102"/>
      <c r="M112" s="1102"/>
      <c r="N112" s="1118"/>
      <c r="O112" s="1102"/>
      <c r="P112" s="1102"/>
      <c r="Q112" s="1102"/>
      <c r="R112" s="1119"/>
      <c r="S112" s="1102"/>
      <c r="T112" s="777"/>
      <c r="U112" s="777"/>
      <c r="V112" s="777"/>
      <c r="W112" s="778"/>
      <c r="X112" s="15"/>
      <c r="Y112" s="15"/>
      <c r="Z112" s="15"/>
      <c r="AA112" s="15"/>
      <c r="AB112" s="15"/>
      <c r="AC112" s="15"/>
      <c r="AD112" s="15"/>
      <c r="AE112" s="15"/>
      <c r="AF112" s="15"/>
      <c r="AG112" s="15"/>
      <c r="AH112" s="15"/>
      <c r="AI112" s="15"/>
      <c r="AJ112" s="15"/>
      <c r="AK112" s="15"/>
      <c r="AL112" s="15"/>
      <c r="AM112" s="15"/>
      <c r="AN112" s="15"/>
      <c r="AO112" s="15"/>
      <c r="AP112" s="15"/>
      <c r="AQ112" s="15"/>
    </row>
    <row r="113" spans="1:43" s="33" customFormat="1" ht="17.25" hidden="1" customHeight="1">
      <c r="A113" s="191"/>
      <c r="D113" s="1104"/>
      <c r="E113" s="1106"/>
      <c r="F113" s="1108"/>
      <c r="G113" s="1106"/>
      <c r="H113" s="1111"/>
      <c r="I113" s="1113"/>
      <c r="J113" s="1116"/>
      <c r="K113" s="1102"/>
      <c r="L113" s="1102"/>
      <c r="M113" s="1102"/>
      <c r="N113" s="1119"/>
      <c r="O113" s="1102"/>
      <c r="P113" s="53"/>
      <c r="Q113" s="777"/>
      <c r="R113" s="777"/>
      <c r="W113" s="778"/>
      <c r="X113" s="15"/>
      <c r="Y113" s="15"/>
      <c r="Z113" s="15"/>
      <c r="AA113" s="15"/>
      <c r="AB113" s="15"/>
      <c r="AC113" s="15"/>
      <c r="AD113" s="15"/>
      <c r="AE113" s="15"/>
      <c r="AF113" s="15"/>
      <c r="AG113" s="15"/>
      <c r="AH113" s="15"/>
      <c r="AI113" s="15"/>
      <c r="AJ113" s="15"/>
      <c r="AK113" s="15"/>
      <c r="AL113" s="15"/>
      <c r="AM113" s="15"/>
      <c r="AN113" s="15"/>
      <c r="AO113" s="15"/>
      <c r="AP113" s="15"/>
      <c r="AQ113" s="15"/>
    </row>
    <row r="114" spans="1:43" s="33" customFormat="1" ht="17.25" hidden="1" customHeight="1">
      <c r="A114" s="191"/>
      <c r="D114" s="1104"/>
      <c r="E114" s="1106"/>
      <c r="F114" s="1108"/>
      <c r="G114" s="1106"/>
      <c r="H114" s="1111"/>
      <c r="I114" s="1113"/>
      <c r="J114" s="1116"/>
      <c r="K114" s="1102"/>
      <c r="L114" s="777"/>
      <c r="M114" s="777"/>
      <c r="N114" s="777"/>
      <c r="O114" s="777"/>
      <c r="P114" s="777"/>
      <c r="Q114" s="777"/>
      <c r="R114" s="777"/>
      <c r="W114" s="778"/>
      <c r="X114" s="15"/>
      <c r="Y114" s="15"/>
      <c r="Z114" s="15"/>
      <c r="AA114" s="15"/>
      <c r="AB114" s="15"/>
      <c r="AC114" s="15"/>
      <c r="AD114" s="15"/>
      <c r="AE114" s="15"/>
      <c r="AF114" s="15"/>
      <c r="AG114" s="15"/>
      <c r="AH114" s="15"/>
      <c r="AI114" s="15"/>
      <c r="AJ114" s="15"/>
      <c r="AK114" s="15"/>
      <c r="AL114" s="15"/>
      <c r="AM114" s="15"/>
      <c r="AN114" s="15"/>
      <c r="AO114" s="15"/>
      <c r="AP114" s="15"/>
      <c r="AQ114" s="15"/>
    </row>
    <row r="115" spans="1:43" s="33" customFormat="1" ht="17.25" hidden="1" customHeight="1">
      <c r="A115" s="191"/>
      <c r="D115" s="1104"/>
      <c r="E115" s="1106"/>
      <c r="F115" s="1109"/>
      <c r="G115" s="1106"/>
      <c r="H115" s="779"/>
      <c r="I115" s="780"/>
      <c r="J115" s="780"/>
      <c r="K115" s="780"/>
      <c r="L115" s="780"/>
      <c r="M115" s="780"/>
      <c r="N115" s="780"/>
      <c r="O115" s="780"/>
      <c r="P115" s="780"/>
      <c r="Q115" s="780"/>
      <c r="R115" s="780"/>
      <c r="S115" s="781"/>
      <c r="T115" s="781"/>
      <c r="U115" s="781"/>
      <c r="V115" s="781"/>
      <c r="W115" s="782"/>
      <c r="X115" s="15"/>
      <c r="Y115" s="15"/>
      <c r="Z115" s="15"/>
      <c r="AA115" s="15"/>
      <c r="AB115" s="15"/>
      <c r="AC115" s="15"/>
      <c r="AD115" s="15"/>
      <c r="AE115" s="15"/>
      <c r="AF115" s="15"/>
      <c r="AG115" s="15"/>
      <c r="AH115" s="15"/>
      <c r="AI115" s="15"/>
      <c r="AJ115" s="15"/>
      <c r="AK115" s="15"/>
      <c r="AL115" s="15"/>
      <c r="AM115" s="15"/>
      <c r="AN115" s="15"/>
      <c r="AO115" s="15"/>
      <c r="AP115" s="15"/>
      <c r="AQ115" s="15"/>
    </row>
    <row r="116" spans="1:43" s="33" customFormat="1" ht="17.25" hidden="1" customHeight="1">
      <c r="A116" s="191"/>
      <c r="C116" s="74"/>
      <c r="D116" s="1103">
        <v>3</v>
      </c>
      <c r="E116" s="1105" t="s">
        <v>262</v>
      </c>
      <c r="F116" s="1107" t="s">
        <v>57</v>
      </c>
      <c r="G116" s="1105"/>
      <c r="H116" s="1110"/>
      <c r="I116" s="1112"/>
      <c r="J116" s="1114"/>
      <c r="K116" s="1101"/>
      <c r="L116" s="1101"/>
      <c r="M116" s="1101"/>
      <c r="N116" s="1117"/>
      <c r="O116" s="1101"/>
      <c r="P116" s="1101"/>
      <c r="Q116" s="1101"/>
      <c r="R116" s="1120"/>
      <c r="S116" s="1101"/>
      <c r="T116" s="833"/>
      <c r="U116" s="833"/>
      <c r="V116" s="832"/>
      <c r="W116" s="776"/>
      <c r="X116" s="761"/>
      <c r="Y116" s="761"/>
      <c r="Z116" s="761"/>
      <c r="AA116" s="761"/>
      <c r="AB116" s="761"/>
      <c r="AC116" s="761" t="s">
        <v>263</v>
      </c>
      <c r="AD116" s="761" t="s">
        <v>264</v>
      </c>
      <c r="AE116" s="761" t="s">
        <v>265</v>
      </c>
      <c r="AF116" s="761" t="s">
        <v>266</v>
      </c>
      <c r="AG116" s="761"/>
      <c r="AH116" s="761" t="str">
        <f>IF($E$116=0,"",$E$116)</f>
        <v>Тариф на подключение (технологическое присоединение) к централизованной системе водоотведения</v>
      </c>
      <c r="AI116" s="761" t="str">
        <f>IF($G$116=0,"",$G$116)</f>
        <v/>
      </c>
      <c r="AJ116" s="761" t="str">
        <f>IF($J$116=0,"",$J$116)</f>
        <v/>
      </c>
      <c r="AK116" s="761" t="str">
        <f>IF($K$116="нет","без дифференциации",IF($N$116=0,"",$N$116))</f>
        <v/>
      </c>
      <c r="AL116" s="761" t="str">
        <f>IF($O$116="нет","без дифференциации",IF($R$116=0,"",$R$116))</f>
        <v/>
      </c>
      <c r="AM116" s="761" t="str">
        <f>IF($S$116="нет","без дифференциации",IF($V$116=0,"",$V$116))</f>
        <v/>
      </c>
      <c r="AN116" s="1009">
        <f>$I$116</f>
        <v>0</v>
      </c>
      <c r="AO116" s="761" t="str">
        <f>$I$116&amp;"."&amp;$M$116</f>
        <v>.</v>
      </c>
      <c r="AP116" s="15" t="str">
        <f>$I$116&amp;"."&amp;$M$116&amp;"."&amp;$Q$116</f>
        <v>..</v>
      </c>
      <c r="AQ116" s="15" t="str">
        <f>$I$116&amp;"."&amp;$M$116&amp;"."&amp;$Q$116&amp;"."&amp;$U$116</f>
        <v>...</v>
      </c>
    </row>
    <row r="117" spans="1:43" s="33" customFormat="1" ht="17.25" hidden="1" customHeight="1">
      <c r="A117" s="191"/>
      <c r="D117" s="1103"/>
      <c r="E117" s="1105"/>
      <c r="F117" s="1108"/>
      <c r="G117" s="1105"/>
      <c r="H117" s="1111"/>
      <c r="I117" s="1113"/>
      <c r="J117" s="1115"/>
      <c r="K117" s="1102"/>
      <c r="L117" s="1102"/>
      <c r="M117" s="1102"/>
      <c r="N117" s="1118"/>
      <c r="O117" s="1102"/>
      <c r="P117" s="1102"/>
      <c r="Q117" s="1102"/>
      <c r="R117" s="1119"/>
      <c r="S117" s="1102"/>
      <c r="T117" s="777"/>
      <c r="U117" s="777"/>
      <c r="V117" s="777"/>
      <c r="W117" s="778"/>
      <c r="X117" s="15"/>
      <c r="Y117" s="15"/>
      <c r="Z117" s="15"/>
      <c r="AA117" s="15"/>
      <c r="AB117" s="15"/>
      <c r="AC117" s="15"/>
      <c r="AD117" s="15"/>
      <c r="AE117" s="15"/>
      <c r="AF117" s="15"/>
      <c r="AG117" s="15"/>
      <c r="AH117" s="15"/>
      <c r="AI117" s="15"/>
      <c r="AJ117" s="15"/>
      <c r="AK117" s="15"/>
      <c r="AL117" s="15"/>
      <c r="AM117" s="15"/>
      <c r="AN117" s="15"/>
      <c r="AO117" s="15"/>
      <c r="AP117" s="15"/>
      <c r="AQ117" s="15"/>
    </row>
    <row r="118" spans="1:43" s="33" customFormat="1" ht="17.25" hidden="1" customHeight="1">
      <c r="A118" s="191"/>
      <c r="D118" s="1104"/>
      <c r="E118" s="1106"/>
      <c r="F118" s="1108"/>
      <c r="G118" s="1106"/>
      <c r="H118" s="1111"/>
      <c r="I118" s="1113"/>
      <c r="J118" s="1116"/>
      <c r="K118" s="1102"/>
      <c r="L118" s="1102"/>
      <c r="M118" s="1102"/>
      <c r="N118" s="1119"/>
      <c r="O118" s="1102"/>
      <c r="P118" s="53"/>
      <c r="Q118" s="777"/>
      <c r="R118" s="777"/>
      <c r="W118" s="778"/>
      <c r="X118" s="15"/>
      <c r="Y118" s="15"/>
      <c r="Z118" s="15"/>
      <c r="AA118" s="15"/>
      <c r="AB118" s="15"/>
      <c r="AC118" s="15"/>
      <c r="AD118" s="15"/>
      <c r="AE118" s="15"/>
      <c r="AF118" s="15"/>
      <c r="AG118" s="15"/>
      <c r="AH118" s="15"/>
      <c r="AI118" s="15"/>
      <c r="AJ118" s="15"/>
      <c r="AK118" s="15"/>
      <c r="AL118" s="15"/>
      <c r="AM118" s="15"/>
      <c r="AN118" s="15"/>
      <c r="AO118" s="15"/>
      <c r="AP118" s="15"/>
      <c r="AQ118" s="15"/>
    </row>
    <row r="119" spans="1:43" s="33" customFormat="1" ht="17.25" hidden="1" customHeight="1">
      <c r="A119" s="191"/>
      <c r="D119" s="1104"/>
      <c r="E119" s="1106"/>
      <c r="F119" s="1108"/>
      <c r="G119" s="1106"/>
      <c r="H119" s="1111"/>
      <c r="I119" s="1113"/>
      <c r="J119" s="1116"/>
      <c r="K119" s="1102"/>
      <c r="L119" s="777"/>
      <c r="M119" s="777"/>
      <c r="N119" s="777"/>
      <c r="O119" s="777"/>
      <c r="P119" s="777"/>
      <c r="Q119" s="777"/>
      <c r="R119" s="777"/>
      <c r="W119" s="778"/>
      <c r="X119" s="15"/>
      <c r="Y119" s="15"/>
      <c r="Z119" s="15"/>
      <c r="AA119" s="15"/>
      <c r="AB119" s="15"/>
      <c r="AC119" s="15"/>
      <c r="AD119" s="15"/>
      <c r="AE119" s="15"/>
      <c r="AF119" s="15"/>
      <c r="AG119" s="15"/>
      <c r="AH119" s="15"/>
      <c r="AI119" s="15"/>
      <c r="AJ119" s="15"/>
      <c r="AK119" s="15"/>
      <c r="AL119" s="15"/>
      <c r="AM119" s="15"/>
      <c r="AN119" s="15"/>
      <c r="AO119" s="15"/>
      <c r="AP119" s="15"/>
      <c r="AQ119" s="15"/>
    </row>
    <row r="120" spans="1:43" s="33" customFormat="1" ht="17.25" hidden="1" customHeight="1">
      <c r="A120" s="191"/>
      <c r="D120" s="1104"/>
      <c r="E120" s="1106"/>
      <c r="F120" s="1109"/>
      <c r="G120" s="1106"/>
      <c r="H120" s="779"/>
      <c r="I120" s="780"/>
      <c r="J120" s="780"/>
      <c r="K120" s="780"/>
      <c r="L120" s="780"/>
      <c r="M120" s="780"/>
      <c r="N120" s="780"/>
      <c r="O120" s="780"/>
      <c r="P120" s="780"/>
      <c r="Q120" s="780"/>
      <c r="R120" s="780"/>
      <c r="S120" s="781"/>
      <c r="T120" s="781"/>
      <c r="U120" s="781"/>
      <c r="V120" s="781"/>
      <c r="W120" s="782"/>
      <c r="X120" s="15"/>
      <c r="Y120" s="15"/>
      <c r="Z120" s="15"/>
      <c r="AA120" s="15"/>
      <c r="AB120" s="15"/>
      <c r="AC120" s="15"/>
      <c r="AD120" s="15"/>
      <c r="AE120" s="15"/>
      <c r="AF120" s="15"/>
      <c r="AG120" s="15"/>
      <c r="AH120" s="15"/>
      <c r="AI120" s="15"/>
      <c r="AJ120" s="15"/>
      <c r="AK120" s="15"/>
      <c r="AL120" s="15"/>
      <c r="AM120" s="15"/>
      <c r="AN120" s="15"/>
      <c r="AO120" s="15"/>
      <c r="AP120" s="15"/>
      <c r="AQ120" s="15"/>
    </row>
  </sheetData>
  <sheetProtection formatColumns="0" formatRows="0" insertRows="0" deleteColumns="0" deleteRows="0" sort="0" autoFilter="0"/>
  <mergeCells count="331">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O106:O108"/>
    <mergeCell ref="M111:M113"/>
    <mergeCell ref="N111:N113"/>
    <mergeCell ref="O111:O113"/>
    <mergeCell ref="P106:P107"/>
    <mergeCell ref="Q106:Q107"/>
    <mergeCell ref="R106:R107"/>
    <mergeCell ref="P111:P112"/>
    <mergeCell ref="Q111:Q112"/>
    <mergeCell ref="R111:R112"/>
    <mergeCell ref="K111:K114"/>
    <mergeCell ref="L111:L113"/>
    <mergeCell ref="H106:H109"/>
    <mergeCell ref="I106:I109"/>
    <mergeCell ref="J106:J109"/>
    <mergeCell ref="K106:K109"/>
    <mergeCell ref="L106:L108"/>
    <mergeCell ref="M106:M108"/>
    <mergeCell ref="N106:N108"/>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xr:uid="{00000000-0002-0000-0400-00000000000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xr:uid="{00000000-0002-0000-0400-000001000000}">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xr:uid="{00000000-0002-0000-0400-000002000000}">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xr:uid="{00000000-0002-0000-04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1A7E2-7D41-1072-2849-A42B6EE538D6}">
  <sheetPr>
    <tabColor rgb="FFCCCCFF"/>
  </sheetPr>
  <dimension ref="A1:BL49"/>
  <sheetViews>
    <sheetView showGridLines="0" topLeftCell="C3" zoomScale="90" workbookViewId="0"/>
  </sheetViews>
  <sheetFormatPr defaultColWidth="9.140625" defaultRowHeight="11.25" customHeight="1"/>
  <cols>
    <col min="1" max="2" width="9.140625" hidden="1"/>
    <col min="3" max="4" width="3.7109375" customWidth="1"/>
    <col min="5" max="6" width="16" customWidth="1"/>
    <col min="7" max="7" width="11.5703125" customWidth="1"/>
    <col min="8" max="9" width="3.7109375" customWidth="1"/>
    <col min="10" max="10" width="13.140625" customWidth="1"/>
    <col min="11" max="11" width="0.28515625" customWidth="1"/>
    <col min="12" max="13" width="10.7109375" customWidth="1"/>
    <col min="14" max="15" width="3.7109375" customWidth="1"/>
    <col min="16" max="16" width="19.7109375" customWidth="1"/>
    <col min="17" max="17" width="0.28515625" customWidth="1"/>
    <col min="18" max="19" width="10.7109375" customWidth="1"/>
    <col min="20" max="21" width="3.7109375" customWidth="1"/>
    <col min="22" max="22" width="25.7109375" customWidth="1"/>
    <col min="23" max="23" width="0.28515625" customWidth="1"/>
    <col min="24" max="25" width="10.7109375" customWidth="1"/>
    <col min="26" max="27" width="3.7109375" customWidth="1"/>
    <col min="28" max="28" width="16.42578125" customWidth="1"/>
    <col min="29" max="29" width="0.28515625" customWidth="1"/>
    <col min="30" max="31" width="10.7109375" customWidth="1"/>
    <col min="32" max="33" width="3.7109375" customWidth="1"/>
    <col min="34" max="34" width="8.7109375" customWidth="1"/>
    <col min="35" max="35" width="21.7109375" customWidth="1"/>
    <col min="37" max="37" width="9.140625" style="44"/>
  </cols>
  <sheetData>
    <row r="1" spans="1:64" s="101" customFormat="1" ht="11.25" hidden="1" customHeight="1">
      <c r="AJ1" s="59"/>
      <c r="AK1" s="59"/>
      <c r="AL1" s="59"/>
      <c r="AM1" s="59"/>
      <c r="AN1" s="59"/>
      <c r="AO1" s="59"/>
      <c r="AP1" s="59"/>
      <c r="AQ1" s="59"/>
      <c r="AR1" s="59"/>
      <c r="AS1" s="59"/>
      <c r="AT1" s="59"/>
      <c r="AU1" s="59"/>
      <c r="AV1" s="59"/>
      <c r="AW1" s="59"/>
      <c r="AX1" s="59"/>
      <c r="AY1" s="59"/>
      <c r="AZ1" s="59"/>
      <c r="BA1" s="59"/>
      <c r="BB1" s="59"/>
      <c r="BC1" s="59"/>
      <c r="BD1" s="59"/>
      <c r="BE1" s="59"/>
      <c r="BF1" s="59"/>
      <c r="BG1" s="59"/>
      <c r="BH1" s="59"/>
      <c r="BI1" s="59"/>
      <c r="BJ1" s="59"/>
      <c r="BK1" s="59"/>
      <c r="BL1" s="59"/>
    </row>
    <row r="2" spans="1:64" s="895" customFormat="1" ht="11.25" hidden="1" customHeight="1">
      <c r="L2" s="895" t="s">
        <v>267</v>
      </c>
      <c r="M2" s="895" t="s">
        <v>268</v>
      </c>
      <c r="R2" s="895" t="s">
        <v>269</v>
      </c>
      <c r="S2" s="895" t="s">
        <v>268</v>
      </c>
      <c r="X2" s="895" t="s">
        <v>267</v>
      </c>
      <c r="Y2" s="895" t="s">
        <v>268</v>
      </c>
      <c r="AD2" s="895" t="s">
        <v>267</v>
      </c>
      <c r="AE2" s="895" t="s">
        <v>268</v>
      </c>
      <c r="AJ2" s="911"/>
      <c r="AK2" s="911"/>
      <c r="AL2" s="911"/>
      <c r="AM2" s="911"/>
      <c r="AN2" s="911"/>
      <c r="AO2" s="911"/>
      <c r="AP2" s="911"/>
      <c r="AQ2" s="911"/>
      <c r="AR2" s="911"/>
      <c r="AS2" s="911"/>
      <c r="AT2" s="911"/>
      <c r="AU2" s="911"/>
      <c r="AV2" s="911"/>
      <c r="AW2" s="911"/>
      <c r="AX2" s="911"/>
      <c r="AY2" s="911"/>
      <c r="AZ2" s="911"/>
      <c r="BA2" s="911"/>
      <c r="BB2" s="911"/>
      <c r="BC2" s="911"/>
      <c r="BD2" s="911"/>
      <c r="BE2" s="911"/>
      <c r="BF2" s="911"/>
      <c r="BG2" s="911"/>
      <c r="BH2" s="911"/>
      <c r="BI2" s="911"/>
      <c r="BJ2" s="911"/>
      <c r="BK2" s="911"/>
      <c r="BL2" s="911"/>
    </row>
    <row r="3" spans="1:64" s="896" customFormat="1" ht="11.25" customHeight="1">
      <c r="AJ3"/>
      <c r="AK3" s="44"/>
      <c r="AL3"/>
      <c r="AM3"/>
      <c r="AN3"/>
      <c r="AO3"/>
      <c r="AP3"/>
      <c r="AQ3"/>
      <c r="AR3"/>
      <c r="AS3"/>
      <c r="AT3"/>
      <c r="AU3"/>
      <c r="AV3"/>
      <c r="AW3"/>
      <c r="AX3"/>
      <c r="AY3"/>
      <c r="AZ3"/>
      <c r="BA3"/>
      <c r="BB3"/>
      <c r="BC3"/>
      <c r="BD3"/>
      <c r="BE3"/>
      <c r="BF3"/>
      <c r="BG3"/>
      <c r="BH3"/>
      <c r="BI3"/>
      <c r="BJ3"/>
      <c r="BK3"/>
      <c r="BL3"/>
    </row>
    <row r="4" spans="1:64" s="43" customFormat="1" ht="33" customHeight="1">
      <c r="A4" s="6"/>
      <c r="B4" s="9"/>
      <c r="C4" s="74"/>
      <c r="D4" s="1136" t="s">
        <v>270</v>
      </c>
      <c r="E4" s="1136"/>
      <c r="F4" s="1136"/>
      <c r="G4" s="1136"/>
      <c r="H4" s="1136"/>
      <c r="I4" s="1136"/>
      <c r="J4" s="1136"/>
      <c r="K4" s="412"/>
      <c r="T4" s="897"/>
      <c r="AJ4" s="912"/>
      <c r="AK4" s="913"/>
      <c r="AL4" s="912"/>
      <c r="AM4" s="912"/>
      <c r="AN4" s="912"/>
      <c r="AO4" s="912"/>
      <c r="AP4" s="912"/>
      <c r="AQ4" s="912"/>
      <c r="AR4" s="912"/>
      <c r="AS4" s="912"/>
      <c r="AT4" s="912"/>
      <c r="AU4" s="912"/>
      <c r="AV4" s="912"/>
      <c r="AW4" s="912"/>
      <c r="AX4" s="912"/>
      <c r="AY4" s="912"/>
      <c r="AZ4" s="912"/>
      <c r="BA4" s="912"/>
      <c r="BB4" s="912"/>
      <c r="BC4" s="912"/>
      <c r="BD4" s="912"/>
      <c r="BE4" s="912"/>
      <c r="BF4" s="912"/>
      <c r="BG4" s="912"/>
      <c r="BH4" s="912"/>
      <c r="BI4" s="912"/>
      <c r="BJ4" s="912"/>
      <c r="BK4" s="912"/>
      <c r="BL4" s="912"/>
    </row>
    <row r="5" spans="1:64" s="43" customFormat="1" ht="14.25" customHeight="1">
      <c r="A5" s="6"/>
      <c r="B5" s="9"/>
      <c r="C5" s="74"/>
      <c r="D5" s="1159" t="str">
        <f>IF(org=0,"Не определено",org)</f>
        <v>ИМУП «ПОСЖИЛКОМСЕРВИС»</v>
      </c>
      <c r="E5" s="1159"/>
      <c r="F5" s="1159"/>
      <c r="G5" s="1159"/>
      <c r="H5" s="1159"/>
      <c r="I5" s="1159"/>
      <c r="J5" s="1159"/>
      <c r="K5" s="412"/>
      <c r="T5" s="897"/>
      <c r="AJ5" s="912"/>
      <c r="AK5" s="913"/>
      <c r="AL5" s="912"/>
      <c r="AM5" s="912"/>
      <c r="AN5" s="912"/>
      <c r="AO5" s="912"/>
      <c r="AP5" s="912"/>
      <c r="AQ5" s="912"/>
      <c r="AR5" s="912"/>
      <c r="AS5" s="912"/>
      <c r="AT5" s="912"/>
      <c r="AU5" s="912"/>
      <c r="AV5" s="912"/>
      <c r="AW5" s="912"/>
      <c r="AX5" s="912"/>
      <c r="AY5" s="912"/>
      <c r="AZ5" s="912"/>
      <c r="BA5" s="912"/>
      <c r="BB5" s="912"/>
      <c r="BC5" s="912"/>
      <c r="BD5" s="912"/>
      <c r="BE5" s="912"/>
      <c r="BF5" s="912"/>
      <c r="BG5" s="912"/>
      <c r="BH5" s="912"/>
      <c r="BI5" s="912"/>
      <c r="BJ5" s="912"/>
      <c r="BK5" s="912"/>
      <c r="BL5" s="912"/>
    </row>
    <row r="6" spans="1:64" s="43" customFormat="1" ht="14.25" customHeight="1">
      <c r="A6" s="6"/>
      <c r="B6" s="9"/>
      <c r="C6" s="74"/>
      <c r="D6" s="412"/>
      <c r="E6" s="412"/>
      <c r="F6" s="412"/>
      <c r="G6" s="412"/>
      <c r="H6" s="412"/>
      <c r="I6" s="412"/>
      <c r="J6" s="412"/>
      <c r="K6" s="412"/>
      <c r="T6" s="897"/>
      <c r="AJ6" s="912"/>
      <c r="AK6" s="913"/>
      <c r="AL6" s="912"/>
      <c r="AM6" s="912"/>
      <c r="AN6" s="912"/>
      <c r="AO6" s="912"/>
      <c r="AP6" s="912"/>
      <c r="AQ6" s="912"/>
      <c r="AR6" s="912"/>
      <c r="AS6" s="912"/>
      <c r="AT6" s="912"/>
      <c r="AU6" s="912"/>
      <c r="AV6" s="912"/>
      <c r="AW6" s="912"/>
      <c r="AX6" s="912"/>
      <c r="AY6" s="912"/>
      <c r="AZ6" s="912"/>
      <c r="BA6" s="912"/>
      <c r="BB6" s="912"/>
      <c r="BC6" s="912"/>
      <c r="BD6" s="912"/>
      <c r="BE6" s="912"/>
      <c r="BF6" s="912"/>
      <c r="BG6" s="912"/>
      <c r="BH6" s="912"/>
      <c r="BI6" s="912"/>
      <c r="BJ6" s="912"/>
      <c r="BK6" s="912"/>
      <c r="BL6" s="912"/>
    </row>
    <row r="7" spans="1:64" s="101" customFormat="1" ht="0.75" customHeight="1">
      <c r="AJ7" s="59"/>
      <c r="AK7" s="59"/>
      <c r="AL7" s="59"/>
      <c r="AM7" s="59"/>
      <c r="AN7" s="59"/>
      <c r="AO7" s="59"/>
      <c r="AP7" s="59"/>
      <c r="AQ7" s="59"/>
      <c r="AR7" s="59"/>
      <c r="AS7" s="59"/>
      <c r="AT7" s="59"/>
      <c r="AU7" s="59"/>
      <c r="AV7" s="59"/>
      <c r="AW7" s="59"/>
      <c r="AX7" s="59"/>
      <c r="AY7" s="59"/>
      <c r="AZ7" s="59"/>
      <c r="BA7" s="59"/>
      <c r="BB7" s="59"/>
      <c r="BC7" s="59"/>
      <c r="BD7" s="59"/>
      <c r="BE7" s="59"/>
      <c r="BF7" s="59"/>
      <c r="BG7" s="59"/>
      <c r="BH7" s="59"/>
      <c r="BI7" s="59"/>
      <c r="BJ7" s="59"/>
      <c r="BK7" s="59"/>
      <c r="BL7" s="59"/>
    </row>
    <row r="8" spans="1:64" ht="31.5" customHeight="1">
      <c r="D8" s="1083" t="s">
        <v>88</v>
      </c>
      <c r="E8" s="1083" t="s">
        <v>106</v>
      </c>
      <c r="F8" s="1138" t="s">
        <v>124</v>
      </c>
      <c r="G8" s="1139"/>
      <c r="H8" s="1138" t="s">
        <v>88</v>
      </c>
      <c r="I8" s="1139"/>
      <c r="J8" s="1083" t="s">
        <v>125</v>
      </c>
      <c r="K8" s="898"/>
      <c r="L8" s="1137" t="s">
        <v>271</v>
      </c>
      <c r="M8" s="1137"/>
      <c r="N8" s="1137"/>
      <c r="O8" s="1137"/>
      <c r="P8" s="1137"/>
      <c r="Q8" s="899"/>
      <c r="R8" s="1065" t="s">
        <v>272</v>
      </c>
      <c r="S8" s="1070"/>
      <c r="T8" s="1070"/>
      <c r="U8" s="1070"/>
      <c r="V8" s="1070"/>
      <c r="W8" s="899"/>
      <c r="X8" s="1083" t="s">
        <v>273</v>
      </c>
      <c r="Y8" s="1083"/>
      <c r="Z8" s="1083"/>
      <c r="AA8" s="1083"/>
      <c r="AB8" s="1083"/>
      <c r="AC8" s="351"/>
      <c r="AD8" s="1083" t="s">
        <v>274</v>
      </c>
      <c r="AE8" s="1083"/>
      <c r="AF8" s="1083"/>
      <c r="AG8" s="1083"/>
      <c r="AH8" s="1065"/>
      <c r="AI8" s="1083" t="s">
        <v>275</v>
      </c>
    </row>
    <row r="9" spans="1:64" ht="22.5" customHeight="1">
      <c r="D9" s="1083"/>
      <c r="E9" s="1083"/>
      <c r="F9" s="1137" t="s">
        <v>89</v>
      </c>
      <c r="G9" s="1137" t="s">
        <v>130</v>
      </c>
      <c r="H9" s="1140"/>
      <c r="I9" s="1141"/>
      <c r="J9" s="1065"/>
      <c r="K9" s="900"/>
      <c r="L9" s="1083" t="s">
        <v>276</v>
      </c>
      <c r="M9" s="1065"/>
      <c r="N9" s="1138" t="s">
        <v>88</v>
      </c>
      <c r="O9" s="1139"/>
      <c r="P9" s="1083" t="s">
        <v>131</v>
      </c>
      <c r="Q9" s="898"/>
      <c r="R9" s="1083" t="s">
        <v>276</v>
      </c>
      <c r="S9" s="1065"/>
      <c r="T9" s="1138" t="s">
        <v>88</v>
      </c>
      <c r="U9" s="1139"/>
      <c r="V9" s="1083" t="s">
        <v>131</v>
      </c>
      <c r="W9" s="898"/>
      <c r="X9" s="1083" t="s">
        <v>276</v>
      </c>
      <c r="Y9" s="1065"/>
      <c r="Z9" s="1138" t="s">
        <v>88</v>
      </c>
      <c r="AA9" s="1139"/>
      <c r="AB9" s="1083" t="s">
        <v>277</v>
      </c>
      <c r="AC9" s="898"/>
      <c r="AD9" s="1083" t="s">
        <v>276</v>
      </c>
      <c r="AE9" s="1065"/>
      <c r="AF9" s="1138" t="s">
        <v>88</v>
      </c>
      <c r="AG9" s="1139"/>
      <c r="AH9" s="1065" t="s">
        <v>277</v>
      </c>
      <c r="AI9" s="1083"/>
    </row>
    <row r="10" spans="1:64" ht="22.5" customHeight="1">
      <c r="D10" s="1137"/>
      <c r="E10" s="1137"/>
      <c r="F10" s="1142"/>
      <c r="G10" s="1142"/>
      <c r="H10" s="1143"/>
      <c r="I10" s="1144"/>
      <c r="J10" s="1138"/>
      <c r="K10" s="900"/>
      <c r="L10" s="351" t="s">
        <v>278</v>
      </c>
      <c r="M10" s="899" t="s">
        <v>279</v>
      </c>
      <c r="N10" s="1140"/>
      <c r="O10" s="1141"/>
      <c r="P10" s="1137"/>
      <c r="Q10" s="898"/>
      <c r="R10" s="351" t="s">
        <v>278</v>
      </c>
      <c r="S10" s="899" t="s">
        <v>279</v>
      </c>
      <c r="T10" s="1140"/>
      <c r="U10" s="1141"/>
      <c r="V10" s="1137"/>
      <c r="W10" s="898"/>
      <c r="X10" s="351" t="s">
        <v>278</v>
      </c>
      <c r="Y10" s="899" t="s">
        <v>279</v>
      </c>
      <c r="Z10" s="1140"/>
      <c r="AA10" s="1141"/>
      <c r="AB10" s="1137"/>
      <c r="AC10" s="898"/>
      <c r="AD10" s="351" t="s">
        <v>278</v>
      </c>
      <c r="AE10" s="899" t="s">
        <v>279</v>
      </c>
      <c r="AF10" s="1140"/>
      <c r="AG10" s="1141"/>
      <c r="AH10" s="1138"/>
      <c r="AI10" s="1137"/>
      <c r="AK10" s="2" t="s">
        <v>280</v>
      </c>
      <c r="AL10" s="2" t="s">
        <v>132</v>
      </c>
    </row>
    <row r="11" spans="1:64" ht="14.25" customHeight="1">
      <c r="D11" s="1145" t="s">
        <v>110</v>
      </c>
      <c r="E11" s="1147" t="s">
        <v>281</v>
      </c>
      <c r="F11" s="1147" t="s">
        <v>282</v>
      </c>
      <c r="G11" s="1150" t="s">
        <v>57</v>
      </c>
      <c r="H11" s="921"/>
      <c r="I11" s="1152"/>
      <c r="J11" s="1114"/>
      <c r="K11" s="862"/>
      <c r="L11" s="1101"/>
      <c r="M11" s="1101"/>
      <c r="N11" s="915"/>
      <c r="O11" s="1101"/>
      <c r="P11" s="1114"/>
      <c r="Q11" s="862"/>
      <c r="R11" s="1101"/>
      <c r="S11" s="1101"/>
      <c r="T11" s="916"/>
      <c r="U11" s="1101"/>
      <c r="V11" s="1114"/>
      <c r="W11" s="833"/>
      <c r="X11" s="1101"/>
      <c r="Y11" s="1101"/>
      <c r="Z11" s="915"/>
      <c r="AA11" s="1101"/>
      <c r="AB11" s="1114"/>
      <c r="AC11" s="917"/>
      <c r="AD11" s="1101"/>
      <c r="AE11" s="1101"/>
      <c r="AF11" s="833"/>
      <c r="AG11" s="833"/>
      <c r="AH11" s="915"/>
      <c r="AI11" s="776"/>
    </row>
    <row r="12" spans="1:64" ht="14.25" customHeight="1">
      <c r="D12" s="1145"/>
      <c r="E12" s="1147"/>
      <c r="F12" s="1147"/>
      <c r="G12" s="1151"/>
      <c r="H12" s="922"/>
      <c r="I12" s="1153"/>
      <c r="J12" s="1115"/>
      <c r="K12" s="353"/>
      <c r="L12" s="1102"/>
      <c r="M12" s="1102"/>
      <c r="N12" s="32"/>
      <c r="O12" s="1102"/>
      <c r="P12" s="1115"/>
      <c r="Q12" s="393"/>
      <c r="R12" s="1102"/>
      <c r="S12" s="1102"/>
      <c r="T12" s="918"/>
      <c r="U12" s="1102"/>
      <c r="V12" s="1115"/>
      <c r="W12" s="53"/>
      <c r="X12" s="1102"/>
      <c r="Y12" s="1102"/>
      <c r="Z12" s="32"/>
      <c r="AA12" s="1102"/>
      <c r="AB12" s="1115"/>
      <c r="AC12" s="353"/>
      <c r="AD12" s="1102"/>
      <c r="AE12" s="1102"/>
      <c r="AF12" s="777"/>
      <c r="AG12" s="777"/>
      <c r="AH12" s="1156"/>
      <c r="AI12" s="1157"/>
    </row>
    <row r="13" spans="1:64" ht="14.25" customHeight="1">
      <c r="D13" s="1145"/>
      <c r="E13" s="1147"/>
      <c r="F13" s="1147"/>
      <c r="G13" s="1151"/>
      <c r="H13" s="922"/>
      <c r="I13" s="1153"/>
      <c r="J13" s="1115"/>
      <c r="K13" s="353"/>
      <c r="L13" s="1102"/>
      <c r="M13" s="1102"/>
      <c r="N13" s="32"/>
      <c r="O13" s="1102"/>
      <c r="P13" s="1115"/>
      <c r="Q13" s="393"/>
      <c r="R13" s="1102"/>
      <c r="S13" s="1102"/>
      <c r="T13" s="918"/>
      <c r="U13" s="1102"/>
      <c r="V13" s="1115"/>
      <c r="W13" s="53"/>
      <c r="X13" s="1102"/>
      <c r="Y13" s="1102"/>
      <c r="Z13" s="53"/>
      <c r="AA13" s="777"/>
      <c r="AB13" s="1156"/>
      <c r="AC13" s="1156"/>
      <c r="AD13" s="1156"/>
      <c r="AE13" s="1156"/>
      <c r="AF13" s="1156"/>
      <c r="AG13" s="1156"/>
      <c r="AH13" s="1156"/>
      <c r="AI13" s="1157"/>
    </row>
    <row r="14" spans="1:64" ht="14.25" customHeight="1">
      <c r="D14" s="1145"/>
      <c r="E14" s="1147"/>
      <c r="F14" s="1147"/>
      <c r="G14" s="1151"/>
      <c r="H14" s="922"/>
      <c r="I14" s="1153"/>
      <c r="J14" s="1115"/>
      <c r="K14" s="353"/>
      <c r="L14" s="1102"/>
      <c r="M14" s="1102"/>
      <c r="N14" s="32"/>
      <c r="O14" s="1102"/>
      <c r="P14" s="1115"/>
      <c r="Q14" s="393"/>
      <c r="R14" s="1102"/>
      <c r="S14" s="1102"/>
      <c r="T14" s="48"/>
      <c r="U14" s="919"/>
      <c r="V14" s="1156"/>
      <c r="W14" s="1156"/>
      <c r="X14" s="1156"/>
      <c r="Y14" s="1156"/>
      <c r="Z14" s="1156"/>
      <c r="AA14" s="1156"/>
      <c r="AB14" s="1156"/>
      <c r="AC14" s="1156"/>
      <c r="AD14" s="1156"/>
      <c r="AE14" s="1156"/>
      <c r="AF14" s="1156"/>
      <c r="AG14" s="1156"/>
      <c r="AH14" s="1156"/>
      <c r="AI14" s="1157"/>
    </row>
    <row r="15" spans="1:64" ht="11.25" customHeight="1">
      <c r="D15" s="1145"/>
      <c r="E15" s="1147"/>
      <c r="F15" s="1147"/>
      <c r="G15" s="1151"/>
      <c r="H15" s="923"/>
      <c r="I15" s="1153"/>
      <c r="J15" s="1115"/>
      <c r="K15" s="353"/>
      <c r="L15" s="1102"/>
      <c r="M15" s="1102"/>
      <c r="N15" s="777"/>
      <c r="O15" s="777"/>
      <c r="P15" s="1156"/>
      <c r="Q15" s="1156"/>
      <c r="R15" s="1156"/>
      <c r="S15" s="1156"/>
      <c r="T15" s="1156"/>
      <c r="U15" s="1156"/>
      <c r="V15" s="1156"/>
      <c r="W15" s="1156"/>
      <c r="X15" s="1156"/>
      <c r="Y15" s="1156"/>
      <c r="Z15" s="1156"/>
      <c r="AA15" s="1156"/>
      <c r="AB15" s="1156"/>
      <c r="AC15" s="1156"/>
      <c r="AD15" s="1156"/>
      <c r="AE15" s="1156"/>
      <c r="AF15" s="1156"/>
      <c r="AG15" s="1156"/>
      <c r="AH15" s="1156"/>
      <c r="AI15" s="1157"/>
    </row>
    <row r="16" spans="1:64" s="896" customFormat="1" ht="11.25" customHeight="1">
      <c r="D16" s="1146"/>
      <c r="E16" s="1148"/>
      <c r="F16" s="1149"/>
      <c r="G16" s="1098"/>
      <c r="H16" s="920"/>
      <c r="I16" s="924"/>
      <c r="J16" s="1154"/>
      <c r="K16" s="1154"/>
      <c r="L16" s="1154"/>
      <c r="M16" s="1154"/>
      <c r="N16" s="1154"/>
      <c r="O16" s="1154"/>
      <c r="P16" s="1154"/>
      <c r="Q16" s="1154"/>
      <c r="R16" s="1154"/>
      <c r="S16" s="1154"/>
      <c r="T16" s="1154"/>
      <c r="U16" s="1154"/>
      <c r="V16" s="1154"/>
      <c r="W16" s="1154"/>
      <c r="X16" s="1154"/>
      <c r="Y16" s="1154"/>
      <c r="Z16" s="1154"/>
      <c r="AA16" s="1154"/>
      <c r="AB16" s="1154"/>
      <c r="AC16" s="1154"/>
      <c r="AD16" s="1154"/>
      <c r="AE16" s="1154"/>
      <c r="AF16" s="1154"/>
      <c r="AG16" s="1154"/>
      <c r="AH16" s="1154"/>
      <c r="AI16" s="1155"/>
      <c r="AJ16"/>
      <c r="AK16" s="44"/>
      <c r="AL16"/>
      <c r="AM16"/>
      <c r="AN16"/>
      <c r="AO16"/>
      <c r="AP16"/>
      <c r="AQ16"/>
      <c r="AR16"/>
      <c r="AS16"/>
      <c r="AT16"/>
      <c r="AU16"/>
      <c r="AV16"/>
      <c r="AW16"/>
      <c r="AX16"/>
      <c r="AY16"/>
      <c r="AZ16"/>
      <c r="BA16"/>
      <c r="BB16"/>
      <c r="BC16"/>
      <c r="BD16"/>
      <c r="BE16"/>
      <c r="BF16"/>
      <c r="BG16"/>
      <c r="BH16"/>
      <c r="BI16"/>
      <c r="BJ16"/>
      <c r="BK16"/>
      <c r="BL16"/>
    </row>
    <row r="17" spans="4:64" ht="14.25" customHeight="1">
      <c r="D17" s="1145" t="s">
        <v>111</v>
      </c>
      <c r="E17" s="1147" t="s">
        <v>281</v>
      </c>
      <c r="F17" s="1147" t="s">
        <v>283</v>
      </c>
      <c r="G17" s="1150" t="s">
        <v>57</v>
      </c>
      <c r="H17" s="921"/>
      <c r="I17" s="1152"/>
      <c r="J17" s="1114"/>
      <c r="K17" s="862"/>
      <c r="L17" s="1101"/>
      <c r="M17" s="1101"/>
      <c r="N17" s="915"/>
      <c r="O17" s="1101"/>
      <c r="P17" s="1114"/>
      <c r="Q17" s="862"/>
      <c r="R17" s="1101"/>
      <c r="S17" s="1101"/>
      <c r="T17" s="916"/>
      <c r="U17" s="1101"/>
      <c r="V17" s="1114"/>
      <c r="W17" s="833"/>
      <c r="X17" s="1101"/>
      <c r="Y17" s="1101"/>
      <c r="Z17" s="915"/>
      <c r="AA17" s="1101"/>
      <c r="AB17" s="1114"/>
      <c r="AC17" s="917"/>
      <c r="AD17" s="1101"/>
      <c r="AE17" s="1101"/>
      <c r="AF17" s="833"/>
      <c r="AG17" s="833"/>
      <c r="AH17" s="915"/>
      <c r="AI17" s="776"/>
    </row>
    <row r="18" spans="4:64" ht="14.25" customHeight="1">
      <c r="D18" s="1145"/>
      <c r="E18" s="1147"/>
      <c r="F18" s="1147"/>
      <c r="G18" s="1151"/>
      <c r="H18" s="922"/>
      <c r="I18" s="1153"/>
      <c r="J18" s="1115"/>
      <c r="K18" s="353"/>
      <c r="L18" s="1102"/>
      <c r="M18" s="1102"/>
      <c r="N18" s="32"/>
      <c r="O18" s="1102"/>
      <c r="P18" s="1115"/>
      <c r="Q18" s="393"/>
      <c r="R18" s="1102"/>
      <c r="S18" s="1102"/>
      <c r="T18" s="918"/>
      <c r="U18" s="1102"/>
      <c r="V18" s="1115"/>
      <c r="W18" s="53"/>
      <c r="X18" s="1102"/>
      <c r="Y18" s="1102"/>
      <c r="Z18" s="32"/>
      <c r="AA18" s="1102"/>
      <c r="AB18" s="1115"/>
      <c r="AC18" s="353"/>
      <c r="AD18" s="1102"/>
      <c r="AE18" s="1102"/>
      <c r="AF18" s="777"/>
      <c r="AG18" s="777"/>
      <c r="AH18" s="1156"/>
      <c r="AI18" s="1157"/>
    </row>
    <row r="19" spans="4:64" ht="14.25" customHeight="1">
      <c r="D19" s="1145"/>
      <c r="E19" s="1147"/>
      <c r="F19" s="1147"/>
      <c r="G19" s="1151"/>
      <c r="H19" s="922"/>
      <c r="I19" s="1153"/>
      <c r="J19" s="1115"/>
      <c r="K19" s="353"/>
      <c r="L19" s="1102"/>
      <c r="M19" s="1102"/>
      <c r="N19" s="32"/>
      <c r="O19" s="1102"/>
      <c r="P19" s="1115"/>
      <c r="Q19" s="393"/>
      <c r="R19" s="1102"/>
      <c r="S19" s="1102"/>
      <c r="T19" s="918"/>
      <c r="U19" s="1102"/>
      <c r="V19" s="1115"/>
      <c r="W19" s="53"/>
      <c r="X19" s="1102"/>
      <c r="Y19" s="1102"/>
      <c r="Z19" s="53"/>
      <c r="AA19" s="777"/>
      <c r="AB19" s="1156"/>
      <c r="AC19" s="1156"/>
      <c r="AD19" s="1156"/>
      <c r="AE19" s="1156"/>
      <c r="AF19" s="1156"/>
      <c r="AG19" s="1156"/>
      <c r="AH19" s="1156"/>
      <c r="AI19" s="1157"/>
    </row>
    <row r="20" spans="4:64" ht="14.25" customHeight="1">
      <c r="D20" s="1145"/>
      <c r="E20" s="1147"/>
      <c r="F20" s="1147"/>
      <c r="G20" s="1151"/>
      <c r="H20" s="922"/>
      <c r="I20" s="1153"/>
      <c r="J20" s="1115"/>
      <c r="K20" s="353"/>
      <c r="L20" s="1102"/>
      <c r="M20" s="1102"/>
      <c r="N20" s="32"/>
      <c r="O20" s="1102"/>
      <c r="P20" s="1115"/>
      <c r="Q20" s="393"/>
      <c r="R20" s="1102"/>
      <c r="S20" s="1102"/>
      <c r="T20" s="48"/>
      <c r="U20" s="919"/>
      <c r="V20" s="1156"/>
      <c r="W20" s="1156"/>
      <c r="X20" s="1156"/>
      <c r="Y20" s="1156"/>
      <c r="Z20" s="1156"/>
      <c r="AA20" s="1156"/>
      <c r="AB20" s="1156"/>
      <c r="AC20" s="1156"/>
      <c r="AD20" s="1156"/>
      <c r="AE20" s="1156"/>
      <c r="AF20" s="1156"/>
      <c r="AG20" s="1156"/>
      <c r="AH20" s="1156"/>
      <c r="AI20" s="1157"/>
    </row>
    <row r="21" spans="4:64" ht="11.25" customHeight="1">
      <c r="D21" s="1145"/>
      <c r="E21" s="1147"/>
      <c r="F21" s="1147"/>
      <c r="G21" s="1151"/>
      <c r="H21" s="923"/>
      <c r="I21" s="1153"/>
      <c r="J21" s="1115"/>
      <c r="K21" s="353"/>
      <c r="L21" s="1102"/>
      <c r="M21" s="1102"/>
      <c r="N21" s="777"/>
      <c r="O21" s="777"/>
      <c r="P21" s="1156"/>
      <c r="Q21" s="1156"/>
      <c r="R21" s="1156"/>
      <c r="S21" s="1156"/>
      <c r="T21" s="1156"/>
      <c r="U21" s="1156"/>
      <c r="V21" s="1156"/>
      <c r="W21" s="1156"/>
      <c r="X21" s="1156"/>
      <c r="Y21" s="1156"/>
      <c r="Z21" s="1156"/>
      <c r="AA21" s="1156"/>
      <c r="AB21" s="1156"/>
      <c r="AC21" s="1156"/>
      <c r="AD21" s="1156"/>
      <c r="AE21" s="1156"/>
      <c r="AF21" s="1156"/>
      <c r="AG21" s="1156"/>
      <c r="AH21" s="1156"/>
      <c r="AI21" s="1157"/>
    </row>
    <row r="22" spans="4:64" s="896" customFormat="1" ht="11.25" customHeight="1">
      <c r="D22" s="1146"/>
      <c r="E22" s="1148"/>
      <c r="F22" s="1149"/>
      <c r="G22" s="1098"/>
      <c r="H22" s="920"/>
      <c r="I22" s="924"/>
      <c r="J22" s="1154"/>
      <c r="K22" s="1154"/>
      <c r="L22" s="1154"/>
      <c r="M22" s="1154"/>
      <c r="N22" s="1154"/>
      <c r="O22" s="1154"/>
      <c r="P22" s="1154"/>
      <c r="Q22" s="1154"/>
      <c r="R22" s="1154"/>
      <c r="S22" s="1154"/>
      <c r="T22" s="1154"/>
      <c r="U22" s="1154"/>
      <c r="V22" s="1154"/>
      <c r="W22" s="1154"/>
      <c r="X22" s="1154"/>
      <c r="Y22" s="1154"/>
      <c r="Z22" s="1154"/>
      <c r="AA22" s="1154"/>
      <c r="AB22" s="1154"/>
      <c r="AC22" s="1154"/>
      <c r="AD22" s="1154"/>
      <c r="AE22" s="1154"/>
      <c r="AF22" s="1154"/>
      <c r="AG22" s="1154"/>
      <c r="AH22" s="1154"/>
      <c r="AI22" s="1155"/>
      <c r="AJ22"/>
      <c r="AK22" s="44"/>
      <c r="AL22"/>
      <c r="AM22"/>
      <c r="AN22"/>
      <c r="AO22"/>
      <c r="AP22"/>
      <c r="AQ22"/>
      <c r="AR22"/>
      <c r="AS22"/>
      <c r="AT22"/>
      <c r="AU22"/>
      <c r="AV22"/>
      <c r="AW22"/>
      <c r="AX22"/>
      <c r="AY22"/>
      <c r="AZ22"/>
      <c r="BA22"/>
      <c r="BB22"/>
      <c r="BC22"/>
      <c r="BD22"/>
      <c r="BE22"/>
      <c r="BF22"/>
      <c r="BG22"/>
      <c r="BH22"/>
      <c r="BI22"/>
      <c r="BJ22"/>
      <c r="BK22"/>
      <c r="BL22"/>
    </row>
    <row r="23" spans="4:64" ht="14.25" customHeight="1">
      <c r="D23" s="1145" t="s">
        <v>90</v>
      </c>
      <c r="E23" s="1147" t="s">
        <v>281</v>
      </c>
      <c r="F23" s="1147" t="s">
        <v>284</v>
      </c>
      <c r="G23" s="1150" t="s">
        <v>57</v>
      </c>
      <c r="H23" s="921"/>
      <c r="I23" s="1152"/>
      <c r="J23" s="1114"/>
      <c r="K23" s="862"/>
      <c r="L23" s="1101"/>
      <c r="M23" s="1101"/>
      <c r="N23" s="915"/>
      <c r="O23" s="1101"/>
      <c r="P23" s="1114"/>
      <c r="Q23" s="862"/>
      <c r="R23" s="1101"/>
      <c r="S23" s="1101"/>
      <c r="T23" s="916"/>
      <c r="U23" s="1101"/>
      <c r="V23" s="1114"/>
      <c r="W23" s="833"/>
      <c r="X23" s="1101"/>
      <c r="Y23" s="1101"/>
      <c r="Z23" s="915"/>
      <c r="AA23" s="1101"/>
      <c r="AB23" s="1114"/>
      <c r="AC23" s="917"/>
      <c r="AD23" s="1101"/>
      <c r="AE23" s="1101"/>
      <c r="AF23" s="833"/>
      <c r="AG23" s="833"/>
      <c r="AH23" s="915"/>
      <c r="AI23" s="776"/>
      <c r="AK23" s="44" t="s">
        <v>98</v>
      </c>
    </row>
    <row r="24" spans="4:64" ht="14.25" customHeight="1">
      <c r="D24" s="1145"/>
      <c r="E24" s="1147"/>
      <c r="F24" s="1147"/>
      <c r="G24" s="1151"/>
      <c r="H24" s="922"/>
      <c r="I24" s="1153"/>
      <c r="J24" s="1115"/>
      <c r="K24" s="353"/>
      <c r="L24" s="1102"/>
      <c r="M24" s="1102"/>
      <c r="N24" s="32"/>
      <c r="O24" s="1102"/>
      <c r="P24" s="1115"/>
      <c r="Q24" s="393"/>
      <c r="R24" s="1102"/>
      <c r="S24" s="1102"/>
      <c r="T24" s="918"/>
      <c r="U24" s="1102"/>
      <c r="V24" s="1115"/>
      <c r="W24" s="53"/>
      <c r="X24" s="1102"/>
      <c r="Y24" s="1102"/>
      <c r="Z24" s="32"/>
      <c r="AA24" s="1102"/>
      <c r="AB24" s="1115"/>
      <c r="AC24" s="353"/>
      <c r="AD24" s="1102"/>
      <c r="AE24" s="1102"/>
      <c r="AF24" s="777"/>
      <c r="AG24" s="777"/>
      <c r="AH24" s="1156"/>
      <c r="AI24" s="1157"/>
    </row>
    <row r="25" spans="4:64" ht="14.25" customHeight="1">
      <c r="D25" s="1145"/>
      <c r="E25" s="1147"/>
      <c r="F25" s="1147"/>
      <c r="G25" s="1151"/>
      <c r="H25" s="922"/>
      <c r="I25" s="1153"/>
      <c r="J25" s="1115"/>
      <c r="K25" s="353"/>
      <c r="L25" s="1102"/>
      <c r="M25" s="1102"/>
      <c r="N25" s="32"/>
      <c r="O25" s="1102"/>
      <c r="P25" s="1115"/>
      <c r="Q25" s="393"/>
      <c r="R25" s="1102"/>
      <c r="S25" s="1102"/>
      <c r="T25" s="918"/>
      <c r="U25" s="1102"/>
      <c r="V25" s="1115"/>
      <c r="W25" s="53"/>
      <c r="X25" s="1102"/>
      <c r="Y25" s="1102"/>
      <c r="Z25" s="53"/>
      <c r="AA25" s="777"/>
      <c r="AB25" s="1156"/>
      <c r="AC25" s="1156"/>
      <c r="AD25" s="1156"/>
      <c r="AE25" s="1156"/>
      <c r="AF25" s="1156"/>
      <c r="AG25" s="1156"/>
      <c r="AH25" s="1156"/>
      <c r="AI25" s="1157"/>
    </row>
    <row r="26" spans="4:64" ht="14.25" customHeight="1">
      <c r="D26" s="1145"/>
      <c r="E26" s="1147"/>
      <c r="F26" s="1147"/>
      <c r="G26" s="1151"/>
      <c r="H26" s="922"/>
      <c r="I26" s="1153"/>
      <c r="J26" s="1115"/>
      <c r="K26" s="353"/>
      <c r="L26" s="1102"/>
      <c r="M26" s="1102"/>
      <c r="N26" s="32"/>
      <c r="O26" s="1102"/>
      <c r="P26" s="1115"/>
      <c r="Q26" s="393"/>
      <c r="R26" s="1102"/>
      <c r="S26" s="1102"/>
      <c r="T26" s="48"/>
      <c r="U26" s="919"/>
      <c r="V26" s="1156"/>
      <c r="W26" s="1156"/>
      <c r="X26" s="1156"/>
      <c r="Y26" s="1156"/>
      <c r="Z26" s="1156"/>
      <c r="AA26" s="1156"/>
      <c r="AB26" s="1156"/>
      <c r="AC26" s="1156"/>
      <c r="AD26" s="1156"/>
      <c r="AE26" s="1156"/>
      <c r="AF26" s="1156"/>
      <c r="AG26" s="1156"/>
      <c r="AH26" s="1156"/>
      <c r="AI26" s="1157"/>
    </row>
    <row r="27" spans="4:64" ht="11.25" customHeight="1">
      <c r="D27" s="1145"/>
      <c r="E27" s="1147"/>
      <c r="F27" s="1147"/>
      <c r="G27" s="1151"/>
      <c r="H27" s="923"/>
      <c r="I27" s="1153"/>
      <c r="J27" s="1115"/>
      <c r="K27" s="353"/>
      <c r="L27" s="1102"/>
      <c r="M27" s="1102"/>
      <c r="N27" s="777"/>
      <c r="O27" s="777"/>
      <c r="P27" s="1156"/>
      <c r="Q27" s="1156"/>
      <c r="R27" s="1156"/>
      <c r="S27" s="1156"/>
      <c r="T27" s="1156"/>
      <c r="U27" s="1156"/>
      <c r="V27" s="1156"/>
      <c r="W27" s="1156"/>
      <c r="X27" s="1156"/>
      <c r="Y27" s="1156"/>
      <c r="Z27" s="1156"/>
      <c r="AA27" s="1156"/>
      <c r="AB27" s="1156"/>
      <c r="AC27" s="1156"/>
      <c r="AD27" s="1156"/>
      <c r="AE27" s="1156"/>
      <c r="AF27" s="1156"/>
      <c r="AG27" s="1156"/>
      <c r="AH27" s="1156"/>
      <c r="AI27" s="1157"/>
    </row>
    <row r="28" spans="4:64" s="896" customFormat="1" ht="11.25" customHeight="1">
      <c r="D28" s="1146"/>
      <c r="E28" s="1148"/>
      <c r="F28" s="1149"/>
      <c r="G28" s="1098"/>
      <c r="H28" s="920"/>
      <c r="I28" s="924"/>
      <c r="J28" s="1154"/>
      <c r="K28" s="1154"/>
      <c r="L28" s="1154"/>
      <c r="M28" s="1154"/>
      <c r="N28" s="1154"/>
      <c r="O28" s="1154"/>
      <c r="P28" s="1154"/>
      <c r="Q28" s="1154"/>
      <c r="R28" s="1154"/>
      <c r="S28" s="1154"/>
      <c r="T28" s="1154"/>
      <c r="U28" s="1154"/>
      <c r="V28" s="1154"/>
      <c r="W28" s="1154"/>
      <c r="X28" s="1154"/>
      <c r="Y28" s="1154"/>
      <c r="Z28" s="1154"/>
      <c r="AA28" s="1154"/>
      <c r="AB28" s="1154"/>
      <c r="AC28" s="1154"/>
      <c r="AD28" s="1154"/>
      <c r="AE28" s="1154"/>
      <c r="AF28" s="1154"/>
      <c r="AG28" s="1154"/>
      <c r="AH28" s="1154"/>
      <c r="AI28" s="1155"/>
      <c r="AJ28"/>
      <c r="AK28" s="44"/>
      <c r="AL28"/>
      <c r="AM28"/>
      <c r="AN28"/>
      <c r="AO28"/>
      <c r="AP28"/>
      <c r="AQ28"/>
      <c r="AR28"/>
      <c r="AS28"/>
      <c r="AT28"/>
      <c r="AU28"/>
      <c r="AV28"/>
      <c r="AW28"/>
      <c r="AX28"/>
      <c r="AY28"/>
      <c r="AZ28"/>
      <c r="BA28"/>
      <c r="BB28"/>
      <c r="BC28"/>
      <c r="BD28"/>
      <c r="BE28"/>
      <c r="BF28"/>
      <c r="BG28"/>
      <c r="BH28"/>
      <c r="BI28"/>
      <c r="BJ28"/>
      <c r="BK28"/>
      <c r="BL28"/>
    </row>
    <row r="29" spans="4:64" ht="14.25" customHeight="1">
      <c r="D29" s="1145" t="s">
        <v>91</v>
      </c>
      <c r="E29" s="1147" t="s">
        <v>281</v>
      </c>
      <c r="F29" s="1147" t="s">
        <v>285</v>
      </c>
      <c r="G29" s="1150" t="s">
        <v>57</v>
      </c>
      <c r="H29" s="921"/>
      <c r="I29" s="1152"/>
      <c r="J29" s="1114"/>
      <c r="K29" s="862"/>
      <c r="L29" s="1101"/>
      <c r="M29" s="1101"/>
      <c r="N29" s="915"/>
      <c r="O29" s="1101"/>
      <c r="P29" s="1114"/>
      <c r="Q29" s="862"/>
      <c r="R29" s="1101"/>
      <c r="S29" s="1101"/>
      <c r="T29" s="916"/>
      <c r="U29" s="1101"/>
      <c r="V29" s="1114"/>
      <c r="W29" s="833"/>
      <c r="X29" s="1101"/>
      <c r="Y29" s="1101"/>
      <c r="Z29" s="915"/>
      <c r="AA29" s="1101"/>
      <c r="AB29" s="1114"/>
      <c r="AC29" s="917"/>
      <c r="AD29" s="1101"/>
      <c r="AE29" s="1101"/>
      <c r="AF29" s="833"/>
      <c r="AG29" s="833"/>
      <c r="AH29" s="915"/>
      <c r="AI29" s="776"/>
    </row>
    <row r="30" spans="4:64" ht="14.25" customHeight="1">
      <c r="D30" s="1145"/>
      <c r="E30" s="1147"/>
      <c r="F30" s="1147"/>
      <c r="G30" s="1151"/>
      <c r="H30" s="922"/>
      <c r="I30" s="1153"/>
      <c r="J30" s="1115"/>
      <c r="K30" s="353"/>
      <c r="L30" s="1102"/>
      <c r="M30" s="1102"/>
      <c r="N30" s="32"/>
      <c r="O30" s="1102"/>
      <c r="P30" s="1115"/>
      <c r="Q30" s="393"/>
      <c r="R30" s="1102"/>
      <c r="S30" s="1102"/>
      <c r="T30" s="918"/>
      <c r="U30" s="1102"/>
      <c r="V30" s="1115"/>
      <c r="W30" s="53"/>
      <c r="X30" s="1102"/>
      <c r="Y30" s="1102"/>
      <c r="Z30" s="32"/>
      <c r="AA30" s="1102"/>
      <c r="AB30" s="1115"/>
      <c r="AC30" s="353"/>
      <c r="AD30" s="1102"/>
      <c r="AE30" s="1102"/>
      <c r="AF30" s="777"/>
      <c r="AG30" s="777"/>
      <c r="AH30" s="1156"/>
      <c r="AI30" s="1157"/>
    </row>
    <row r="31" spans="4:64" ht="14.25" customHeight="1">
      <c r="D31" s="1145"/>
      <c r="E31" s="1147"/>
      <c r="F31" s="1147"/>
      <c r="G31" s="1151"/>
      <c r="H31" s="922"/>
      <c r="I31" s="1153"/>
      <c r="J31" s="1115"/>
      <c r="K31" s="353"/>
      <c r="L31" s="1102"/>
      <c r="M31" s="1102"/>
      <c r="N31" s="32"/>
      <c r="O31" s="1102"/>
      <c r="P31" s="1115"/>
      <c r="Q31" s="393"/>
      <c r="R31" s="1102"/>
      <c r="S31" s="1102"/>
      <c r="T31" s="918"/>
      <c r="U31" s="1102"/>
      <c r="V31" s="1115"/>
      <c r="W31" s="53"/>
      <c r="X31" s="1102"/>
      <c r="Y31" s="1102"/>
      <c r="Z31" s="53"/>
      <c r="AA31" s="777"/>
      <c r="AB31" s="1156"/>
      <c r="AC31" s="1156"/>
      <c r="AD31" s="1156"/>
      <c r="AE31" s="1156"/>
      <c r="AF31" s="1156"/>
      <c r="AG31" s="1156"/>
      <c r="AH31" s="1156"/>
      <c r="AI31" s="1157"/>
    </row>
    <row r="32" spans="4:64" ht="14.25" customHeight="1">
      <c r="D32" s="1145"/>
      <c r="E32" s="1147"/>
      <c r="F32" s="1147"/>
      <c r="G32" s="1151"/>
      <c r="H32" s="922"/>
      <c r="I32" s="1153"/>
      <c r="J32" s="1115"/>
      <c r="K32" s="353"/>
      <c r="L32" s="1102"/>
      <c r="M32" s="1102"/>
      <c r="N32" s="32"/>
      <c r="O32" s="1102"/>
      <c r="P32" s="1115"/>
      <c r="Q32" s="393"/>
      <c r="R32" s="1102"/>
      <c r="S32" s="1102"/>
      <c r="T32" s="48"/>
      <c r="U32" s="919"/>
      <c r="V32" s="1156"/>
      <c r="W32" s="1156"/>
      <c r="X32" s="1156"/>
      <c r="Y32" s="1156"/>
      <c r="Z32" s="1156"/>
      <c r="AA32" s="1156"/>
      <c r="AB32" s="1156"/>
      <c r="AC32" s="1156"/>
      <c r="AD32" s="1156"/>
      <c r="AE32" s="1156"/>
      <c r="AF32" s="1156"/>
      <c r="AG32" s="1156"/>
      <c r="AH32" s="1156"/>
      <c r="AI32" s="1157"/>
    </row>
    <row r="33" spans="4:64" ht="11.25" customHeight="1">
      <c r="D33" s="1145"/>
      <c r="E33" s="1147"/>
      <c r="F33" s="1147"/>
      <c r="G33" s="1151"/>
      <c r="H33" s="923"/>
      <c r="I33" s="1153"/>
      <c r="J33" s="1115"/>
      <c r="K33" s="353"/>
      <c r="L33" s="1102"/>
      <c r="M33" s="1102"/>
      <c r="N33" s="777"/>
      <c r="O33" s="777"/>
      <c r="P33" s="1156"/>
      <c r="Q33" s="1156"/>
      <c r="R33" s="1156"/>
      <c r="S33" s="1156"/>
      <c r="T33" s="1156"/>
      <c r="U33" s="1156"/>
      <c r="V33" s="1156"/>
      <c r="W33" s="1156"/>
      <c r="X33" s="1156"/>
      <c r="Y33" s="1156"/>
      <c r="Z33" s="1156"/>
      <c r="AA33" s="1156"/>
      <c r="AB33" s="1156"/>
      <c r="AC33" s="1156"/>
      <c r="AD33" s="1156"/>
      <c r="AE33" s="1156"/>
      <c r="AF33" s="1156"/>
      <c r="AG33" s="1156"/>
      <c r="AH33" s="1156"/>
      <c r="AI33" s="1157"/>
    </row>
    <row r="34" spans="4:64" s="896" customFormat="1" ht="11.25" customHeight="1">
      <c r="D34" s="1146"/>
      <c r="E34" s="1148"/>
      <c r="F34" s="1149"/>
      <c r="G34" s="1098"/>
      <c r="H34" s="920"/>
      <c r="I34" s="924"/>
      <c r="J34" s="1154"/>
      <c r="K34" s="1154"/>
      <c r="L34" s="1154"/>
      <c r="M34" s="1154"/>
      <c r="N34" s="1154"/>
      <c r="O34" s="1154"/>
      <c r="P34" s="1154"/>
      <c r="Q34" s="1154"/>
      <c r="R34" s="1154"/>
      <c r="S34" s="1154"/>
      <c r="T34" s="1154"/>
      <c r="U34" s="1154"/>
      <c r="V34" s="1154"/>
      <c r="W34" s="1154"/>
      <c r="X34" s="1154"/>
      <c r="Y34" s="1154"/>
      <c r="Z34" s="1154"/>
      <c r="AA34" s="1154"/>
      <c r="AB34" s="1154"/>
      <c r="AC34" s="1154"/>
      <c r="AD34" s="1154"/>
      <c r="AE34" s="1154"/>
      <c r="AF34" s="1154"/>
      <c r="AG34" s="1154"/>
      <c r="AH34" s="1154"/>
      <c r="AI34" s="1155"/>
      <c r="AJ34"/>
      <c r="AK34" s="44"/>
      <c r="AL34"/>
      <c r="AM34"/>
      <c r="AN34"/>
      <c r="AO34"/>
      <c r="AP34"/>
      <c r="AQ34"/>
      <c r="AR34"/>
      <c r="AS34"/>
      <c r="AT34"/>
      <c r="AU34"/>
      <c r="AV34"/>
      <c r="AW34"/>
      <c r="AX34"/>
      <c r="AY34"/>
      <c r="AZ34"/>
      <c r="BA34"/>
      <c r="BB34"/>
      <c r="BC34"/>
      <c r="BD34"/>
      <c r="BE34"/>
      <c r="BF34"/>
      <c r="BG34"/>
      <c r="BH34"/>
      <c r="BI34"/>
      <c r="BJ34"/>
      <c r="BK34"/>
      <c r="BL34"/>
    </row>
    <row r="35" spans="4:64" ht="14.25" customHeight="1">
      <c r="D35" s="1145" t="s">
        <v>112</v>
      </c>
      <c r="E35" s="1147" t="s">
        <v>281</v>
      </c>
      <c r="F35" s="1147" t="s">
        <v>286</v>
      </c>
      <c r="G35" s="1150" t="s">
        <v>57</v>
      </c>
      <c r="H35" s="921"/>
      <c r="I35" s="1152"/>
      <c r="J35" s="1114"/>
      <c r="K35" s="862"/>
      <c r="L35" s="1101"/>
      <c r="M35" s="1101"/>
      <c r="N35" s="915"/>
      <c r="O35" s="1101"/>
      <c r="P35" s="1114"/>
      <c r="Q35" s="862"/>
      <c r="R35" s="1101"/>
      <c r="S35" s="1101"/>
      <c r="T35" s="916"/>
      <c r="U35" s="1101"/>
      <c r="V35" s="1114"/>
      <c r="W35" s="833"/>
      <c r="X35" s="1101"/>
      <c r="Y35" s="1101"/>
      <c r="Z35" s="915"/>
      <c r="AA35" s="1101"/>
      <c r="AB35" s="1114"/>
      <c r="AC35" s="917"/>
      <c r="AD35" s="1101"/>
      <c r="AE35" s="1101"/>
      <c r="AF35" s="833"/>
      <c r="AG35" s="833"/>
      <c r="AH35" s="915"/>
      <c r="AI35" s="776"/>
    </row>
    <row r="36" spans="4:64" ht="14.25" customHeight="1">
      <c r="D36" s="1145"/>
      <c r="E36" s="1147"/>
      <c r="F36" s="1147"/>
      <c r="G36" s="1151"/>
      <c r="H36" s="922"/>
      <c r="I36" s="1153"/>
      <c r="J36" s="1115"/>
      <c r="K36" s="353"/>
      <c r="L36" s="1102"/>
      <c r="M36" s="1102"/>
      <c r="N36" s="32"/>
      <c r="O36" s="1102"/>
      <c r="P36" s="1115"/>
      <c r="Q36" s="393"/>
      <c r="R36" s="1102"/>
      <c r="S36" s="1102"/>
      <c r="T36" s="918"/>
      <c r="U36" s="1102"/>
      <c r="V36" s="1115"/>
      <c r="W36" s="53"/>
      <c r="X36" s="1102"/>
      <c r="Y36" s="1102"/>
      <c r="Z36" s="32"/>
      <c r="AA36" s="1102"/>
      <c r="AB36" s="1115"/>
      <c r="AC36" s="353"/>
      <c r="AD36" s="1102"/>
      <c r="AE36" s="1102"/>
      <c r="AF36" s="777"/>
      <c r="AG36" s="777"/>
      <c r="AH36" s="1156"/>
      <c r="AI36" s="1157"/>
    </row>
    <row r="37" spans="4:64" ht="14.25" customHeight="1">
      <c r="D37" s="1145"/>
      <c r="E37" s="1147"/>
      <c r="F37" s="1147"/>
      <c r="G37" s="1151"/>
      <c r="H37" s="922"/>
      <c r="I37" s="1153"/>
      <c r="J37" s="1115"/>
      <c r="K37" s="353"/>
      <c r="L37" s="1102"/>
      <c r="M37" s="1102"/>
      <c r="N37" s="32"/>
      <c r="O37" s="1102"/>
      <c r="P37" s="1115"/>
      <c r="Q37" s="393"/>
      <c r="R37" s="1102"/>
      <c r="S37" s="1102"/>
      <c r="T37" s="918"/>
      <c r="U37" s="1102"/>
      <c r="V37" s="1115"/>
      <c r="W37" s="53"/>
      <c r="X37" s="1102"/>
      <c r="Y37" s="1102"/>
      <c r="Z37" s="53"/>
      <c r="AA37" s="777"/>
      <c r="AB37" s="1156"/>
      <c r="AC37" s="1156"/>
      <c r="AD37" s="1156"/>
      <c r="AE37" s="1156"/>
      <c r="AF37" s="1156"/>
      <c r="AG37" s="1156"/>
      <c r="AH37" s="1156"/>
      <c r="AI37" s="1157"/>
    </row>
    <row r="38" spans="4:64" ht="14.25" customHeight="1">
      <c r="D38" s="1145"/>
      <c r="E38" s="1147"/>
      <c r="F38" s="1147"/>
      <c r="G38" s="1151"/>
      <c r="H38" s="922"/>
      <c r="I38" s="1153"/>
      <c r="J38" s="1115"/>
      <c r="K38" s="353"/>
      <c r="L38" s="1102"/>
      <c r="M38" s="1102"/>
      <c r="N38" s="32"/>
      <c r="O38" s="1102"/>
      <c r="P38" s="1115"/>
      <c r="Q38" s="393"/>
      <c r="R38" s="1102"/>
      <c r="S38" s="1102"/>
      <c r="T38" s="48"/>
      <c r="U38" s="919"/>
      <c r="V38" s="1156"/>
      <c r="W38" s="1156"/>
      <c r="X38" s="1156"/>
      <c r="Y38" s="1156"/>
      <c r="Z38" s="1156"/>
      <c r="AA38" s="1156"/>
      <c r="AB38" s="1156"/>
      <c r="AC38" s="1156"/>
      <c r="AD38" s="1156"/>
      <c r="AE38" s="1156"/>
      <c r="AF38" s="1156"/>
      <c r="AG38" s="1156"/>
      <c r="AH38" s="1156"/>
      <c r="AI38" s="1157"/>
    </row>
    <row r="39" spans="4:64" ht="11.25" customHeight="1">
      <c r="D39" s="1145"/>
      <c r="E39" s="1147"/>
      <c r="F39" s="1147"/>
      <c r="G39" s="1151"/>
      <c r="H39" s="923"/>
      <c r="I39" s="1153"/>
      <c r="J39" s="1115"/>
      <c r="K39" s="353"/>
      <c r="L39" s="1102"/>
      <c r="M39" s="1102"/>
      <c r="N39" s="777"/>
      <c r="O39" s="777"/>
      <c r="P39" s="1156"/>
      <c r="Q39" s="1156"/>
      <c r="R39" s="1156"/>
      <c r="S39" s="1156"/>
      <c r="T39" s="1156"/>
      <c r="U39" s="1156"/>
      <c r="V39" s="1156"/>
      <c r="W39" s="1156"/>
      <c r="X39" s="1156"/>
      <c r="Y39" s="1156"/>
      <c r="Z39" s="1156"/>
      <c r="AA39" s="1156"/>
      <c r="AB39" s="1156"/>
      <c r="AC39" s="1156"/>
      <c r="AD39" s="1156"/>
      <c r="AE39" s="1156"/>
      <c r="AF39" s="1156"/>
      <c r="AG39" s="1156"/>
      <c r="AH39" s="1156"/>
      <c r="AI39" s="1157"/>
    </row>
    <row r="40" spans="4:64" s="896" customFormat="1" ht="11.25" customHeight="1">
      <c r="D40" s="1145"/>
      <c r="E40" s="1147"/>
      <c r="F40" s="1158"/>
      <c r="G40" s="1098"/>
      <c r="H40" s="920"/>
      <c r="I40" s="924"/>
      <c r="J40" s="1154"/>
      <c r="K40" s="1154"/>
      <c r="L40" s="1154"/>
      <c r="M40" s="1154"/>
      <c r="N40" s="1154"/>
      <c r="O40" s="1154"/>
      <c r="P40" s="1154"/>
      <c r="Q40" s="1154"/>
      <c r="R40" s="1154"/>
      <c r="S40" s="1154"/>
      <c r="T40" s="1154"/>
      <c r="U40" s="1154"/>
      <c r="V40" s="1154"/>
      <c r="W40" s="1154"/>
      <c r="X40" s="1154"/>
      <c r="Y40" s="1154"/>
      <c r="Z40" s="1154"/>
      <c r="AA40" s="1154"/>
      <c r="AB40" s="1154"/>
      <c r="AC40" s="1154"/>
      <c r="AD40" s="1154"/>
      <c r="AE40" s="1154"/>
      <c r="AF40" s="1154"/>
      <c r="AG40" s="1154"/>
      <c r="AH40" s="1154"/>
      <c r="AI40" s="1155"/>
      <c r="AJ40"/>
      <c r="AK40" s="44"/>
      <c r="AL40"/>
      <c r="AM40"/>
      <c r="AN40"/>
      <c r="AO40"/>
      <c r="AP40"/>
      <c r="AQ40"/>
      <c r="AR40"/>
      <c r="AS40"/>
      <c r="AT40"/>
      <c r="AU40"/>
      <c r="AV40"/>
      <c r="AW40"/>
      <c r="AX40"/>
      <c r="AY40"/>
      <c r="AZ40"/>
      <c r="BA40"/>
      <c r="BB40"/>
      <c r="BC40"/>
      <c r="BD40"/>
      <c r="BE40"/>
      <c r="BF40"/>
      <c r="BG40"/>
      <c r="BH40"/>
      <c r="BI40"/>
      <c r="BJ40"/>
      <c r="BK40"/>
      <c r="BL40"/>
    </row>
    <row r="41" spans="4:64" ht="11.25" customHeight="1">
      <c r="AK41"/>
    </row>
    <row r="42" spans="4:64" ht="11.25" customHeight="1">
      <c r="AK42"/>
    </row>
    <row r="43" spans="4:64" ht="11.25" customHeight="1">
      <c r="AK43"/>
    </row>
    <row r="44" spans="4:64" ht="11.25" customHeight="1">
      <c r="AK44"/>
    </row>
    <row r="45" spans="4:64" ht="11.25" customHeight="1">
      <c r="AK45"/>
    </row>
    <row r="46" spans="4:64" ht="11.25" customHeight="1">
      <c r="AK46"/>
    </row>
    <row r="47" spans="4:64" ht="11.25" customHeight="1">
      <c r="AK47"/>
    </row>
    <row r="48" spans="4:64" ht="11.25" customHeight="1">
      <c r="AK48"/>
    </row>
    <row r="49" spans="37:37" ht="11.25" customHeight="1">
      <c r="AK49"/>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xr:uid="{00000000-0002-0000-0500-000000000000}">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xr:uid="{00000000-0002-0000-05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D0D1A-ADEB-4CAC-CAF1-6BF176436484}">
  <sheetPr>
    <tabColor theme="3" tint="0.59999389629810485"/>
  </sheetPr>
  <dimension ref="A1:I58"/>
  <sheetViews>
    <sheetView showGridLines="0" topLeftCell="C3" zoomScale="90" workbookViewId="0"/>
  </sheetViews>
  <sheetFormatPr defaultColWidth="9.140625" defaultRowHeight="11.25" customHeight="1"/>
  <cols>
    <col min="1" max="1" width="15" style="5" hidden="1" customWidth="1"/>
    <col min="2" max="2" width="15" style="300" hidden="1" customWidth="1"/>
    <col min="3" max="3" width="3.7109375" style="266" customWidth="1"/>
    <col min="4" max="4" width="6.85546875" style="267" customWidth="1"/>
    <col min="5" max="5" width="52.28515625" style="266" customWidth="1"/>
    <col min="6" max="6" width="48.85546875" style="266" customWidth="1"/>
    <col min="7" max="7" width="121.7109375" style="266" customWidth="1"/>
    <col min="8" max="8" width="9.140625" style="266"/>
    <col min="9" max="9" width="65" style="266" customWidth="1"/>
  </cols>
  <sheetData>
    <row r="1" spans="1:9" ht="11.25" hidden="1" customHeight="1">
      <c r="A1" s="5" t="s">
        <v>287</v>
      </c>
    </row>
    <row r="2" spans="1:9" ht="11.25" hidden="1" customHeight="1"/>
    <row r="3" spans="1:9" s="284" customFormat="1" ht="11.25" customHeight="1">
      <c r="A3" s="5"/>
      <c r="B3" s="300"/>
      <c r="D3" s="285"/>
    </row>
    <row r="4" spans="1:9" ht="36.75" customHeight="1">
      <c r="D4" s="1076"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1077"/>
      <c r="F4" s="1078"/>
      <c r="I4" s="422"/>
    </row>
    <row r="5" spans="1:9" ht="17.25" customHeight="1">
      <c r="D5" s="1170" t="str">
        <f>IF(org=0,"Не определено",org)</f>
        <v>ИМУП «ПОСЖИЛКОМСЕРВИС»</v>
      </c>
      <c r="E5" s="1170"/>
      <c r="F5" s="1170"/>
      <c r="I5" s="422"/>
    </row>
    <row r="6" spans="1:9" s="284" customFormat="1" ht="11.25" customHeight="1">
      <c r="A6" s="5"/>
      <c r="B6" s="300"/>
      <c r="D6" s="421"/>
      <c r="E6" s="421"/>
      <c r="F6" s="445"/>
      <c r="G6" s="421"/>
    </row>
    <row r="7" spans="1:9" ht="11.25" hidden="1" customHeight="1">
      <c r="A7" s="8"/>
      <c r="B7" s="301"/>
      <c r="C7" s="8"/>
      <c r="D7" s="12"/>
      <c r="E7" s="1166"/>
      <c r="F7" s="1166"/>
    </row>
    <row r="8" spans="1:9" ht="11.25" customHeight="1">
      <c r="A8" s="8"/>
      <c r="B8" s="301"/>
      <c r="C8" s="8"/>
      <c r="D8" s="1162" t="s">
        <v>288</v>
      </c>
      <c r="E8" s="1163"/>
      <c r="F8" s="1163"/>
      <c r="G8" s="1167" t="s">
        <v>289</v>
      </c>
    </row>
    <row r="9" spans="1:9" ht="11.25" customHeight="1">
      <c r="A9" s="8"/>
      <c r="B9" s="301"/>
      <c r="C9" s="8"/>
      <c r="D9" s="280" t="s">
        <v>88</v>
      </c>
      <c r="E9" s="265" t="s">
        <v>290</v>
      </c>
      <c r="F9" s="265" t="s">
        <v>291</v>
      </c>
      <c r="G9" s="1168"/>
    </row>
    <row r="10" spans="1:9" ht="12" hidden="1" customHeight="1">
      <c r="A10" s="8"/>
      <c r="B10" s="301"/>
      <c r="C10" s="8"/>
      <c r="D10" s="273"/>
      <c r="E10" s="273"/>
      <c r="F10" s="273"/>
      <c r="G10" s="273"/>
    </row>
    <row r="11" spans="1:9" ht="22.5" hidden="1" customHeight="1">
      <c r="A11" s="8"/>
      <c r="B11" s="301"/>
      <c r="C11" s="8"/>
      <c r="D11" s="611" t="s">
        <v>110</v>
      </c>
      <c r="E11" s="328" t="s">
        <v>292</v>
      </c>
      <c r="F11" s="373" t="str">
        <f>IF(region_name="","",region_name)</f>
        <v>Ненецкий автономный округ</v>
      </c>
      <c r="G11" s="328" t="s">
        <v>293</v>
      </c>
      <c r="H11" s="282"/>
    </row>
    <row r="12" spans="1:9" ht="22.5" hidden="1" customHeight="1">
      <c r="A12" s="8"/>
      <c r="B12" s="301"/>
      <c r="C12" s="8"/>
      <c r="D12" s="264" t="s">
        <v>110</v>
      </c>
      <c r="E12" s="263"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37" t="s">
        <v>294</v>
      </c>
      <c r="G12" s="281"/>
      <c r="H12" s="282"/>
    </row>
    <row r="13" spans="1:9" ht="22.5" customHeight="1">
      <c r="A13" s="8"/>
      <c r="B13" s="301"/>
      <c r="C13" s="8"/>
      <c r="D13" s="264" t="s">
        <v>110</v>
      </c>
      <c r="E13" s="262" t="str">
        <f>"Наименование юридического лица"&amp;IF(TEMPLATE_SPHERE="TKO"," (индивидуального предпринимателя)","")</f>
        <v>Наименование юридического лица</v>
      </c>
      <c r="F13" s="261"/>
      <c r="G13" s="263"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282"/>
    </row>
    <row r="14" spans="1:9" ht="22.5" hidden="1" customHeight="1">
      <c r="A14" s="8"/>
      <c r="B14" s="301"/>
      <c r="C14" s="8"/>
      <c r="D14" s="611" t="s">
        <v>295</v>
      </c>
      <c r="E14" s="612" t="s">
        <v>296</v>
      </c>
      <c r="F14" s="373" t="str">
        <f>IF(inn="","",inn)</f>
        <v>2983013920</v>
      </c>
      <c r="G14" s="328" t="s">
        <v>297</v>
      </c>
      <c r="H14" s="282"/>
    </row>
    <row r="15" spans="1:9" ht="22.5" hidden="1" customHeight="1">
      <c r="A15" s="8"/>
      <c r="B15" s="301"/>
      <c r="C15" s="8"/>
      <c r="D15" s="611" t="s">
        <v>298</v>
      </c>
      <c r="E15" s="612" t="s">
        <v>299</v>
      </c>
      <c r="F15" s="373" t="str">
        <f>IF(kpp="","",kpp)</f>
        <v>298301001</v>
      </c>
      <c r="G15" s="328" t="s">
        <v>300</v>
      </c>
      <c r="H15" s="282"/>
    </row>
    <row r="16" spans="1:9" ht="36.75" customHeight="1">
      <c r="A16" s="8"/>
      <c r="B16" s="301"/>
      <c r="C16" s="8"/>
      <c r="D16" s="264" t="s">
        <v>111</v>
      </c>
      <c r="E16" s="262"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261"/>
      <c r="G16" s="263"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282"/>
    </row>
    <row r="17" spans="1:9" ht="22.5" customHeight="1">
      <c r="A17" s="8"/>
      <c r="B17" s="301"/>
      <c r="C17" s="8"/>
      <c r="D17" s="264" t="s">
        <v>90</v>
      </c>
      <c r="E17" s="262" t="str">
        <f>"Дата присвоения ОГРН"&amp;IF(TEMPLATE_SPHERE="TKO",""," (ОГРНИП)")</f>
        <v>Дата присвоения ОГРН (ОГРНИП)</v>
      </c>
      <c r="F17" s="977" t="s">
        <v>18</v>
      </c>
      <c r="G17" s="263" t="str">
        <f>"Дата присвоения ОГРН"&amp;IF(TEMPLATE_SPHERE="TKO",""," (ОГРНИП)")&amp;" указывается в виде «ДД.ММ.ГГГГ»."</f>
        <v>Дата присвоения ОГРН (ОГРНИП) указывается в виде «ДД.ММ.ГГГГ».</v>
      </c>
      <c r="H17" s="282"/>
    </row>
    <row r="18" spans="1:9" ht="56.25" customHeight="1">
      <c r="A18" s="8"/>
      <c r="B18" s="301"/>
      <c r="C18" s="8"/>
      <c r="D18" s="264" t="s">
        <v>91</v>
      </c>
      <c r="E18" s="262"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261"/>
      <c r="G18" s="281"/>
      <c r="H18" s="282"/>
    </row>
    <row r="19" spans="1:9" ht="22.5" hidden="1" customHeight="1">
      <c r="A19" s="1164">
        <v>1</v>
      </c>
      <c r="B19" s="301"/>
      <c r="C19" s="1169"/>
      <c r="D19" s="260">
        <v>5</v>
      </c>
      <c r="E19" s="262" t="s">
        <v>301</v>
      </c>
      <c r="F19" s="37" t="s">
        <v>294</v>
      </c>
      <c r="G19" s="263" t="s">
        <v>302</v>
      </c>
      <c r="H19" s="282"/>
      <c r="I19" s="505"/>
    </row>
    <row r="20" spans="1:9" ht="33.75" hidden="1" customHeight="1">
      <c r="A20" s="1164"/>
      <c r="B20" s="301"/>
      <c r="C20" s="1169"/>
      <c r="D20" s="264" t="s">
        <v>303</v>
      </c>
      <c r="E20" s="259" t="s">
        <v>304</v>
      </c>
      <c r="F20" s="527" t="s">
        <v>18</v>
      </c>
      <c r="G20" s="281"/>
      <c r="H20" s="282"/>
      <c r="I20" s="505"/>
    </row>
    <row r="21" spans="1:9" ht="22.5" hidden="1" customHeight="1">
      <c r="A21" s="1164"/>
      <c r="B21" s="301"/>
      <c r="C21" s="1169"/>
      <c r="D21" s="264" t="s">
        <v>305</v>
      </c>
      <c r="E21" s="259" t="s">
        <v>306</v>
      </c>
      <c r="F21" s="978" t="s">
        <v>18</v>
      </c>
      <c r="G21" s="263" t="s">
        <v>307</v>
      </c>
      <c r="H21" s="282"/>
      <c r="I21" s="505"/>
    </row>
    <row r="22" spans="1:9" ht="22.5" hidden="1" customHeight="1">
      <c r="A22" s="1164"/>
      <c r="B22" s="301"/>
      <c r="C22" s="1169"/>
      <c r="D22" s="264" t="s">
        <v>308</v>
      </c>
      <c r="E22" s="259" t="s">
        <v>309</v>
      </c>
      <c r="F22" s="527" t="s">
        <v>18</v>
      </c>
      <c r="G22" s="281"/>
      <c r="H22" s="282"/>
      <c r="I22" s="505"/>
    </row>
    <row r="23" spans="1:9" ht="22.5" hidden="1" customHeight="1">
      <c r="A23" s="1164"/>
      <c r="B23" s="301"/>
      <c r="C23" s="1169"/>
      <c r="D23" s="264" t="s">
        <v>310</v>
      </c>
      <c r="E23" s="259" t="s">
        <v>311</v>
      </c>
      <c r="F23" s="527" t="s">
        <v>18</v>
      </c>
      <c r="G23" s="263" t="s">
        <v>312</v>
      </c>
      <c r="H23" s="282"/>
      <c r="I23" s="505"/>
    </row>
    <row r="24" spans="1:9" s="300" customFormat="1" ht="24.75" hidden="1" customHeight="1">
      <c r="A24" s="8"/>
      <c r="B24" s="301"/>
      <c r="C24" s="301"/>
      <c r="D24" s="608" t="s">
        <v>90</v>
      </c>
      <c r="E24" s="610" t="s">
        <v>313</v>
      </c>
      <c r="F24" s="327" t="s">
        <v>294</v>
      </c>
      <c r="G24" s="610"/>
    </row>
    <row r="25" spans="1:9" s="300" customFormat="1" ht="11.25" hidden="1" customHeight="1">
      <c r="A25" s="8"/>
      <c r="B25" s="301"/>
      <c r="C25" s="301"/>
      <c r="D25" s="608" t="s">
        <v>314</v>
      </c>
      <c r="E25" s="609" t="s">
        <v>315</v>
      </c>
      <c r="F25" s="327" t="s">
        <v>294</v>
      </c>
      <c r="G25" s="610"/>
    </row>
    <row r="26" spans="1:9" s="300" customFormat="1" ht="11.25" hidden="1" customHeight="1">
      <c r="A26" s="8"/>
      <c r="B26" s="301"/>
      <c r="C26" s="301"/>
      <c r="D26" s="608" t="s">
        <v>316</v>
      </c>
      <c r="E26" s="613" t="s">
        <v>317</v>
      </c>
      <c r="F26" s="614"/>
      <c r="G26" s="6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r="27" spans="1:9" s="300" customFormat="1" ht="11.25" hidden="1" customHeight="1">
      <c r="A27" s="8"/>
      <c r="B27" s="301"/>
      <c r="C27" s="301"/>
      <c r="D27" s="608" t="s">
        <v>318</v>
      </c>
      <c r="E27" s="613" t="s">
        <v>319</v>
      </c>
      <c r="F27" s="614"/>
      <c r="G27" s="6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r="28" spans="1:9" s="300" customFormat="1" ht="11.25" hidden="1" customHeight="1">
      <c r="A28" s="8"/>
      <c r="B28" s="301"/>
      <c r="C28" s="301"/>
      <c r="D28" s="608" t="s">
        <v>320</v>
      </c>
      <c r="E28" s="613" t="s">
        <v>321</v>
      </c>
      <c r="F28" s="614"/>
      <c r="G28" s="6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r="29" spans="1:9" s="300" customFormat="1" ht="11.25" hidden="1" customHeight="1">
      <c r="A29" s="8"/>
      <c r="B29" s="301"/>
      <c r="C29" s="301"/>
      <c r="D29" s="608" t="s">
        <v>322</v>
      </c>
      <c r="E29" s="609" t="s">
        <v>323</v>
      </c>
      <c r="F29" s="614"/>
      <c r="G29" s="610"/>
    </row>
    <row r="30" spans="1:9" s="300" customFormat="1" ht="11.25" hidden="1" customHeight="1">
      <c r="A30" s="8"/>
      <c r="B30" s="301"/>
      <c r="C30" s="301"/>
      <c r="D30" s="608" t="s">
        <v>324</v>
      </c>
      <c r="E30" s="609" t="s">
        <v>325</v>
      </c>
      <c r="F30" s="614"/>
      <c r="G30" s="610"/>
    </row>
    <row r="31" spans="1:9" s="300" customFormat="1" ht="11.25" hidden="1" customHeight="1">
      <c r="A31" s="8"/>
      <c r="B31" s="301"/>
      <c r="C31" s="301"/>
      <c r="D31" s="608" t="s">
        <v>326</v>
      </c>
      <c r="E31" s="609" t="s">
        <v>327</v>
      </c>
      <c r="F31" s="614"/>
      <c r="G31" s="610"/>
    </row>
    <row r="32" spans="1:9" ht="22.5" customHeight="1">
      <c r="A32" s="8" t="str">
        <f>IF(TEMPLATE_SPHERE="HEAT","6","5")</f>
        <v>5</v>
      </c>
      <c r="B32" s="301"/>
      <c r="C32" s="8"/>
      <c r="D32" s="260" t="str">
        <f>A32</f>
        <v>5</v>
      </c>
      <c r="E32" s="258"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37" t="s">
        <v>294</v>
      </c>
      <c r="G32" s="281"/>
      <c r="H32" s="282"/>
    </row>
    <row r="33" spans="1:8" ht="22.5" customHeight="1">
      <c r="A33" s="8"/>
      <c r="B33" s="301"/>
      <c r="C33" s="8"/>
      <c r="D33" s="260" t="str">
        <f>D32&amp;".1"</f>
        <v>5.1</v>
      </c>
      <c r="E33" s="262" t="str">
        <f>"фамилия"&amp;IF(TEMPLATE_SPHERE&lt;&gt;"HEAT"," руководителя","")</f>
        <v>фамилия руководителя</v>
      </c>
      <c r="F33" s="261"/>
      <c r="G33" s="263"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282"/>
    </row>
    <row r="34" spans="1:8" ht="22.5" customHeight="1">
      <c r="A34" s="8"/>
      <c r="B34" s="301"/>
      <c r="C34" s="8"/>
      <c r="D34" s="260" t="str">
        <f>D32&amp;".2"</f>
        <v>5.2</v>
      </c>
      <c r="E34" s="262" t="str">
        <f>"имя"&amp;IF(TEMPLATE_SPHERE&lt;&gt;"HEAT"," руководителя","")</f>
        <v>имя руководителя</v>
      </c>
      <c r="F34" s="261"/>
      <c r="G34" s="263"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282"/>
    </row>
    <row r="35" spans="1:8" ht="22.5" customHeight="1">
      <c r="A35" s="8"/>
      <c r="B35" s="301"/>
      <c r="C35" s="8"/>
      <c r="D35" s="260" t="str">
        <f>D32&amp;".3"</f>
        <v>5.3</v>
      </c>
      <c r="E35" s="262" t="str">
        <f>"отчество"&amp;IF(TEMPLATE_SPHERE&lt;&gt;"HEAT"," руководителя","")</f>
        <v>отчество руководителя</v>
      </c>
      <c r="F35" s="411"/>
      <c r="G35" s="263"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282"/>
    </row>
    <row r="36" spans="1:8" ht="33.75" customHeight="1">
      <c r="A36" s="8"/>
      <c r="B36" s="301"/>
      <c r="C36" s="8"/>
      <c r="D36" s="260">
        <f>D32+1</f>
        <v>6</v>
      </c>
      <c r="E36" s="258"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261"/>
      <c r="G36" s="263" t="s">
        <v>328</v>
      </c>
      <c r="H36" s="282"/>
    </row>
    <row r="37" spans="1:8" ht="33.75" customHeight="1">
      <c r="A37" s="8"/>
      <c r="B37" s="301"/>
      <c r="C37" s="8"/>
      <c r="D37" s="260">
        <f>D36+1</f>
        <v>7</v>
      </c>
      <c r="E37" s="258"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261"/>
      <c r="G37" s="263" t="s">
        <v>328</v>
      </c>
      <c r="H37" s="282"/>
    </row>
    <row r="38" spans="1:8" ht="22.5" customHeight="1">
      <c r="A38" s="8"/>
      <c r="B38" s="301"/>
      <c r="C38" s="8"/>
      <c r="D38" s="260">
        <f>D37+1</f>
        <v>8</v>
      </c>
      <c r="E38" s="257"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37" t="s">
        <v>294</v>
      </c>
      <c r="G38" s="117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282"/>
    </row>
    <row r="39" spans="1:8" ht="22.5" hidden="1" customHeight="1">
      <c r="A39" s="8"/>
      <c r="B39" s="301"/>
      <c r="C39" s="8"/>
      <c r="D39" s="260" t="str">
        <f>D38&amp;".0"</f>
        <v>8.0</v>
      </c>
      <c r="E39" s="404"/>
      <c r="F39" s="527"/>
      <c r="G39" s="1172"/>
      <c r="H39" s="282"/>
    </row>
    <row r="40" spans="1:8" ht="22.5" customHeight="1">
      <c r="A40" s="8"/>
      <c r="B40" s="8"/>
      <c r="C40" s="21"/>
      <c r="D40" s="260" t="str">
        <f>D38&amp;".1"</f>
        <v>8.1</v>
      </c>
      <c r="E40" s="513"/>
      <c r="F40" s="410"/>
      <c r="G40" s="1172"/>
      <c r="H40" s="282"/>
    </row>
    <row r="41" spans="1:8" ht="15" customHeight="1">
      <c r="A41" s="8"/>
      <c r="B41" s="301"/>
      <c r="C41" s="8"/>
      <c r="D41" s="275"/>
      <c r="E41" s="107" t="s">
        <v>329</v>
      </c>
      <c r="F41" s="277"/>
      <c r="G41" s="1173"/>
      <c r="H41" s="283"/>
    </row>
    <row r="42" spans="1:8" ht="25.5" customHeight="1">
      <c r="A42" s="8"/>
      <c r="B42" s="301"/>
      <c r="C42" s="8"/>
      <c r="D42" s="260">
        <f>D38+1</f>
        <v>9</v>
      </c>
      <c r="E42" s="258"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514"/>
      <c r="G42" s="263"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282"/>
    </row>
    <row r="43" spans="1:8" ht="22.5" customHeight="1">
      <c r="A43" s="8"/>
      <c r="B43" s="301"/>
      <c r="C43" s="8"/>
      <c r="D43" s="260">
        <f>D42+1</f>
        <v>10</v>
      </c>
      <c r="E43" s="258"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5"/>
      <c r="G43" s="281" t="s">
        <v>330</v>
      </c>
      <c r="H43" s="282"/>
    </row>
    <row r="44" spans="1:8" ht="22.5" customHeight="1">
      <c r="A44" s="8"/>
      <c r="B44" s="301"/>
      <c r="C44" s="8"/>
      <c r="D44" s="260">
        <f>D43+1</f>
        <v>11</v>
      </c>
      <c r="E44" s="258" t="s">
        <v>331</v>
      </c>
      <c r="F44" s="37" t="s">
        <v>294</v>
      </c>
      <c r="G44" s="257" t="str">
        <f>IF(TEMPLATE_SPHERE="TKO","Указывается режим работы организации.","")</f>
        <v/>
      </c>
      <c r="H44" s="282"/>
    </row>
    <row r="45" spans="1:8" ht="22.5" customHeight="1">
      <c r="A45" s="8"/>
      <c r="B45" s="301"/>
      <c r="C45" s="8"/>
      <c r="D45" s="260" t="str">
        <f>D44&amp;".1"</f>
        <v>11.1</v>
      </c>
      <c r="E45" s="262" t="str">
        <f>"режим работы регулируемой организации"&amp;IF(TEMPLATE_SPHERE="HEAT",", ЕТО, ТО","")</f>
        <v>режим работы регулируемой организации</v>
      </c>
      <c r="F45" s="110"/>
      <c r="G45" s="257" t="s">
        <v>332</v>
      </c>
      <c r="H45" s="282"/>
    </row>
    <row r="46" spans="1:8" ht="22.5" customHeight="1">
      <c r="A46" s="1160"/>
      <c r="B46" s="301"/>
      <c r="C46" s="294"/>
      <c r="D46" s="260" t="str">
        <f>D44&amp;".2"</f>
        <v>11.2</v>
      </c>
      <c r="E46" s="262" t="s">
        <v>333</v>
      </c>
      <c r="F46" s="110"/>
      <c r="G46" s="257" t="s">
        <v>334</v>
      </c>
      <c r="H46" s="282"/>
    </row>
    <row r="47" spans="1:8" ht="22.5" customHeight="1">
      <c r="A47" s="1160"/>
      <c r="B47" s="301"/>
      <c r="C47" s="294"/>
      <c r="D47" s="260" t="str">
        <f>D44&amp;".3"</f>
        <v>11.3</v>
      </c>
      <c r="E47" s="262" t="s">
        <v>335</v>
      </c>
      <c r="F47" s="110"/>
      <c r="G47" s="257" t="s">
        <v>336</v>
      </c>
      <c r="H47" s="282"/>
    </row>
    <row r="48" spans="1:8" ht="22.5" customHeight="1">
      <c r="A48" s="1160"/>
      <c r="B48" s="301"/>
      <c r="C48" s="294"/>
      <c r="D48" s="260" t="str">
        <f>IF(TEMPLATE_SPHERE="TKO",D44&amp;".0",D44&amp;".4")</f>
        <v>11.4</v>
      </c>
      <c r="E48" s="256" t="s">
        <v>337</v>
      </c>
      <c r="F48" s="942"/>
      <c r="G48" s="1004" t="s">
        <v>338</v>
      </c>
      <c r="H48" s="282"/>
    </row>
    <row r="49" spans="1:9" ht="22.5" customHeight="1">
      <c r="A49" s="8"/>
      <c r="B49" s="301"/>
      <c r="C49" s="8"/>
      <c r="D49" s="275"/>
      <c r="E49" s="107" t="s">
        <v>339</v>
      </c>
      <c r="F49" s="276"/>
      <c r="G49" s="1004" t="s">
        <v>340</v>
      </c>
      <c r="H49" s="283"/>
    </row>
    <row r="50" spans="1:9" ht="22.5" customHeight="1">
      <c r="A50" s="511"/>
      <c r="B50" s="301"/>
      <c r="C50" s="294"/>
      <c r="D50" s="260">
        <f>D44+1</f>
        <v>12</v>
      </c>
      <c r="E50" s="310" t="s">
        <v>341</v>
      </c>
      <c r="F50" s="110"/>
      <c r="G50" s="943"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282"/>
    </row>
    <row r="51" spans="1:9" ht="11.25" customHeight="1">
      <c r="A51" s="8"/>
      <c r="B51" s="301"/>
      <c r="C51" s="8"/>
    </row>
    <row r="52" spans="1:9" s="270" customFormat="1" ht="30" customHeight="1">
      <c r="A52" s="1"/>
      <c r="B52" s="65"/>
      <c r="C52" s="1161"/>
      <c r="D52" s="1165"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1165"/>
      <c r="F52" s="1165"/>
      <c r="G52" s="1165"/>
      <c r="H52" s="89"/>
      <c r="I52" s="89"/>
    </row>
    <row r="53" spans="1:9" s="270" customFormat="1" ht="39.75" customHeight="1">
      <c r="A53" s="8"/>
      <c r="B53" s="301"/>
      <c r="C53" s="1161"/>
      <c r="D53" s="1165"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1165"/>
      <c r="F53" s="1165"/>
      <c r="G53" s="1165"/>
    </row>
    <row r="54" spans="1:9" ht="11.25" customHeight="1">
      <c r="D54" s="268"/>
      <c r="E54" s="269"/>
      <c r="F54" s="269"/>
      <c r="G54" s="269"/>
    </row>
    <row r="55" spans="1:9" ht="27" customHeight="1">
      <c r="D55" s="271"/>
      <c r="E55" s="268"/>
      <c r="F55" s="278"/>
      <c r="G55" s="278"/>
    </row>
    <row r="56" spans="1:9" ht="11.25" customHeight="1">
      <c r="D56" s="268"/>
      <c r="E56" s="268"/>
      <c r="F56" s="269"/>
      <c r="G56" s="269"/>
    </row>
    <row r="57" spans="1:9" ht="39" customHeight="1">
      <c r="D57" s="272"/>
      <c r="E57" s="279"/>
      <c r="F57" s="279"/>
      <c r="G57" s="279"/>
    </row>
    <row r="58" spans="1:9" ht="27" customHeight="1">
      <c r="D58" s="272"/>
      <c r="E58" s="279"/>
      <c r="F58" s="279"/>
      <c r="G58" s="279"/>
    </row>
  </sheetData>
  <sheetProtection formatColumns="0" formatRows="0" insertRows="0" deleteColumns="0" deleteRows="0" sort="0" autoFilter="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xr:uid="{00000000-0002-0000-0600-000000000000}"/>
    <dataValidation type="textLength" operator="lessThanOrEqual" allowBlank="1" showInputMessage="1" showErrorMessage="1" errorTitle="Ошибка" error="Допускается ввод не более 900 символов!" sqref="F13 F42:F43 F26:F31 F16 F22:F23 F18 F20 F33:F37 E39:F40" xr:uid="{00000000-0002-0000-0600-000001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xr:uid="{00000000-0002-0000-0600-000002000000}">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0343ED-8EC6-F97B-8374-0A7494694E76}">
  <sheetPr>
    <tabColor theme="3" tint="0.59999389629810485"/>
  </sheetPr>
  <dimension ref="A1:AS14"/>
  <sheetViews>
    <sheetView showGridLines="0" topLeftCell="C3" zoomScale="90" workbookViewId="0"/>
  </sheetViews>
  <sheetFormatPr defaultColWidth="10.5703125" defaultRowHeight="14.25" customHeight="1"/>
  <cols>
    <col min="1" max="1" width="9.140625" style="6" hidden="1" customWidth="1"/>
    <col min="2" max="2" width="9.140625" style="9" hidden="1" customWidth="1"/>
    <col min="3" max="3" width="3.7109375" style="74" customWidth="1"/>
    <col min="4" max="4" width="5.5703125" style="9" customWidth="1"/>
    <col min="5" max="5" width="48.42578125" style="9" customWidth="1"/>
    <col min="6" max="6" width="38.140625" style="9" customWidth="1"/>
    <col min="7" max="7" width="1.7109375" style="9" hidden="1" customWidth="1"/>
    <col min="8" max="11" width="19.85546875" style="9" hidden="1" customWidth="1"/>
    <col min="12" max="12" width="9.7109375" style="9" hidden="1" customWidth="1"/>
    <col min="13" max="18" width="19.85546875" style="9" hidden="1" customWidth="1"/>
    <col min="19" max="19" width="1.7109375" style="9" hidden="1" customWidth="1"/>
    <col min="20" max="22" width="19.85546875" style="9" hidden="1" customWidth="1"/>
    <col min="23" max="23" width="1.7109375" style="9" hidden="1" customWidth="1"/>
    <col min="24" max="26" width="19.85546875" style="9" customWidth="1"/>
    <col min="27" max="27" width="1.7109375" style="9" hidden="1" customWidth="1"/>
    <col min="28" max="29" width="19.85546875" style="9" hidden="1" customWidth="1"/>
    <col min="30" max="30" width="1.7109375" style="9" hidden="1" customWidth="1"/>
    <col min="31" max="32" width="103.7109375" style="9" hidden="1" customWidth="1"/>
    <col min="33" max="33" width="103.7109375" style="9" customWidth="1"/>
    <col min="34" max="34" width="103.7109375" style="9" hidden="1" customWidth="1"/>
    <col min="35" max="35" width="3.7109375" style="43" customWidth="1"/>
    <col min="36" max="38" width="10.5703125" style="65"/>
    <col min="39" max="39" width="13.7109375" style="65" hidden="1" customWidth="1"/>
    <col min="40" max="40" width="15.42578125" style="65" customWidth="1"/>
    <col min="41" max="41" width="16.28515625" style="65" customWidth="1"/>
    <col min="42" max="45" width="10.5703125" style="65"/>
  </cols>
  <sheetData>
    <row r="1" spans="1:45" ht="14.25" hidden="1" customHeight="1">
      <c r="E1" s="247"/>
      <c r="F1" s="247"/>
      <c r="G1" s="247"/>
      <c r="H1" s="1186" t="s">
        <v>342</v>
      </c>
      <c r="I1" s="1186"/>
      <c r="J1" s="1186"/>
      <c r="K1" s="1186"/>
      <c r="L1" s="1186"/>
      <c r="M1" s="1186"/>
      <c r="N1" s="1186"/>
      <c r="O1" s="1186"/>
      <c r="P1" s="1186"/>
      <c r="Q1" s="1186"/>
      <c r="R1" s="1186"/>
      <c r="T1" s="1186" t="s">
        <v>343</v>
      </c>
      <c r="U1" s="1186"/>
      <c r="V1" s="1186"/>
      <c r="X1" s="1186" t="s">
        <v>344</v>
      </c>
      <c r="Y1" s="1186"/>
      <c r="Z1" s="1186"/>
      <c r="AB1" s="1186" t="s">
        <v>345</v>
      </c>
      <c r="AC1" s="1186"/>
    </row>
    <row r="2" spans="1:45" ht="14.25" hidden="1" customHeight="1"/>
    <row r="3" spans="1:45" s="413" customFormat="1" ht="6" customHeight="1">
      <c r="C3" s="414"/>
      <c r="D3" s="415"/>
      <c r="E3" s="415"/>
      <c r="F3" s="415"/>
      <c r="G3" s="415"/>
      <c r="H3" s="415" t="s">
        <v>346</v>
      </c>
      <c r="I3" s="415"/>
      <c r="J3" s="415"/>
      <c r="K3" s="415"/>
      <c r="L3" s="415"/>
      <c r="M3" s="415"/>
      <c r="N3" s="415"/>
      <c r="O3" s="415"/>
      <c r="P3" s="415"/>
      <c r="Q3" s="415"/>
      <c r="R3" s="415"/>
      <c r="S3" s="415"/>
      <c r="T3" s="415"/>
      <c r="U3" s="415"/>
      <c r="V3" s="415"/>
      <c r="W3" s="415"/>
      <c r="X3" s="415"/>
      <c r="Y3" s="415"/>
      <c r="Z3" s="415"/>
      <c r="AA3" s="415"/>
      <c r="AB3" s="415"/>
      <c r="AC3" s="415"/>
      <c r="AD3" s="415"/>
      <c r="AE3" s="415"/>
      <c r="AF3" s="415"/>
      <c r="AG3" s="415"/>
      <c r="AH3" s="415"/>
      <c r="AJ3" s="65"/>
      <c r="AK3" s="65"/>
      <c r="AL3" s="65"/>
      <c r="AM3" s="65"/>
      <c r="AN3" s="65"/>
      <c r="AO3" s="65"/>
      <c r="AP3" s="65"/>
      <c r="AQ3" s="65"/>
      <c r="AR3" s="65"/>
      <c r="AS3" s="65"/>
    </row>
    <row r="4" spans="1:45" ht="24" customHeight="1">
      <c r="C4" s="21"/>
      <c r="D4" s="1076"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1077"/>
      <c r="F4" s="1077"/>
      <c r="G4" s="1077"/>
      <c r="H4" s="1077"/>
      <c r="I4" s="1077"/>
      <c r="J4" s="1077"/>
      <c r="K4" s="1077"/>
      <c r="L4" s="1077"/>
      <c r="M4" s="1077"/>
      <c r="N4" s="1077"/>
      <c r="O4" s="1077"/>
      <c r="P4" s="1077"/>
      <c r="Q4" s="1077"/>
      <c r="R4" s="1078"/>
      <c r="S4" s="506"/>
      <c r="T4" s="412"/>
      <c r="U4" s="412"/>
      <c r="V4" s="412"/>
      <c r="W4" s="412"/>
      <c r="X4" s="412"/>
      <c r="Y4" s="412"/>
      <c r="Z4" s="412"/>
      <c r="AA4" s="412"/>
      <c r="AB4" s="412"/>
      <c r="AC4" s="412"/>
      <c r="AD4" s="412"/>
      <c r="AE4" s="293"/>
      <c r="AF4" s="293"/>
      <c r="AG4" s="293"/>
      <c r="AH4" s="293"/>
      <c r="AI4" s="153"/>
    </row>
    <row r="5" spans="1:45" s="9" customFormat="1" ht="17.25" customHeight="1">
      <c r="A5" s="6"/>
      <c r="C5" s="21"/>
      <c r="D5" s="1183" t="str">
        <f>IF(org=0,"Не определено",org)</f>
        <v>ИМУП «ПОСЖИЛКОМСЕРВИС»</v>
      </c>
      <c r="E5" s="1184"/>
      <c r="F5" s="1184"/>
      <c r="G5" s="1184"/>
      <c r="H5" s="1184"/>
      <c r="I5" s="1184"/>
      <c r="J5" s="1184"/>
      <c r="K5" s="1184"/>
      <c r="L5" s="1184"/>
      <c r="M5" s="1184"/>
      <c r="N5" s="1184"/>
      <c r="O5" s="1184"/>
      <c r="P5" s="1184"/>
      <c r="Q5" s="1184"/>
      <c r="R5" s="1185"/>
      <c r="S5" s="506"/>
      <c r="T5" s="412"/>
      <c r="U5" s="412"/>
      <c r="V5" s="412"/>
      <c r="W5" s="412"/>
      <c r="X5" s="412"/>
      <c r="Y5" s="412"/>
      <c r="Z5" s="412"/>
      <c r="AA5" s="412"/>
      <c r="AB5" s="412"/>
      <c r="AC5" s="412"/>
      <c r="AD5" s="412"/>
      <c r="AE5" s="293"/>
      <c r="AF5" s="293"/>
      <c r="AG5" s="293"/>
      <c r="AH5" s="293"/>
      <c r="AI5" s="153"/>
      <c r="AJ5" s="65"/>
      <c r="AK5" s="65"/>
      <c r="AL5" s="65"/>
      <c r="AM5" s="65"/>
      <c r="AN5" s="65"/>
      <c r="AO5" s="65"/>
      <c r="AP5" s="65"/>
      <c r="AQ5" s="65"/>
      <c r="AR5" s="65"/>
      <c r="AS5" s="65"/>
    </row>
    <row r="6" spans="1:45" s="133" customFormat="1" ht="11.25" customHeight="1">
      <c r="A6" s="286"/>
      <c r="C6" s="291"/>
      <c r="D6" s="290"/>
      <c r="E6" s="290"/>
      <c r="F6" s="290"/>
      <c r="G6" s="290"/>
      <c r="H6" s="290"/>
      <c r="I6" s="290"/>
      <c r="J6" s="290"/>
      <c r="K6" s="290"/>
      <c r="L6" s="290"/>
      <c r="M6" s="290"/>
      <c r="N6" s="290"/>
      <c r="O6" s="290"/>
      <c r="P6" s="290"/>
      <c r="Q6" s="290"/>
      <c r="R6" s="445"/>
      <c r="S6" s="445"/>
      <c r="T6" s="290"/>
      <c r="U6" s="290"/>
      <c r="V6" s="419"/>
      <c r="W6" s="419"/>
      <c r="X6" s="290"/>
      <c r="Y6" s="290"/>
      <c r="Z6" s="419"/>
      <c r="AA6" s="419"/>
      <c r="AB6" s="290"/>
      <c r="AC6" s="419"/>
      <c r="AD6" s="419"/>
      <c r="AE6" s="290"/>
      <c r="AF6" s="290"/>
      <c r="AG6" s="290"/>
      <c r="AH6" s="290"/>
      <c r="AJ6" s="65"/>
      <c r="AK6" s="65"/>
      <c r="AL6" s="65"/>
      <c r="AM6" s="65"/>
      <c r="AN6" s="65"/>
      <c r="AO6" s="65"/>
      <c r="AP6" s="65"/>
      <c r="AQ6" s="65"/>
      <c r="AR6" s="65"/>
      <c r="AS6" s="65"/>
    </row>
    <row r="7" spans="1:45" ht="14.25" customHeight="1">
      <c r="C7" s="21"/>
      <c r="D7" s="1174" t="s">
        <v>288</v>
      </c>
      <c r="E7" s="1187"/>
      <c r="F7" s="1187"/>
      <c r="G7" s="1187"/>
      <c r="H7" s="1187"/>
      <c r="I7" s="1187"/>
      <c r="J7" s="1187"/>
      <c r="K7" s="1187"/>
      <c r="L7" s="1187"/>
      <c r="M7" s="1187"/>
      <c r="N7" s="1187"/>
      <c r="O7" s="1187"/>
      <c r="P7" s="1187"/>
      <c r="Q7" s="1187"/>
      <c r="R7" s="1187"/>
      <c r="S7" s="1187"/>
      <c r="T7" s="1187"/>
      <c r="U7" s="1187"/>
      <c r="V7" s="1187"/>
      <c r="W7" s="1187"/>
      <c r="X7" s="1187"/>
      <c r="Y7" s="1187"/>
      <c r="Z7" s="1187"/>
      <c r="AA7" s="1187"/>
      <c r="AB7" s="1187"/>
      <c r="AC7" s="1187"/>
      <c r="AD7" s="1188"/>
      <c r="AE7" s="1135" t="s">
        <v>289</v>
      </c>
      <c r="AF7" s="1135" t="s">
        <v>289</v>
      </c>
      <c r="AG7" s="1135" t="s">
        <v>289</v>
      </c>
      <c r="AH7" s="1135" t="s">
        <v>289</v>
      </c>
    </row>
    <row r="8" spans="1:45" ht="25.5" customHeight="1">
      <c r="C8" s="21"/>
      <c r="D8" s="1083" t="s">
        <v>88</v>
      </c>
      <c r="E8" s="1135" t="str">
        <f>"Наименование "&amp;IF(TEMPLATE_SPHERE&lt;&gt;"HEAT","централизованной ","")&amp;"системы "&amp;TEMPLATE_SPHERE_RUS</f>
        <v>Наименование централизованной системы холодного водоснабжения</v>
      </c>
      <c r="F8" s="1135" t="str">
        <f>IF(TEMPLATE_SPHERE&lt;&gt;"HEAT","Регулируемый вид деятельности","Вид регулируемой деятельности")</f>
        <v>Регулируемый вид деятельности</v>
      </c>
      <c r="G8" s="488"/>
      <c r="H8" s="1175" t="s">
        <v>347</v>
      </c>
      <c r="I8" s="1179" t="s">
        <v>348</v>
      </c>
      <c r="J8" s="1135" t="s">
        <v>349</v>
      </c>
      <c r="K8" s="1135"/>
      <c r="L8" s="1135"/>
      <c r="M8" s="1174"/>
      <c r="N8" s="1135" t="s">
        <v>350</v>
      </c>
      <c r="O8" s="1135"/>
      <c r="P8" s="1135" t="s">
        <v>351</v>
      </c>
      <c r="Q8" s="1135"/>
      <c r="R8" s="1177" t="s">
        <v>352</v>
      </c>
      <c r="S8" s="486"/>
      <c r="T8" s="1175" t="s">
        <v>353</v>
      </c>
      <c r="U8" s="1175" t="s">
        <v>354</v>
      </c>
      <c r="V8" s="1175" t="s">
        <v>355</v>
      </c>
      <c r="W8" s="488"/>
      <c r="X8" s="1175" t="s">
        <v>356</v>
      </c>
      <c r="Y8" s="1175" t="s">
        <v>357</v>
      </c>
      <c r="Z8" s="1175" t="s">
        <v>358</v>
      </c>
      <c r="AA8" s="488"/>
      <c r="AB8" s="1175" t="s">
        <v>359</v>
      </c>
      <c r="AC8" s="1175" t="s">
        <v>352</v>
      </c>
      <c r="AD8" s="488"/>
      <c r="AE8" s="1135"/>
      <c r="AF8" s="1135"/>
      <c r="AG8" s="1135"/>
      <c r="AH8" s="1135"/>
    </row>
    <row r="9" spans="1:45" ht="33.75" customHeight="1">
      <c r="C9" s="21"/>
      <c r="D9" s="1083"/>
      <c r="E9" s="1135"/>
      <c r="F9" s="1135"/>
      <c r="G9" s="489"/>
      <c r="H9" s="1176"/>
      <c r="I9" s="1180"/>
      <c r="J9" s="37" t="s">
        <v>360</v>
      </c>
      <c r="K9" s="37" t="s">
        <v>361</v>
      </c>
      <c r="L9" s="37" t="s">
        <v>362</v>
      </c>
      <c r="M9" s="251" t="s">
        <v>363</v>
      </c>
      <c r="N9" s="37" t="s">
        <v>364</v>
      </c>
      <c r="O9" s="37" t="s">
        <v>363</v>
      </c>
      <c r="P9" s="37" t="s">
        <v>365</v>
      </c>
      <c r="Q9" s="37" t="s">
        <v>363</v>
      </c>
      <c r="R9" s="1178"/>
      <c r="S9" s="487"/>
      <c r="T9" s="1176"/>
      <c r="U9" s="1176"/>
      <c r="V9" s="1176"/>
      <c r="W9" s="489"/>
      <c r="X9" s="1176"/>
      <c r="Y9" s="1176"/>
      <c r="Z9" s="1176"/>
      <c r="AA9" s="489"/>
      <c r="AB9" s="1176"/>
      <c r="AC9" s="1176"/>
      <c r="AD9" s="489"/>
      <c r="AE9" s="1135"/>
      <c r="AF9" s="1135"/>
      <c r="AG9" s="1135"/>
      <c r="AH9" s="1135"/>
    </row>
    <row r="10" spans="1:45" ht="12" hidden="1" customHeight="1">
      <c r="C10" s="292"/>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9"/>
      <c r="AP10" s="66"/>
      <c r="AQ10" s="66"/>
    </row>
    <row r="11" spans="1:45" s="209" customFormat="1" ht="11.25" hidden="1" customHeight="1">
      <c r="C11" s="298"/>
      <c r="D11" s="299" t="s">
        <v>366</v>
      </c>
      <c r="E11" s="299"/>
      <c r="F11" s="299"/>
      <c r="G11" s="299"/>
      <c r="H11" s="297"/>
      <c r="I11" s="297"/>
      <c r="J11" s="297"/>
      <c r="K11" s="297"/>
      <c r="L11" s="297"/>
      <c r="M11" s="297"/>
      <c r="N11" s="297"/>
      <c r="O11" s="297"/>
      <c r="P11" s="297"/>
      <c r="Q11" s="297"/>
      <c r="R11" s="297"/>
      <c r="S11" s="297"/>
      <c r="T11" s="297"/>
      <c r="U11" s="297"/>
      <c r="V11" s="297"/>
      <c r="W11" s="297"/>
      <c r="X11" s="297"/>
      <c r="Y11" s="297"/>
      <c r="Z11" s="297"/>
      <c r="AA11" s="297"/>
      <c r="AB11" s="297"/>
      <c r="AC11" s="297"/>
      <c r="AD11" s="297"/>
      <c r="AE11" s="70"/>
      <c r="AF11" s="70"/>
      <c r="AG11" s="70"/>
      <c r="AH11" s="70"/>
      <c r="AJ11" s="65"/>
      <c r="AK11" s="65"/>
      <c r="AL11" s="65"/>
      <c r="AM11" s="65"/>
      <c r="AN11" s="65"/>
      <c r="AO11" s="65"/>
      <c r="AP11" s="65"/>
      <c r="AQ11" s="65"/>
      <c r="AR11" s="65"/>
      <c r="AS11" s="65"/>
    </row>
    <row r="12" spans="1:45" ht="14.25" customHeight="1">
      <c r="A12" s="9"/>
      <c r="C12" s="21"/>
      <c r="D12" s="255" t="s">
        <v>110</v>
      </c>
      <c r="E12" s="411" t="s">
        <v>18</v>
      </c>
      <c r="F12" s="508"/>
      <c r="G12" s="509"/>
      <c r="H12" s="227"/>
      <c r="I12" s="227"/>
      <c r="J12" s="254"/>
      <c r="K12" s="253"/>
      <c r="L12" s="252"/>
      <c r="M12" s="253"/>
      <c r="N12" s="254"/>
      <c r="O12" s="253"/>
      <c r="P12" s="254"/>
      <c r="Q12" s="253"/>
      <c r="R12" s="254"/>
      <c r="S12" s="507"/>
      <c r="T12" s="227"/>
      <c r="U12" s="254"/>
      <c r="V12" s="254"/>
      <c r="W12" s="489"/>
      <c r="X12" s="227"/>
      <c r="Y12" s="254"/>
      <c r="Z12" s="254"/>
      <c r="AA12" s="489"/>
      <c r="AB12" s="227"/>
      <c r="AC12" s="254"/>
      <c r="AD12" s="489"/>
      <c r="AE12" s="1181" t="s">
        <v>367</v>
      </c>
      <c r="AF12" s="1181" t="s">
        <v>368</v>
      </c>
      <c r="AG12" s="1181" t="s">
        <v>369</v>
      </c>
      <c r="AH12" s="1181" t="s">
        <v>370</v>
      </c>
      <c r="AI12" s="9"/>
      <c r="AP12" s="66" t="s">
        <v>371</v>
      </c>
      <c r="AQ12" s="66" t="s">
        <v>371</v>
      </c>
    </row>
    <row r="13" spans="1:45" ht="17.25" customHeight="1">
      <c r="A13" s="9"/>
      <c r="C13" s="21"/>
      <c r="D13" s="152"/>
      <c r="E13" s="521" t="str">
        <f>IF(TITLE_DIFFERENTIATION_TYPE="нет","","Добавить систему")</f>
        <v/>
      </c>
      <c r="F13" s="521" t="str">
        <f>IF(TITLE_DIFFERENTIATION_TYPE="нет","Добавить вид деятельности","")</f>
        <v>Добавить вид деятельности</v>
      </c>
      <c r="G13" s="183"/>
      <c r="H13" s="245"/>
      <c r="I13" s="245"/>
      <c r="J13" s="245"/>
      <c r="K13" s="245"/>
      <c r="L13" s="245"/>
      <c r="M13" s="245"/>
      <c r="N13" s="245"/>
      <c r="O13" s="245"/>
      <c r="P13" s="245"/>
      <c r="Q13" s="245"/>
      <c r="R13" s="245"/>
      <c r="S13" s="245"/>
      <c r="T13" s="245"/>
      <c r="U13" s="245"/>
      <c r="V13" s="245"/>
      <c r="W13" s="245"/>
      <c r="X13" s="245"/>
      <c r="Y13" s="245"/>
      <c r="Z13" s="245"/>
      <c r="AA13" s="245"/>
      <c r="AB13" s="245"/>
      <c r="AC13" s="245"/>
      <c r="AD13" s="510"/>
      <c r="AE13" s="1182"/>
      <c r="AF13" s="1182"/>
      <c r="AG13" s="1182"/>
      <c r="AH13" s="1182"/>
      <c r="AI13" s="9"/>
    </row>
    <row r="14" spans="1:45" ht="14.25" customHeight="1">
      <c r="AI14" s="9"/>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type="list" allowBlank="1" showInputMessage="1" showErrorMessage="1" errorTitle="Ошибка" error="Выберите значение из списка" prompt="Выберите значение из списка" sqref="L12" xr:uid="{00000000-0002-0000-0700-000000000000}">
      <formula1>kind_of_power_te_unit</formula1>
    </dataValidation>
    <dataValidation type="whole" allowBlank="1" showErrorMessage="1" errorTitle="Ошибка" error="Допускается ввод только неотрицательных целых чисел!" sqref="N12 P12 U12:V12 Y12:Z12 J12 R12:S12 AC12" xr:uid="{00000000-0002-0000-0700-000001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xr:uid="{00000000-0002-0000-0700-000002000000}"/>
    <dataValidation type="textLength" operator="lessThanOrEqual" allowBlank="1" showInputMessage="1" showErrorMessage="1" errorTitle="Ошибка" error="Допускается ввод не более 900 символов!" sqref="E12" xr:uid="{00000000-0002-0000-0700-000003000000}">
      <formula1>900</formula1>
    </dataValidation>
    <dataValidation type="decimal" allowBlank="1" showErrorMessage="1" errorTitle="Ошибка" error="Допускается ввод только неотрицательных чисел!" sqref="H11:AD11 O12 Q12 K12 M12 H12:I12 T12 X12 AB12" xr:uid="{00000000-0002-0000-0700-000004000000}">
      <formula1>0</formula1>
      <formula2>9.99999999999999E+23</formula2>
    </dataValidation>
    <dataValidation allowBlank="1" showErrorMessage="1" errorTitle="Ошибка" error="Допускается ввод только неотрицательных чисел!" sqref="E11:G11" xr:uid="{00000000-0002-0000-0700-000005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98C201-48B4-D59E-23CB-C13611C16E9C}">
  <sheetPr>
    <tabColor theme="3" tint="0.59999389629810485"/>
  </sheetPr>
  <dimension ref="A1:U17"/>
  <sheetViews>
    <sheetView showGridLines="0" topLeftCell="C5" zoomScale="90" workbookViewId="0"/>
  </sheetViews>
  <sheetFormatPr defaultColWidth="10.5703125" defaultRowHeight="14.25" customHeight="1"/>
  <cols>
    <col min="1" max="1" width="9.140625" style="6" hidden="1" customWidth="1"/>
    <col min="2" max="2" width="9.140625" style="9" hidden="1" customWidth="1"/>
    <col min="3" max="3" width="3.7109375" style="74" customWidth="1"/>
    <col min="4" max="4" width="5.5703125" style="9" customWidth="1"/>
    <col min="5" max="5" width="38.140625" style="9" customWidth="1"/>
    <col min="6" max="7" width="3.7109375" style="9" customWidth="1"/>
    <col min="8" max="8" width="38.28515625" style="9" customWidth="1"/>
    <col min="9" max="9" width="35.7109375" style="9" customWidth="1"/>
    <col min="10" max="10" width="103.7109375" style="9" customWidth="1"/>
    <col min="11" max="11" width="3.7109375" style="43" customWidth="1"/>
    <col min="12" max="14" width="10.5703125" style="65"/>
    <col min="15" max="15" width="13.7109375" style="65" customWidth="1"/>
    <col min="16" max="16" width="15.42578125" style="65" customWidth="1"/>
    <col min="17" max="17" width="16.28515625" style="65" customWidth="1"/>
    <col min="18" max="21" width="10.5703125" style="65"/>
  </cols>
  <sheetData>
    <row r="1" spans="1:21" ht="14.25" hidden="1" customHeight="1">
      <c r="E1" s="247"/>
      <c r="F1" s="247"/>
      <c r="G1" s="247"/>
      <c r="H1" s="1186" t="s">
        <v>342</v>
      </c>
      <c r="I1" s="1186"/>
    </row>
    <row r="2" spans="1:21" s="9" customFormat="1" ht="14.25" hidden="1" customHeight="1">
      <c r="C2" s="21"/>
      <c r="D2" s="1189" t="s">
        <v>110</v>
      </c>
      <c r="E2" s="1191"/>
      <c r="F2" s="926"/>
      <c r="G2" s="41" t="s">
        <v>110</v>
      </c>
      <c r="H2" s="226"/>
      <c r="I2" s="927"/>
      <c r="L2" s="65"/>
      <c r="M2" s="65"/>
      <c r="N2" s="65"/>
      <c r="O2" s="65" t="s">
        <v>372</v>
      </c>
      <c r="P2" s="65"/>
      <c r="Q2" s="65"/>
      <c r="R2" s="66" t="s">
        <v>371</v>
      </c>
      <c r="S2" s="66" t="s">
        <v>371</v>
      </c>
      <c r="T2" s="65"/>
      <c r="U2" s="65"/>
    </row>
    <row r="3" spans="1:21" s="9" customFormat="1" ht="14.25" hidden="1" customHeight="1">
      <c r="C3" s="21"/>
      <c r="D3" s="1190"/>
      <c r="E3" s="1192"/>
      <c r="F3" s="152"/>
      <c r="G3" s="521"/>
      <c r="H3" s="521" t="s">
        <v>373</v>
      </c>
      <c r="I3" s="183"/>
      <c r="L3" s="65"/>
      <c r="M3" s="65"/>
      <c r="N3" s="65"/>
      <c r="O3" s="65"/>
      <c r="P3" s="65"/>
      <c r="Q3" s="65"/>
      <c r="R3" s="66"/>
      <c r="S3" s="66"/>
      <c r="T3" s="65"/>
      <c r="U3" s="65"/>
    </row>
    <row r="4" spans="1:21" ht="14.25" hidden="1" customHeight="1"/>
    <row r="5" spans="1:21" s="413" customFormat="1" ht="6" customHeight="1">
      <c r="C5" s="414"/>
      <c r="D5" s="415"/>
      <c r="E5" s="415"/>
      <c r="F5" s="415"/>
      <c r="G5" s="415"/>
      <c r="H5" s="415" t="s">
        <v>346</v>
      </c>
      <c r="I5" s="415"/>
      <c r="J5" s="415"/>
      <c r="L5" s="65"/>
      <c r="M5" s="65"/>
      <c r="N5" s="65"/>
      <c r="O5" s="65"/>
      <c r="P5" s="65"/>
      <c r="Q5" s="65"/>
      <c r="R5" s="65"/>
      <c r="S5" s="65"/>
      <c r="T5" s="65"/>
      <c r="U5" s="65"/>
    </row>
    <row r="6" spans="1:21" ht="17.25" customHeight="1">
      <c r="C6" s="21"/>
      <c r="D6" s="1076" t="s">
        <v>374</v>
      </c>
      <c r="E6" s="1077"/>
      <c r="F6" s="1077"/>
      <c r="G6" s="1077"/>
      <c r="H6" s="1077"/>
      <c r="I6" s="1077"/>
      <c r="J6" s="293"/>
      <c r="K6" s="153"/>
    </row>
    <row r="7" spans="1:21" ht="17.25" customHeight="1">
      <c r="C7" s="21"/>
      <c r="D7" s="1183" t="str">
        <f>IF(org=0,"Не определено",org)</f>
        <v>ИМУП «ПОСЖИЛКОМСЕРВИС»</v>
      </c>
      <c r="E7" s="1184"/>
      <c r="F7" s="1184"/>
      <c r="G7" s="1184"/>
      <c r="H7" s="1184"/>
      <c r="I7" s="1184"/>
      <c r="J7" s="293"/>
      <c r="K7" s="153"/>
    </row>
    <row r="8" spans="1:21" s="133" customFormat="1" ht="6" customHeight="1">
      <c r="A8" s="286"/>
      <c r="C8" s="291"/>
      <c r="D8" s="290"/>
      <c r="E8" s="290"/>
      <c r="F8" s="290"/>
      <c r="G8" s="290"/>
      <c r="H8" s="290"/>
      <c r="I8" s="290"/>
      <c r="J8" s="290"/>
      <c r="L8" s="65"/>
      <c r="M8" s="65"/>
      <c r="N8" s="65"/>
      <c r="O8" s="65"/>
      <c r="P8" s="65"/>
      <c r="Q8" s="65"/>
      <c r="R8" s="65"/>
      <c r="S8" s="65"/>
      <c r="T8" s="65"/>
      <c r="U8" s="65"/>
    </row>
    <row r="9" spans="1:21" s="133" customFormat="1" ht="6" customHeight="1">
      <c r="A9" s="286"/>
      <c r="C9" s="291"/>
      <c r="D9" s="290"/>
      <c r="E9" s="290"/>
      <c r="F9" s="290"/>
      <c r="G9" s="290"/>
      <c r="H9" s="290"/>
      <c r="I9" s="290"/>
      <c r="J9" s="290"/>
      <c r="L9" s="65"/>
      <c r="M9" s="65"/>
      <c r="N9" s="65"/>
      <c r="O9" s="65"/>
      <c r="P9" s="65"/>
      <c r="Q9" s="65"/>
      <c r="R9" s="65"/>
      <c r="S9" s="65"/>
      <c r="T9" s="65"/>
      <c r="U9" s="65"/>
    </row>
    <row r="10" spans="1:21" ht="14.25" customHeight="1">
      <c r="C10" s="21"/>
      <c r="D10" s="1174" t="s">
        <v>288</v>
      </c>
      <c r="E10" s="1187"/>
      <c r="F10" s="1187"/>
      <c r="G10" s="1187"/>
      <c r="H10" s="1187"/>
      <c r="I10" s="1187"/>
      <c r="J10" s="1135" t="s">
        <v>289</v>
      </c>
    </row>
    <row r="11" spans="1:21" ht="25.5" customHeight="1">
      <c r="C11" s="21"/>
      <c r="D11" s="1083" t="s">
        <v>88</v>
      </c>
      <c r="E11" s="1135" t="str">
        <f>IF(TEMPLATE_SPHERE&lt;&gt;"HEAT","Регулируемый вид деятельности","Вид регулируемой деятельности")</f>
        <v>Регулируемый вид деятельности</v>
      </c>
      <c r="F11" s="1138" t="s">
        <v>88</v>
      </c>
      <c r="G11" s="1139"/>
      <c r="H11" s="1137" t="s">
        <v>375</v>
      </c>
      <c r="I11" s="1137" t="s">
        <v>376</v>
      </c>
      <c r="J11" s="1135"/>
    </row>
    <row r="12" spans="1:21" ht="14.25" customHeight="1">
      <c r="C12" s="21"/>
      <c r="D12" s="1083"/>
      <c r="E12" s="1135"/>
      <c r="F12" s="1143"/>
      <c r="G12" s="1144"/>
      <c r="H12" s="1193"/>
      <c r="I12" s="1193"/>
      <c r="J12" s="1135"/>
    </row>
    <row r="13" spans="1:21" s="209" customFormat="1" ht="11.25" customHeight="1">
      <c r="C13" s="298"/>
      <c r="D13" s="299" t="s">
        <v>366</v>
      </c>
      <c r="E13" s="299"/>
      <c r="F13" s="299"/>
      <c r="G13" s="299"/>
      <c r="H13" s="297"/>
      <c r="I13" s="297"/>
      <c r="J13" s="70"/>
      <c r="L13" s="65"/>
      <c r="M13" s="65"/>
      <c r="N13" s="65"/>
      <c r="O13" s="65"/>
      <c r="P13" s="65"/>
      <c r="Q13" s="65"/>
      <c r="R13" s="65"/>
      <c r="S13" s="65"/>
      <c r="T13" s="65"/>
      <c r="U13" s="65"/>
    </row>
    <row r="14" spans="1:21" ht="14.25" customHeight="1">
      <c r="A14" s="9"/>
      <c r="C14" s="21"/>
      <c r="D14" s="1189" t="s">
        <v>110</v>
      </c>
      <c r="E14" s="1191"/>
      <c r="F14" s="926"/>
      <c r="G14" s="41" t="s">
        <v>110</v>
      </c>
      <c r="H14" s="226"/>
      <c r="I14" s="927"/>
      <c r="J14" s="1127" t="s">
        <v>377</v>
      </c>
      <c r="K14" s="9"/>
      <c r="R14" s="66" t="s">
        <v>371</v>
      </c>
      <c r="S14" s="66" t="s">
        <v>371</v>
      </c>
    </row>
    <row r="15" spans="1:21" ht="14.25" customHeight="1">
      <c r="A15" s="9"/>
      <c r="C15" s="21"/>
      <c r="D15" s="1190"/>
      <c r="E15" s="1192"/>
      <c r="F15" s="152"/>
      <c r="G15" s="521"/>
      <c r="H15" s="521" t="s">
        <v>373</v>
      </c>
      <c r="I15" s="183"/>
      <c r="J15" s="1128"/>
      <c r="K15" s="9"/>
      <c r="R15" s="66"/>
      <c r="S15" s="66"/>
    </row>
    <row r="16" spans="1:21" ht="14.25" customHeight="1">
      <c r="A16" s="9"/>
      <c r="C16" s="21"/>
      <c r="D16" s="152"/>
      <c r="E16" s="521" t="s">
        <v>123</v>
      </c>
      <c r="F16" s="183"/>
      <c r="G16" s="183"/>
      <c r="H16" s="245"/>
      <c r="I16" s="245"/>
      <c r="J16" s="1129"/>
      <c r="K16" s="9"/>
    </row>
    <row r="17" spans="11:11" ht="14.25" customHeight="1">
      <c r="K17" s="9"/>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textLength" operator="lessThanOrEqual" allowBlank="1" showInputMessage="1" showErrorMessage="1" errorTitle="Ошибка" error="Допускается ввод не более 900 символов!" sqref="H14 H2" xr:uid="{00000000-0002-0000-0800-000000000000}">
      <formula1>900</formula1>
    </dataValidation>
    <dataValidation allowBlank="1" showErrorMessage="1" errorTitle="Ошибка" error="Допускается ввод только неотрицательных чисел!" sqref="E13:G13" xr:uid="{00000000-0002-0000-0800-000001000000}"/>
    <dataValidation type="decimal" allowBlank="1" showErrorMessage="1" errorTitle="Ошибка" error="Допускается ввод только неотрицательных чисел!" sqref="H13:I13" xr:uid="{00000000-0002-0000-0800-000002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xr:uid="{00000000-0002-0000-0800-000003000000}"/>
    <dataValidation type="whole" allowBlank="1" showErrorMessage="1" errorTitle="Ошибка" error="Допускается ввод только неотрицательных целых чисел!" sqref="I14 I2" xr:uid="{00000000-0002-0000-0800-000004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AEA01B-9663-51F7-A8C2-215F3350FA1E}">
  <sheetPr>
    <tabColor theme="3" tint="0.59999389629810485"/>
  </sheetPr>
  <dimension ref="A1:V15"/>
  <sheetViews>
    <sheetView showGridLines="0" topLeftCell="D3" zoomScale="90" workbookViewId="0"/>
  </sheetViews>
  <sheetFormatPr defaultColWidth="10.5703125" defaultRowHeight="14.25" customHeight="1"/>
  <cols>
    <col min="1" max="1" width="9.140625" style="6" hidden="1" customWidth="1"/>
    <col min="2" max="3" width="9.140625" style="9" hidden="1" customWidth="1"/>
    <col min="4" max="4" width="3.7109375" style="74" customWidth="1"/>
    <col min="5" max="5" width="6.28515625" style="9" customWidth="1"/>
    <col min="6" max="6" width="1.7109375" style="9" hidden="1" customWidth="1"/>
    <col min="7" max="8" width="30.7109375" style="9" customWidth="1"/>
    <col min="9" max="9" width="9" style="9" customWidth="1"/>
    <col min="10" max="10" width="12.140625" style="9" customWidth="1"/>
    <col min="11" max="11" width="46.7109375" style="9" customWidth="1"/>
    <col min="12" max="12" width="100.28515625" style="9" customWidth="1"/>
    <col min="13" max="13" width="7.5703125" style="43" customWidth="1"/>
    <col min="14" max="22" width="10.5703125" style="9"/>
  </cols>
  <sheetData>
    <row r="1" spans="1:22" s="65" customFormat="1" ht="5.25" hidden="1" customHeight="1">
      <c r="D1" s="119"/>
      <c r="G1" s="65" t="s">
        <v>83</v>
      </c>
      <c r="H1" s="65" t="s">
        <v>84</v>
      </c>
      <c r="I1" s="65" t="s">
        <v>85</v>
      </c>
      <c r="P1" s="65" t="s">
        <v>83</v>
      </c>
      <c r="Q1" s="65" t="s">
        <v>84</v>
      </c>
      <c r="R1" s="65" t="s">
        <v>85</v>
      </c>
    </row>
    <row r="2" spans="1:22" s="65" customFormat="1" ht="5.25" hidden="1" customHeight="1">
      <c r="D2" s="119"/>
    </row>
    <row r="3" spans="1:22" s="133" customFormat="1" ht="6" customHeight="1">
      <c r="A3" s="286"/>
      <c r="D3" s="291"/>
      <c r="E3" s="131"/>
      <c r="F3" s="131"/>
      <c r="G3" s="131"/>
      <c r="H3" s="131"/>
      <c r="I3" s="287"/>
      <c r="J3" s="288"/>
      <c r="K3" s="288"/>
      <c r="L3" s="288"/>
    </row>
    <row r="4" spans="1:22" ht="22.5" customHeight="1">
      <c r="D4" s="21"/>
      <c r="E4" s="1076" t="s">
        <v>378</v>
      </c>
      <c r="F4" s="1076"/>
      <c r="G4" s="1077"/>
      <c r="H4" s="1077"/>
      <c r="I4" s="1078"/>
      <c r="J4" s="293"/>
      <c r="K4" s="160"/>
      <c r="L4" s="160"/>
    </row>
    <row r="5" spans="1:22" s="9" customFormat="1" ht="17.25" customHeight="1">
      <c r="A5" s="6"/>
      <c r="D5" s="21"/>
      <c r="E5" s="1183" t="str">
        <f>IF(org=0,"Не определено",org)</f>
        <v>ИМУП «ПОСЖИЛКОМСЕРВИС»</v>
      </c>
      <c r="F5" s="1183"/>
      <c r="G5" s="1184"/>
      <c r="H5" s="1184"/>
      <c r="I5" s="1185"/>
      <c r="J5" s="293"/>
      <c r="K5" s="160"/>
      <c r="L5" s="160"/>
      <c r="M5" s="43"/>
    </row>
    <row r="6" spans="1:22" s="133" customFormat="1" ht="11.25" customHeight="1">
      <c r="A6" s="286"/>
      <c r="D6" s="291"/>
      <c r="E6" s="131"/>
      <c r="F6" s="131"/>
      <c r="G6" s="289"/>
      <c r="H6" s="289"/>
      <c r="I6" s="290"/>
      <c r="J6" s="290"/>
      <c r="K6" s="445"/>
      <c r="L6" s="290"/>
    </row>
    <row r="7" spans="1:22" ht="14.25" customHeight="1">
      <c r="D7" s="21"/>
      <c r="E7" s="1167" t="s">
        <v>288</v>
      </c>
      <c r="F7" s="1167"/>
      <c r="G7" s="1168"/>
      <c r="H7" s="1168"/>
      <c r="I7" s="1168"/>
      <c r="J7" s="1168"/>
      <c r="K7" s="1168"/>
      <c r="L7" s="1135" t="s">
        <v>289</v>
      </c>
    </row>
    <row r="8" spans="1:22" ht="45" customHeight="1">
      <c r="D8" s="21"/>
      <c r="E8" s="34" t="s">
        <v>88</v>
      </c>
      <c r="F8" s="34"/>
      <c r="G8" s="39" t="s">
        <v>86</v>
      </c>
      <c r="H8" s="39" t="s">
        <v>87</v>
      </c>
      <c r="I8" s="37" t="s">
        <v>85</v>
      </c>
      <c r="J8" s="37" t="s">
        <v>379</v>
      </c>
      <c r="K8" s="37" t="s">
        <v>380</v>
      </c>
      <c r="L8" s="1135"/>
    </row>
    <row r="9" spans="1:22" ht="12" hidden="1" customHeight="1">
      <c r="D9" s="292"/>
      <c r="E9" s="295"/>
      <c r="F9" s="295"/>
      <c r="G9" s="295"/>
      <c r="H9" s="295"/>
      <c r="I9" s="295"/>
      <c r="J9" s="295"/>
      <c r="K9" s="295"/>
      <c r="L9" s="295"/>
      <c r="M9" s="9"/>
    </row>
    <row r="10" spans="1:22" ht="14.25" hidden="1" customHeight="1">
      <c r="A10" s="9"/>
      <c r="D10" s="21"/>
      <c r="E10" s="39">
        <v>0</v>
      </c>
      <c r="F10" s="39"/>
      <c r="G10" s="62"/>
      <c r="H10" s="62"/>
      <c r="I10" s="62"/>
      <c r="J10" s="62"/>
      <c r="K10" s="62"/>
      <c r="L10" s="1181" t="s">
        <v>381</v>
      </c>
    </row>
    <row r="11" spans="1:22" ht="15" hidden="1" customHeight="1">
      <c r="A11" s="1068"/>
      <c r="B11" s="2"/>
      <c r="C11" s="2"/>
      <c r="D11" s="517"/>
      <c r="E11" s="302"/>
      <c r="F11" s="302"/>
      <c r="G11" s="302"/>
      <c r="H11" s="302"/>
      <c r="I11" s="221"/>
      <c r="J11" s="303"/>
      <c r="K11" s="420"/>
      <c r="L11" s="1194"/>
      <c r="M11" s="65"/>
      <c r="N11" s="65"/>
      <c r="O11" s="65"/>
      <c r="P11" s="304"/>
      <c r="Q11" s="304"/>
      <c r="R11" s="305"/>
      <c r="S11" s="65"/>
      <c r="T11" s="65"/>
      <c r="U11" s="65"/>
      <c r="V11" s="65"/>
    </row>
    <row r="12" spans="1:22" s="133" customFormat="1" ht="14.25" customHeight="1">
      <c r="A12" s="1068"/>
      <c r="B12" s="2"/>
      <c r="C12" s="2"/>
      <c r="D12" s="518"/>
      <c r="E12" s="34">
        <v>1</v>
      </c>
      <c r="F12" s="516">
        <v>23</v>
      </c>
      <c r="G12" s="515"/>
      <c r="H12" s="471"/>
      <c r="I12" s="469"/>
      <c r="J12" s="307" t="s">
        <v>59</v>
      </c>
      <c r="K12" s="114" t="s">
        <v>18</v>
      </c>
      <c r="L12" s="1194"/>
      <c r="M12" s="65"/>
      <c r="N12" s="65"/>
      <c r="O12" s="65"/>
      <c r="P12" s="304" t="s">
        <v>382</v>
      </c>
      <c r="Q12" s="304" t="s">
        <v>383</v>
      </c>
      <c r="R12" s="305" t="s">
        <v>384</v>
      </c>
      <c r="S12" s="65" t="s">
        <v>385</v>
      </c>
      <c r="T12" s="65"/>
      <c r="U12" s="65"/>
      <c r="V12" s="65"/>
    </row>
    <row r="13" spans="1:22" ht="15" customHeight="1">
      <c r="A13" s="1068"/>
      <c r="D13" s="21"/>
      <c r="E13" s="152"/>
      <c r="F13" s="311"/>
      <c r="G13" s="50" t="s">
        <v>103</v>
      </c>
      <c r="H13" s="244"/>
      <c r="I13" s="244"/>
      <c r="J13" s="244"/>
      <c r="K13" s="243"/>
      <c r="L13" s="1182"/>
      <c r="M13" s="9"/>
    </row>
    <row r="14" spans="1:22" ht="11.25" customHeight="1">
      <c r="A14" s="286"/>
      <c r="B14" s="133"/>
      <c r="C14" s="133"/>
      <c r="D14" s="296"/>
      <c r="E14" s="133"/>
      <c r="F14" s="133"/>
      <c r="G14" s="133"/>
      <c r="H14" s="133"/>
      <c r="I14" s="133"/>
      <c r="J14" s="133"/>
      <c r="K14" s="133"/>
      <c r="L14" s="133"/>
      <c r="M14" s="133"/>
      <c r="N14" s="133"/>
      <c r="O14" s="133"/>
      <c r="P14" s="133"/>
      <c r="Q14" s="133"/>
      <c r="R14" s="133"/>
      <c r="S14" s="133"/>
      <c r="T14" s="133"/>
      <c r="U14" s="133"/>
      <c r="V14" s="133"/>
    </row>
    <row r="15" spans="1:22" ht="14.25" customHeight="1">
      <c r="D15" s="274"/>
      <c r="E15" s="204"/>
      <c r="F15" s="204"/>
      <c r="G15" s="38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274"/>
      <c r="I15" s="274"/>
      <c r="J15" s="274"/>
      <c r="K15" s="274"/>
      <c r="L15" s="274"/>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xr:uid="{00000000-0002-0000-0900-000000000000}">
      <formula1>900</formula1>
    </dataValidation>
    <dataValidation allowBlank="1" showInputMessage="1" showErrorMessage="1" prompt="Изменение значения по двойному щелчоку левой кнопки мыши" sqref="J12" xr:uid="{00000000-0002-0000-0900-000001000000}"/>
    <dataValidation type="decimal" allowBlank="1" showErrorMessage="1" errorTitle="Ошибка" error="Допускается ввод только неотрицательных чисел!" sqref="G10:K10" xr:uid="{00000000-0002-0000-0900-000002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6C157-56D9-140A-B737-39B922978116}">
  <sheetPr>
    <tabColor rgb="FFFFCC99"/>
  </sheetPr>
  <dimension ref="A2:GB203"/>
  <sheetViews>
    <sheetView showGridLines="0" zoomScale="85" workbookViewId="0"/>
  </sheetViews>
  <sheetFormatPr defaultRowHeight="17.100000000000001" customHeight="1"/>
  <cols>
    <col min="1" max="1" width="26.5703125" customWidth="1"/>
    <col min="2" max="2" width="10" customWidth="1"/>
    <col min="4" max="4" width="11.140625" customWidth="1"/>
    <col min="5" max="5" width="16.5703125" customWidth="1"/>
    <col min="6" max="6" width="16.28515625" customWidth="1"/>
    <col min="7" max="7" width="19.140625" customWidth="1"/>
    <col min="8" max="11" width="10" customWidth="1"/>
    <col min="12" max="12" width="12.7109375" customWidth="1"/>
    <col min="13" max="13" width="61.28515625" customWidth="1"/>
    <col min="14" max="14" width="10" customWidth="1"/>
    <col min="15" max="17" width="23.7109375" customWidth="1"/>
    <col min="18" max="18" width="11.7109375" customWidth="1"/>
    <col min="19" max="19" width="8.5703125" customWidth="1"/>
    <col min="20" max="20" width="11.7109375" customWidth="1"/>
    <col min="21" max="21" width="8.5703125" customWidth="1"/>
    <col min="22" max="22" width="4.7109375" customWidth="1"/>
    <col min="23" max="23" width="115.7109375" customWidth="1"/>
    <col min="24" max="24" width="115.28515625" customWidth="1"/>
    <col min="28" max="28" width="115.7109375" customWidth="1"/>
    <col min="30" max="90" width="115.7109375" customWidth="1"/>
  </cols>
  <sheetData>
    <row r="2" spans="1:80" s="1021" customFormat="1" ht="17.25" customHeight="1">
      <c r="A2" s="1021" t="s">
        <v>386</v>
      </c>
    </row>
    <row r="4" spans="1:80" s="4" customFormat="1" ht="15" customHeight="1">
      <c r="C4" s="21"/>
      <c r="D4" s="42"/>
      <c r="E4" s="226"/>
    </row>
    <row r="6" spans="1:80" s="1021" customFormat="1" ht="17.25" customHeight="1">
      <c r="A6" s="1021" t="s">
        <v>387</v>
      </c>
    </row>
    <row r="8" spans="1:80" s="4" customFormat="1" ht="17.25" customHeight="1">
      <c r="C8" s="1022"/>
      <c r="D8" s="42"/>
      <c r="E8" s="35"/>
    </row>
    <row r="11" spans="1:80" s="1021" customFormat="1" ht="17.25" customHeight="1">
      <c r="A11" s="1021" t="s">
        <v>388</v>
      </c>
    </row>
    <row r="13" spans="1:80" s="43" customFormat="1" ht="15" customHeight="1">
      <c r="A13" s="1186">
        <v>1</v>
      </c>
      <c r="B13" s="60"/>
      <c r="C13" s="478" t="s">
        <v>389</v>
      </c>
      <c r="D13" s="74"/>
      <c r="E13" s="39">
        <f>A13</f>
        <v>1</v>
      </c>
      <c r="F13" s="480"/>
      <c r="G13" s="316" t="str">
        <f>"Территория "&amp;E13</f>
        <v>Территория 1</v>
      </c>
      <c r="H13" s="470"/>
      <c r="I13" s="470"/>
      <c r="J13" s="66"/>
      <c r="K13" s="66"/>
      <c r="L13" s="66"/>
      <c r="M13" s="66"/>
      <c r="N13" s="66"/>
      <c r="O13" s="66"/>
      <c r="P13" s="123"/>
      <c r="Q13" s="123"/>
      <c r="R13" s="123"/>
      <c r="S13" s="123"/>
    </row>
    <row r="14" spans="1:80" ht="15" customHeight="1">
      <c r="A14" s="1186"/>
      <c r="B14" s="60">
        <v>1</v>
      </c>
      <c r="C14" s="60"/>
      <c r="D14" s="477" t="s">
        <v>389</v>
      </c>
      <c r="E14" s="462" t="str">
        <f>A13&amp;"."&amp;B14</f>
        <v>1.1</v>
      </c>
      <c r="F14" s="479">
        <f>$F$16</f>
        <v>0</v>
      </c>
      <c r="G14" s="471"/>
      <c r="H14" s="471"/>
      <c r="I14" s="469"/>
      <c r="J14" s="66" t="e">
        <f ca="1">MERGEVALUE(G14)</f>
        <v>#NAME?</v>
      </c>
      <c r="K14" s="65"/>
      <c r="L14" s="65"/>
      <c r="M14" s="66" t="str">
        <f t="array" ref="M14">IF(ISERROR(MATCH(MID(N14,1,250),MID(note_ter,1,250),0)),"n","y")</f>
        <v>n</v>
      </c>
      <c r="N14" s="65"/>
      <c r="O14" s="66" t="str">
        <f>H14&amp;"("&amp;I14&amp;")"</f>
        <v>()</v>
      </c>
      <c r="P14" s="60"/>
      <c r="Q14" s="60"/>
      <c r="R14" s="248"/>
      <c r="S14" s="60"/>
      <c r="T14" s="60"/>
      <c r="U14" s="60"/>
      <c r="V14" s="59"/>
      <c r="W14" s="59"/>
      <c r="X14" s="101"/>
      <c r="Y14" s="101"/>
      <c r="Z14" s="101"/>
      <c r="AA14" s="101"/>
      <c r="AB14" s="101"/>
      <c r="AC14" s="101"/>
      <c r="AD14" s="101"/>
      <c r="AE14" s="101"/>
      <c r="AF14" s="101"/>
      <c r="AG14" s="101"/>
      <c r="AH14" s="101"/>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59"/>
      <c r="BT14" s="59"/>
      <c r="BU14" s="59"/>
      <c r="BV14" s="59"/>
      <c r="BW14" s="59"/>
      <c r="BX14" s="59"/>
      <c r="BY14" s="59"/>
      <c r="BZ14" s="59"/>
      <c r="CA14" s="59"/>
      <c r="CB14" s="59"/>
    </row>
    <row r="15" spans="1:80" ht="15" customHeight="1">
      <c r="A15" s="1186"/>
      <c r="B15" s="60"/>
      <c r="C15" s="247"/>
      <c r="D15" s="478"/>
      <c r="E15" s="249"/>
      <c r="F15" s="85"/>
      <c r="G15" s="107" t="s">
        <v>103</v>
      </c>
      <c r="H15" s="94"/>
      <c r="I15" s="250"/>
      <c r="J15" s="65"/>
      <c r="K15" s="65"/>
      <c r="L15" s="65"/>
      <c r="M15" s="65"/>
      <c r="N15" s="66"/>
      <c r="O15" s="65"/>
      <c r="P15" s="60"/>
      <c r="Q15" s="60"/>
      <c r="R15" s="248"/>
      <c r="S15" s="60"/>
      <c r="T15" s="60"/>
      <c r="U15" s="60"/>
      <c r="V15" s="59"/>
      <c r="W15" s="59"/>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59"/>
      <c r="BT15" s="59"/>
      <c r="BU15" s="59"/>
      <c r="BV15" s="59"/>
      <c r="BW15" s="59"/>
      <c r="BX15" s="59"/>
      <c r="BY15" s="59"/>
      <c r="BZ15" s="59"/>
      <c r="CA15" s="59"/>
      <c r="CB15" s="59"/>
    </row>
    <row r="17" spans="1:38" ht="15" customHeight="1">
      <c r="A17" s="1021" t="s">
        <v>390</v>
      </c>
      <c r="B17" s="1021"/>
      <c r="C17" s="1021"/>
      <c r="D17" s="1021"/>
      <c r="E17" s="1021"/>
      <c r="F17" s="1021"/>
      <c r="G17" s="1021"/>
      <c r="H17" s="1021"/>
      <c r="I17" s="1021"/>
      <c r="J17" s="1021"/>
      <c r="K17" s="1021"/>
      <c r="L17" s="1021"/>
      <c r="M17" s="1021"/>
      <c r="N17" s="1021"/>
      <c r="O17" s="1021"/>
      <c r="P17" s="1021"/>
      <c r="Q17" s="1021"/>
      <c r="R17" s="1021"/>
      <c r="S17" s="1021"/>
      <c r="T17" s="1021"/>
      <c r="U17" s="92"/>
      <c r="V17" s="1021"/>
      <c r="W17" s="1021"/>
    </row>
    <row r="18" spans="1:38" ht="15" customHeight="1">
      <c r="U18" s="93"/>
    </row>
    <row r="19" spans="1:38" s="33" customFormat="1" ht="15" customHeight="1">
      <c r="A19"/>
      <c r="B19"/>
      <c r="C19" s="973" t="s">
        <v>389</v>
      </c>
      <c r="D19" s="1094" t="s">
        <v>110</v>
      </c>
      <c r="E19" s="1238"/>
      <c r="F19" s="1093" t="s">
        <v>57</v>
      </c>
      <c r="G19" s="1239"/>
      <c r="H19" s="1083">
        <v>1</v>
      </c>
      <c r="I19" s="1241" t="str">
        <f>IF(U19="","",INDEX(TERRITORY_MR_LIST,MATCH(U19,TERRITORY_LIST_ID,0)))</f>
        <v/>
      </c>
      <c r="J19" s="1093" t="s">
        <v>57</v>
      </c>
      <c r="K19" s="490"/>
      <c r="L19" s="41" t="s">
        <v>110</v>
      </c>
      <c r="M19" s="361"/>
      <c r="N19" s="79"/>
      <c r="O19" s="79"/>
      <c r="P19" s="79"/>
      <c r="Q19" s="79"/>
      <c r="R19" s="79"/>
      <c r="S19" s="79"/>
      <c r="T19" s="79"/>
      <c r="U19" s="362"/>
      <c r="V19" s="79"/>
      <c r="W19" s="79"/>
      <c r="X19" s="79"/>
      <c r="Y19" s="79" t="s">
        <v>120</v>
      </c>
      <c r="Z19" s="79">
        <v>1705000</v>
      </c>
      <c r="AA19" s="79"/>
      <c r="AB19" s="79"/>
      <c r="AC19" s="79"/>
      <c r="AD19" s="79"/>
      <c r="AE19" s="79"/>
      <c r="AF19" s="79"/>
      <c r="AG19" s="79"/>
      <c r="AH19" s="79"/>
      <c r="AI19" s="79"/>
      <c r="AJ19" s="79"/>
      <c r="AK19" s="79"/>
      <c r="AL19" s="79"/>
    </row>
    <row r="20" spans="1:38" s="33" customFormat="1" ht="15" customHeight="1">
      <c r="A20"/>
      <c r="B20"/>
      <c r="C20" s="84"/>
      <c r="D20" s="1094"/>
      <c r="E20" s="1238"/>
      <c r="F20" s="1093"/>
      <c r="G20" s="1240"/>
      <c r="H20" s="1083"/>
      <c r="I20" s="1242"/>
      <c r="J20" s="1093"/>
      <c r="K20" s="249"/>
      <c r="L20" s="85"/>
      <c r="M20" s="363" t="s">
        <v>121</v>
      </c>
      <c r="N20" s="79"/>
      <c r="O20" s="79"/>
      <c r="P20" s="79"/>
      <c r="Q20" s="79"/>
      <c r="R20" s="79"/>
      <c r="S20" s="79"/>
      <c r="T20" s="79"/>
      <c r="U20" s="362"/>
      <c r="V20" s="79"/>
      <c r="W20" s="79"/>
      <c r="X20" s="79"/>
      <c r="Y20" s="79"/>
      <c r="Z20" s="79"/>
      <c r="AA20" s="79"/>
      <c r="AB20" s="79"/>
      <c r="AC20" s="79"/>
      <c r="AD20" s="79"/>
      <c r="AE20" s="79"/>
      <c r="AF20" s="79"/>
      <c r="AG20" s="79"/>
      <c r="AH20" s="79"/>
      <c r="AI20" s="79"/>
      <c r="AJ20" s="79"/>
      <c r="AK20" s="79"/>
      <c r="AL20" s="79"/>
    </row>
    <row r="21" spans="1:38" s="33" customFormat="1" ht="15" customHeight="1">
      <c r="A21"/>
      <c r="B21"/>
      <c r="C21" s="84"/>
      <c r="D21" s="1094"/>
      <c r="E21" s="1238"/>
      <c r="F21" s="1093"/>
      <c r="G21" s="249"/>
      <c r="H21" s="85"/>
      <c r="I21" s="107" t="s">
        <v>122</v>
      </c>
      <c r="J21" s="85"/>
      <c r="K21" s="85"/>
      <c r="L21" s="85"/>
      <c r="M21" s="364"/>
      <c r="N21" s="79"/>
      <c r="O21" s="79"/>
      <c r="P21" s="79"/>
      <c r="Q21" s="79"/>
      <c r="R21" s="79"/>
      <c r="S21" s="79"/>
      <c r="T21" s="79"/>
      <c r="U21" s="362"/>
      <c r="V21" s="79"/>
      <c r="W21" s="79"/>
      <c r="X21" s="79"/>
      <c r="Y21" s="79"/>
      <c r="Z21" s="79"/>
      <c r="AA21" s="79"/>
      <c r="AB21" s="79"/>
      <c r="AC21" s="79"/>
      <c r="AD21" s="79"/>
      <c r="AE21" s="79"/>
      <c r="AF21" s="79"/>
      <c r="AG21" s="79"/>
      <c r="AH21" s="79"/>
      <c r="AI21" s="79"/>
      <c r="AJ21" s="79"/>
      <c r="AK21" s="79"/>
      <c r="AL21" s="79"/>
    </row>
    <row r="22" spans="1:38" ht="15" customHeight="1">
      <c r="U22" s="93"/>
    </row>
    <row r="23" spans="1:38" ht="15" customHeight="1">
      <c r="A23" s="1021" t="s">
        <v>391</v>
      </c>
      <c r="B23" s="1021"/>
      <c r="C23" s="1021"/>
      <c r="D23" s="1021"/>
      <c r="E23" s="1021"/>
      <c r="F23" s="1021"/>
      <c r="G23" s="1021"/>
      <c r="H23" s="1021"/>
      <c r="I23" s="1021"/>
      <c r="J23" s="1021"/>
      <c r="K23" s="1021"/>
      <c r="L23" s="1021"/>
      <c r="M23" s="1021"/>
      <c r="N23" s="1021"/>
      <c r="O23" s="1021"/>
      <c r="P23" s="1021"/>
      <c r="Q23" s="1021"/>
      <c r="R23" s="1021"/>
      <c r="S23" s="1021"/>
      <c r="T23" s="1021"/>
      <c r="U23" s="92"/>
      <c r="V23" s="1021"/>
      <c r="W23" s="1021"/>
    </row>
    <row r="24" spans="1:38" ht="15" customHeight="1">
      <c r="U24" s="93"/>
    </row>
    <row r="25" spans="1:38" s="33" customFormat="1" ht="15" customHeight="1">
      <c r="A25"/>
      <c r="B25"/>
      <c r="C25" s="84"/>
      <c r="D25" s="446"/>
      <c r="E25" s="446"/>
      <c r="F25" s="446"/>
      <c r="G25" s="1243" t="s">
        <v>389</v>
      </c>
      <c r="H25" s="1064">
        <v>1</v>
      </c>
      <c r="I25" s="1244" t="str">
        <f>IF(U25="","",INDEX(TERRITORY_MR_LIST,MATCH(U25,TERRITORY_LIST_ID,0)))</f>
        <v/>
      </c>
      <c r="J25" s="1093" t="s">
        <v>57</v>
      </c>
      <c r="K25" s="490"/>
      <c r="L25" s="41" t="s">
        <v>110</v>
      </c>
      <c r="M25" s="361"/>
      <c r="N25" s="79"/>
      <c r="O25" s="79"/>
      <c r="P25" s="79"/>
      <c r="Q25" s="79"/>
      <c r="R25" s="79"/>
      <c r="S25" s="79"/>
      <c r="T25" s="79"/>
      <c r="U25" s="362"/>
      <c r="V25" s="79"/>
      <c r="W25" s="79"/>
      <c r="X25" s="79"/>
      <c r="Y25" s="79" t="s">
        <v>120</v>
      </c>
      <c r="Z25" s="79">
        <v>1705000</v>
      </c>
      <c r="AA25" s="79"/>
      <c r="AB25" s="79"/>
      <c r="AC25" s="79"/>
      <c r="AD25" s="79"/>
      <c r="AE25" s="79"/>
      <c r="AF25" s="79"/>
      <c r="AG25" s="79"/>
      <c r="AH25" s="79"/>
      <c r="AI25" s="79"/>
      <c r="AJ25" s="79"/>
      <c r="AK25" s="79"/>
      <c r="AL25" s="79"/>
    </row>
    <row r="26" spans="1:38" s="33" customFormat="1" ht="15" customHeight="1">
      <c r="A26"/>
      <c r="B26"/>
      <c r="C26" s="84"/>
      <c r="D26" s="446"/>
      <c r="E26" s="446"/>
      <c r="F26" s="446"/>
      <c r="G26" s="1243"/>
      <c r="H26" s="1064"/>
      <c r="I26" s="1244"/>
      <c r="J26" s="1093"/>
      <c r="K26" s="249"/>
      <c r="L26" s="85"/>
      <c r="M26" s="363" t="s">
        <v>121</v>
      </c>
      <c r="N26" s="79"/>
      <c r="O26" s="79"/>
      <c r="P26" s="79"/>
      <c r="Q26" s="79"/>
      <c r="R26" s="79"/>
      <c r="S26" s="79"/>
      <c r="T26" s="79"/>
      <c r="U26" s="362"/>
      <c r="V26" s="79"/>
      <c r="W26" s="79"/>
      <c r="X26" s="79"/>
      <c r="Y26" s="79"/>
      <c r="Z26" s="79"/>
      <c r="AA26" s="79"/>
      <c r="AB26" s="79"/>
      <c r="AC26" s="79"/>
      <c r="AD26" s="79"/>
      <c r="AE26" s="79"/>
      <c r="AF26" s="79"/>
      <c r="AG26" s="79"/>
      <c r="AH26" s="79"/>
      <c r="AI26" s="79"/>
      <c r="AJ26" s="79"/>
      <c r="AK26" s="79"/>
      <c r="AL26" s="79"/>
    </row>
    <row r="27" spans="1:38" ht="15" customHeight="1">
      <c r="U27" s="93"/>
    </row>
    <row r="28" spans="1:38" ht="15" customHeight="1">
      <c r="A28" s="1021" t="s">
        <v>392</v>
      </c>
      <c r="B28" s="1021"/>
      <c r="C28" s="1021"/>
      <c r="D28" s="1021"/>
      <c r="E28" s="1021"/>
      <c r="F28" s="1021"/>
      <c r="G28" s="1021"/>
      <c r="H28" s="1021"/>
      <c r="I28" s="1021"/>
      <c r="J28" s="1021"/>
      <c r="K28" s="1021"/>
      <c r="L28" s="1021"/>
      <c r="M28" s="1021"/>
      <c r="N28" s="1021"/>
      <c r="O28" s="1021"/>
      <c r="P28" s="1021"/>
      <c r="Q28" s="1021"/>
      <c r="R28" s="1021"/>
      <c r="S28" s="1021"/>
      <c r="T28" s="1021"/>
      <c r="U28" s="92"/>
      <c r="V28" s="1021"/>
      <c r="W28" s="1021"/>
    </row>
    <row r="29" spans="1:38" ht="15" customHeight="1">
      <c r="U29" s="93"/>
    </row>
    <row r="30" spans="1:38" s="33" customFormat="1" ht="15" customHeight="1">
      <c r="A30"/>
      <c r="B30"/>
      <c r="C30" s="84"/>
      <c r="D30" s="446"/>
      <c r="E30" s="446"/>
      <c r="F30" s="446"/>
      <c r="G30" s="446"/>
      <c r="H30" s="446"/>
      <c r="I30" s="446"/>
      <c r="J30" s="446"/>
      <c r="K30" s="1018" t="s">
        <v>389</v>
      </c>
      <c r="L30" s="974" t="s">
        <v>110</v>
      </c>
      <c r="M30" s="481"/>
      <c r="N30" s="482"/>
      <c r="O30" s="79"/>
      <c r="P30" s="79"/>
      <c r="Q30" s="79"/>
      <c r="R30" s="79"/>
      <c r="S30" s="79"/>
      <c r="T30" s="79"/>
      <c r="U30" s="362"/>
      <c r="V30" s="79"/>
      <c r="W30" s="79"/>
      <c r="X30" s="79"/>
      <c r="Y30" s="79" t="s">
        <v>120</v>
      </c>
      <c r="Z30" s="79">
        <v>1705000</v>
      </c>
      <c r="AA30" s="79"/>
      <c r="AB30" s="79"/>
      <c r="AC30" s="79"/>
      <c r="AD30" s="79"/>
      <c r="AE30" s="79"/>
      <c r="AF30" s="79"/>
      <c r="AG30" s="79"/>
      <c r="AH30" s="79"/>
      <c r="AI30" s="79"/>
      <c r="AJ30" s="79"/>
      <c r="AK30" s="79"/>
      <c r="AL30" s="79"/>
    </row>
    <row r="31" spans="1:38" ht="15" customHeight="1">
      <c r="U31" s="93"/>
    </row>
    <row r="32" spans="1:38" ht="15" customHeight="1">
      <c r="U32" s="93"/>
    </row>
    <row r="33" spans="1:45" s="1021" customFormat="1" ht="11.25" customHeight="1">
      <c r="A33" s="1021" t="s">
        <v>393</v>
      </c>
    </row>
    <row r="34" spans="1:45" ht="11.25" customHeight="1"/>
    <row r="35" spans="1:45" s="266" customFormat="1" ht="22.5" customHeight="1">
      <c r="A35" s="511"/>
      <c r="B35" s="8"/>
      <c r="C35" s="512"/>
      <c r="D35" s="260"/>
      <c r="E35" s="513"/>
      <c r="F35" s="942"/>
      <c r="G35" s="446"/>
      <c r="H35" s="282"/>
    </row>
    <row r="36" spans="1:45" ht="11.25" customHeight="1"/>
    <row r="37" spans="1:45" s="1021" customFormat="1" ht="11.25" customHeight="1">
      <c r="A37" s="1021" t="s">
        <v>394</v>
      </c>
    </row>
    <row r="38" spans="1:45" ht="11.25" customHeight="1"/>
    <row r="39" spans="1:45" s="266" customFormat="1" ht="22.5" customHeight="1">
      <c r="A39" s="8"/>
      <c r="B39" s="8"/>
      <c r="C39" s="8"/>
      <c r="D39" s="260"/>
      <c r="E39" s="513"/>
      <c r="F39" s="410"/>
      <c r="G39" s="446"/>
      <c r="H39" s="282"/>
    </row>
    <row r="42" spans="1:45" s="1021" customFormat="1" ht="17.25" customHeight="1">
      <c r="A42" s="1021" t="s">
        <v>395</v>
      </c>
    </row>
    <row r="44" spans="1:45" s="133" customFormat="1" ht="18.75" customHeight="1">
      <c r="A44"/>
      <c r="B44" s="2"/>
      <c r="C44" s="2"/>
      <c r="D44" s="518"/>
      <c r="E44" s="1019"/>
      <c r="F44" s="520">
        <v>13</v>
      </c>
      <c r="G44" s="519"/>
      <c r="H44" s="471"/>
      <c r="I44" s="469"/>
      <c r="J44" s="307" t="s">
        <v>59</v>
      </c>
      <c r="K44" s="1023" t="s">
        <v>18</v>
      </c>
      <c r="L44"/>
      <c r="M44" s="65"/>
      <c r="N44" s="65"/>
      <c r="O44" s="65"/>
      <c r="P44" s="304" t="s">
        <v>382</v>
      </c>
      <c r="Q44" s="304" t="s">
        <v>383</v>
      </c>
      <c r="R44" s="305" t="s">
        <v>384</v>
      </c>
      <c r="S44" s="65" t="s">
        <v>385</v>
      </c>
      <c r="T44" s="65"/>
      <c r="U44" s="65"/>
      <c r="V44" s="65"/>
    </row>
    <row r="46" spans="1:45" s="1021" customFormat="1" ht="11.25" customHeight="1">
      <c r="A46" s="1021" t="s">
        <v>396</v>
      </c>
    </row>
    <row r="48" spans="1:45" s="9" customFormat="1" ht="15" customHeight="1">
      <c r="C48" s="21"/>
      <c r="D48" s="255"/>
      <c r="E48" s="527"/>
      <c r="F48" s="508"/>
      <c r="G48" s="509"/>
      <c r="H48" s="227"/>
      <c r="I48" s="227"/>
      <c r="J48" s="254"/>
      <c r="K48" s="253"/>
      <c r="L48" s="252"/>
      <c r="M48" s="253"/>
      <c r="N48" s="254"/>
      <c r="O48" s="253"/>
      <c r="P48" s="254"/>
      <c r="Q48" s="253"/>
      <c r="R48" s="254"/>
      <c r="S48" s="507"/>
      <c r="T48" s="227"/>
      <c r="U48" s="254"/>
      <c r="V48" s="254"/>
      <c r="W48" s="489"/>
      <c r="X48" s="227"/>
      <c r="Y48" s="254"/>
      <c r="Z48" s="254"/>
      <c r="AA48" s="489"/>
      <c r="AB48" s="227"/>
      <c r="AC48" s="254"/>
      <c r="AD48" s="489"/>
      <c r="AE48"/>
      <c r="AF48"/>
      <c r="AG48"/>
      <c r="AH48"/>
      <c r="AJ48" s="65"/>
      <c r="AK48" s="65"/>
      <c r="AL48" s="65"/>
      <c r="AM48" s="65"/>
      <c r="AN48" s="65"/>
      <c r="AO48" s="65"/>
      <c r="AP48" s="66" t="s">
        <v>371</v>
      </c>
      <c r="AQ48" s="66" t="s">
        <v>371</v>
      </c>
      <c r="AR48" s="65"/>
      <c r="AS48" s="65"/>
    </row>
    <row r="50" spans="1:30" s="1021" customFormat="1" ht="11.25" customHeight="1">
      <c r="A50" s="1021" t="s">
        <v>397</v>
      </c>
    </row>
    <row r="52" spans="1:30" s="2" customFormat="1" ht="15" customHeight="1">
      <c r="A52" s="59" t="s">
        <v>90</v>
      </c>
      <c r="B52" s="2" t="s">
        <v>18</v>
      </c>
      <c r="C52" s="48"/>
      <c r="D52" s="41"/>
      <c r="E52" s="226"/>
      <c r="F52" s="226"/>
      <c r="G52" s="979"/>
      <c r="H52" s="1023"/>
      <c r="I52" s="377"/>
      <c r="K52" s="157"/>
      <c r="L52" s="101"/>
    </row>
    <row r="54" spans="1:30" s="1021" customFormat="1" ht="11.25" customHeight="1">
      <c r="A54" s="1021" t="s">
        <v>398</v>
      </c>
    </row>
    <row r="56" spans="1:30" s="9" customFormat="1" ht="14.25" customHeight="1">
      <c r="A56" s="2"/>
      <c r="B56" s="60"/>
      <c r="C56" s="27"/>
      <c r="D56" s="61"/>
      <c r="E56" s="528"/>
      <c r="F56" s="1023"/>
      <c r="G56"/>
      <c r="I56" s="66"/>
      <c r="J56" s="66"/>
    </row>
    <row r="58" spans="1:30" s="1021" customFormat="1" ht="11.25" customHeight="1">
      <c r="A58" s="1021" t="s">
        <v>399</v>
      </c>
    </row>
    <row r="60" spans="1:30" s="9" customFormat="1" ht="27" customHeight="1">
      <c r="A60" s="314"/>
      <c r="B60" s="314"/>
      <c r="C60" s="314"/>
      <c r="D60" s="60"/>
      <c r="E60" s="1024"/>
      <c r="F60" s="1195"/>
      <c r="G60" s="1196"/>
      <c r="H60" s="1197" t="s">
        <v>59</v>
      </c>
      <c r="I60" s="1199"/>
      <c r="J60" s="1201"/>
      <c r="K60" s="1203"/>
      <c r="L60" s="1206"/>
      <c r="M60" s="1206"/>
      <c r="N60" s="1247"/>
      <c r="O60" s="1247"/>
      <c r="P60" s="1248" t="e">
        <f>DATEDIF(DATEVALUE(N60),DATEVALUE(O60),"y")&amp;"г. "&amp;DATEDIF(DATEVALUE(N60),DATEVALUE(O60),"ym")&amp;"мес. "&amp;DATEVALUE(O60)-DATE(YEAR(DATEVALUE(O60)),MONTH(DATEVALUE(O60)),1)&amp;"дн. "</f>
        <v>#VALUE!</v>
      </c>
      <c r="Q60" s="1208"/>
      <c r="R60" s="1208"/>
      <c r="S60" s="1208"/>
      <c r="T60" s="1201"/>
      <c r="U60" s="1208"/>
      <c r="V60" s="1208"/>
      <c r="W60" s="1208"/>
      <c r="X60" s="1201"/>
      <c r="Y60" s="1245" t="s">
        <v>59</v>
      </c>
      <c r="Z60" s="898"/>
      <c r="AA60" s="39">
        <v>1</v>
      </c>
      <c r="AB60" s="740"/>
      <c r="AD60" s="65" t="s">
        <v>400</v>
      </c>
    </row>
    <row r="61" spans="1:30" s="9" customFormat="1" ht="10.5" customHeight="1">
      <c r="A61" s="314"/>
      <c r="B61" s="314"/>
      <c r="C61" s="314"/>
      <c r="D61" s="60"/>
      <c r="E61" s="563"/>
      <c r="F61" s="1195"/>
      <c r="G61" s="1196"/>
      <c r="H61" s="1198"/>
      <c r="I61" s="1200"/>
      <c r="J61" s="1202"/>
      <c r="K61" s="1203"/>
      <c r="L61" s="1206"/>
      <c r="M61" s="1206"/>
      <c r="N61" s="1247"/>
      <c r="O61" s="1247"/>
      <c r="P61" s="1248"/>
      <c r="Q61" s="1208"/>
      <c r="R61" s="1208"/>
      <c r="S61" s="1208"/>
      <c r="T61" s="1202"/>
      <c r="U61" s="1208"/>
      <c r="V61" s="1208"/>
      <c r="W61" s="1208"/>
      <c r="X61" s="1202"/>
      <c r="Y61" s="1246"/>
      <c r="Z61" s="38"/>
      <c r="AA61" s="345"/>
      <c r="AB61" s="363" t="s">
        <v>401</v>
      </c>
    </row>
    <row r="63" spans="1:30" s="1021" customFormat="1" ht="11.25" customHeight="1">
      <c r="A63" s="1021" t="s">
        <v>402</v>
      </c>
    </row>
    <row r="65" spans="1:58" s="9" customFormat="1" ht="27" customHeight="1">
      <c r="A65" s="314"/>
      <c r="B65" s="314"/>
      <c r="C65" s="314"/>
      <c r="D65" s="60"/>
      <c r="E65" s="1024"/>
      <c r="F65" s="1017"/>
      <c r="G65" s="991"/>
      <c r="H65" s="992"/>
      <c r="I65" s="993"/>
      <c r="J65" s="994"/>
      <c r="K65" s="995"/>
      <c r="L65" s="996"/>
      <c r="M65" s="996"/>
      <c r="N65" s="997"/>
      <c r="O65" s="997"/>
      <c r="P65" s="998"/>
      <c r="Q65" s="999"/>
      <c r="R65" s="999"/>
      <c r="S65" s="999"/>
      <c r="T65" s="994"/>
      <c r="U65" s="999"/>
      <c r="V65" s="999"/>
      <c r="W65" s="999"/>
      <c r="X65" s="994"/>
      <c r="Y65" s="992"/>
      <c r="Z65" s="898"/>
      <c r="AA65" s="39">
        <v>1</v>
      </c>
      <c r="AB65" s="740"/>
      <c r="AD65" s="65" t="s">
        <v>400</v>
      </c>
    </row>
    <row r="67" spans="1:58" s="1021" customFormat="1" ht="11.25" customHeight="1">
      <c r="A67" s="1021" t="s">
        <v>403</v>
      </c>
    </row>
    <row r="68" spans="1:58" ht="17.25" customHeight="1"/>
    <row r="69" spans="1:58" s="9" customFormat="1" ht="21" customHeight="1">
      <c r="A69" s="324"/>
      <c r="B69" s="314"/>
      <c r="C69" s="314"/>
      <c r="D69" s="60"/>
      <c r="E69" s="8"/>
      <c r="F69" s="684" t="e">
        <f>INDEX(IP_MAIN_LIST_NAME_IP,MATCH(A69,IP_MAIN_LIST_IP_ID,0))&amp;" ("&amp;INDEX(IP_MAIN_START_DATE,MATCH(A69,IP_MAIN_LIST_IP_ID,0))&amp;"-"&amp;INDEX(IP_MAIN_END_DATE,MATCH(A69,IP_MAIN_LIST_IP_ID,0))&amp;")"</f>
        <v>#N/A</v>
      </c>
      <c r="G69" s="685"/>
      <c r="H69" s="685"/>
      <c r="I69" s="703"/>
      <c r="J69" s="703"/>
      <c r="K69" s="704"/>
      <c r="L69" s="704"/>
      <c r="M69" s="704"/>
      <c r="N69" s="705"/>
      <c r="O69" s="705"/>
      <c r="P69" s="705"/>
      <c r="Q69" s="705"/>
      <c r="R69" s="705"/>
      <c r="S69" s="705"/>
      <c r="T69" s="705"/>
      <c r="U69" s="705"/>
      <c r="V69" s="705"/>
      <c r="W69" s="705"/>
      <c r="X69" s="705"/>
      <c r="Y69" s="705"/>
      <c r="Z69" s="705"/>
      <c r="AA69" s="705"/>
      <c r="AB69" s="705"/>
      <c r="AC69" s="705"/>
      <c r="AD69" s="705"/>
      <c r="AE69" s="706"/>
      <c r="AF69" s="704"/>
      <c r="AG69" s="704"/>
      <c r="AH69" s="704"/>
      <c r="AI69" s="704"/>
      <c r="AJ69" s="704"/>
      <c r="AK69" s="704"/>
      <c r="AL69" s="545"/>
      <c r="AM69" s="2"/>
      <c r="AN69" s="2"/>
      <c r="AO69" s="2"/>
      <c r="AP69" s="2"/>
      <c r="AQ69" s="2"/>
      <c r="AR69" s="2"/>
      <c r="AS69" s="2"/>
      <c r="AT69" s="2"/>
      <c r="AU69" s="2"/>
      <c r="AV69" s="2"/>
      <c r="AW69" s="2"/>
      <c r="AX69" s="2"/>
      <c r="AY69" s="2"/>
      <c r="AZ69" s="2"/>
      <c r="BA69" s="2"/>
      <c r="BB69" s="2"/>
      <c r="BC69" s="2"/>
      <c r="BD69" s="2"/>
      <c r="BE69" s="2"/>
      <c r="BF69" s="2"/>
    </row>
    <row r="70" spans="1:58" s="9" customFormat="1" ht="11.25" customHeight="1">
      <c r="A70" s="314"/>
      <c r="B70" s="314"/>
      <c r="C70" s="314"/>
      <c r="D70" s="60"/>
      <c r="E70" s="8"/>
      <c r="F70" s="1251"/>
      <c r="G70" s="1207"/>
      <c r="H70" s="1207" t="s">
        <v>110</v>
      </c>
      <c r="I70" s="1255"/>
      <c r="J70" s="1256"/>
      <c r="K70" s="1257"/>
      <c r="L70" s="1249" t="s">
        <v>57</v>
      </c>
      <c r="M70" s="1094"/>
      <c r="N70" s="696"/>
      <c r="O70" s="695" t="s">
        <v>366</v>
      </c>
      <c r="P70" s="696"/>
      <c r="Q70" s="696"/>
      <c r="R70" s="696"/>
      <c r="S70" s="696"/>
      <c r="T70" s="696"/>
      <c r="U70" s="696"/>
      <c r="V70" s="696"/>
      <c r="W70" s="696"/>
      <c r="X70" s="696"/>
      <c r="Y70" s="696"/>
      <c r="Z70" s="696"/>
      <c r="AA70" s="696"/>
      <c r="AB70" s="696"/>
      <c r="AC70" s="696"/>
      <c r="AD70" s="696"/>
      <c r="AE70" s="696"/>
      <c r="AF70" s="1253"/>
      <c r="AG70" s="1249"/>
      <c r="AH70" s="1249"/>
      <c r="AI70" s="1253"/>
      <c r="AJ70" s="1249"/>
      <c r="AK70" s="1249"/>
      <c r="AM70" s="2"/>
      <c r="AN70" s="2"/>
      <c r="AO70" s="2"/>
      <c r="AP70" s="2"/>
      <c r="AQ70" s="2"/>
      <c r="AR70" s="2"/>
      <c r="AS70" s="2"/>
      <c r="AT70" s="2"/>
      <c r="AU70" s="2"/>
      <c r="AV70" s="2"/>
      <c r="AW70" s="2"/>
      <c r="AX70" s="2"/>
      <c r="AY70" s="2"/>
      <c r="AZ70" s="2"/>
      <c r="BA70" s="2"/>
      <c r="BB70" s="2"/>
      <c r="BC70" s="2"/>
      <c r="BD70" s="2"/>
      <c r="BE70" s="2"/>
      <c r="BF70" s="2"/>
    </row>
    <row r="71" spans="1:58" s="9" customFormat="1" ht="11.25" customHeight="1">
      <c r="A71" s="314"/>
      <c r="B71" s="314"/>
      <c r="C71" s="314"/>
      <c r="D71" s="60"/>
      <c r="E71" s="8"/>
      <c r="F71" s="1251"/>
      <c r="G71" s="1207"/>
      <c r="H71" s="1207"/>
      <c r="I71" s="1255"/>
      <c r="J71" s="1256"/>
      <c r="K71" s="1257"/>
      <c r="L71" s="1249"/>
      <c r="M71" s="1094"/>
      <c r="N71" s="1258"/>
      <c r="O71" s="1224">
        <v>1</v>
      </c>
      <c r="P71" s="1219" t="s">
        <v>57</v>
      </c>
      <c r="Q71" s="1222" t="s">
        <v>18</v>
      </c>
      <c r="R71" s="1222" t="s">
        <v>18</v>
      </c>
      <c r="S71" s="1222" t="s">
        <v>18</v>
      </c>
      <c r="T71" s="1222" t="s">
        <v>18</v>
      </c>
      <c r="U71" s="1222" t="s">
        <v>18</v>
      </c>
      <c r="V71" s="1222" t="s">
        <v>18</v>
      </c>
      <c r="W71" s="1222" t="s">
        <v>18</v>
      </c>
      <c r="X71" s="1222" t="s">
        <v>18</v>
      </c>
      <c r="Y71" s="1222"/>
      <c r="Z71" s="693"/>
      <c r="AA71" s="694"/>
      <c r="AB71" s="694"/>
      <c r="AC71" s="698"/>
      <c r="AD71" s="698"/>
      <c r="AE71" s="699"/>
      <c r="AF71" s="1253"/>
      <c r="AG71" s="1249"/>
      <c r="AH71" s="1249"/>
      <c r="AI71" s="1253"/>
      <c r="AJ71" s="1249"/>
      <c r="AK71" s="1249"/>
      <c r="AM71" s="2"/>
      <c r="AN71" s="2"/>
      <c r="AO71" s="2"/>
      <c r="AP71" s="2"/>
      <c r="AQ71" s="2"/>
      <c r="AR71" s="2"/>
      <c r="AS71" s="2"/>
      <c r="AT71" s="2"/>
      <c r="AU71" s="2"/>
      <c r="AV71" s="2"/>
      <c r="AW71" s="2"/>
      <c r="AX71" s="2"/>
      <c r="AY71" s="2"/>
      <c r="AZ71" s="2"/>
      <c r="BA71" s="2"/>
      <c r="BB71" s="2"/>
      <c r="BC71" s="2"/>
      <c r="BD71" s="2"/>
      <c r="BE71" s="2"/>
      <c r="BF71" s="2"/>
    </row>
    <row r="72" spans="1:58" s="9" customFormat="1" ht="11.25" customHeight="1">
      <c r="A72" s="314"/>
      <c r="B72" s="314"/>
      <c r="C72" s="314"/>
      <c r="D72" s="60"/>
      <c r="E72" s="8"/>
      <c r="F72" s="1251"/>
      <c r="G72" s="1207"/>
      <c r="H72" s="1207"/>
      <c r="I72" s="1255"/>
      <c r="J72" s="1256"/>
      <c r="K72" s="1257"/>
      <c r="L72" s="1249"/>
      <c r="M72" s="1094"/>
      <c r="N72" s="1258"/>
      <c r="O72" s="1224"/>
      <c r="P72" s="1220"/>
      <c r="Q72" s="1222"/>
      <c r="R72" s="1222"/>
      <c r="S72" s="1254"/>
      <c r="T72" s="1222"/>
      <c r="U72" s="1222"/>
      <c r="V72" s="1222"/>
      <c r="W72" s="1222"/>
      <c r="X72" s="1222"/>
      <c r="Y72" s="1222"/>
      <c r="Z72" s="1025"/>
      <c r="AA72" s="1016">
        <v>1</v>
      </c>
      <c r="AB72" s="697"/>
      <c r="AC72" s="390"/>
      <c r="AD72" s="697">
        <f>AB72</f>
        <v>0</v>
      </c>
      <c r="AE72" s="390"/>
      <c r="AF72" s="1253"/>
      <c r="AG72" s="1249"/>
      <c r="AH72" s="1249"/>
      <c r="AI72" s="1253"/>
      <c r="AJ72" s="1249"/>
      <c r="AK72" s="1249"/>
      <c r="AM72" s="2"/>
      <c r="AN72" s="2"/>
      <c r="AO72" s="2"/>
      <c r="AP72" s="2"/>
      <c r="AQ72" s="2"/>
      <c r="AR72" s="2"/>
      <c r="AS72" s="2"/>
      <c r="AT72" s="2"/>
      <c r="AU72" s="2"/>
      <c r="AV72" s="2"/>
      <c r="AW72" s="2"/>
      <c r="AX72" s="2"/>
      <c r="AY72" s="2"/>
      <c r="AZ72" s="2"/>
      <c r="BA72" s="2"/>
      <c r="BB72" s="2"/>
      <c r="BC72" s="2"/>
      <c r="BD72" s="2"/>
      <c r="BE72" s="2"/>
      <c r="BF72" s="2"/>
    </row>
    <row r="73" spans="1:58" s="9" customFormat="1" ht="11.25" customHeight="1">
      <c r="A73" s="314"/>
      <c r="B73" s="314"/>
      <c r="C73" s="314"/>
      <c r="D73" s="60"/>
      <c r="E73" s="8"/>
      <c r="F73" s="1251"/>
      <c r="G73" s="1207"/>
      <c r="H73" s="1207"/>
      <c r="I73" s="1255"/>
      <c r="J73" s="1256"/>
      <c r="K73" s="1257"/>
      <c r="L73" s="1249"/>
      <c r="M73" s="1094"/>
      <c r="N73" s="1258"/>
      <c r="O73" s="1224"/>
      <c r="P73" s="1221"/>
      <c r="Q73" s="1222"/>
      <c r="R73" s="1222"/>
      <c r="S73" s="1254"/>
      <c r="T73" s="1222"/>
      <c r="U73" s="1222"/>
      <c r="V73" s="1222"/>
      <c r="W73" s="1222"/>
      <c r="X73" s="1222"/>
      <c r="Y73" s="1222"/>
      <c r="Z73" s="693"/>
      <c r="AA73" s="694"/>
      <c r="AB73" s="107" t="s">
        <v>404</v>
      </c>
      <c r="AC73" s="698"/>
      <c r="AD73" s="698"/>
      <c r="AE73" s="700"/>
      <c r="AF73" s="1253"/>
      <c r="AG73" s="1249"/>
      <c r="AH73" s="1249"/>
      <c r="AI73" s="1253"/>
      <c r="AJ73" s="1249"/>
      <c r="AK73" s="1249"/>
      <c r="AM73" s="2"/>
      <c r="AN73" s="2"/>
      <c r="AO73" s="2"/>
      <c r="AP73" s="2"/>
      <c r="AQ73" s="2"/>
      <c r="AR73" s="2"/>
      <c r="AS73" s="2"/>
      <c r="AT73" s="2"/>
      <c r="AU73" s="2"/>
      <c r="AV73" s="2"/>
      <c r="AW73" s="2"/>
      <c r="AX73" s="2"/>
      <c r="AY73" s="2"/>
      <c r="AZ73" s="2"/>
      <c r="BA73" s="2"/>
      <c r="BB73" s="2"/>
      <c r="BC73" s="2"/>
      <c r="BD73" s="2"/>
      <c r="BE73" s="2"/>
      <c r="BF73" s="2"/>
    </row>
    <row r="74" spans="1:58" s="9" customFormat="1" ht="11.25" customHeight="1">
      <c r="A74" s="314"/>
      <c r="B74" s="314"/>
      <c r="C74" s="314"/>
      <c r="D74" s="60"/>
      <c r="E74" s="8"/>
      <c r="F74" s="1251"/>
      <c r="G74" s="1207"/>
      <c r="H74" s="1207"/>
      <c r="I74" s="1255"/>
      <c r="J74" s="1256"/>
      <c r="K74" s="1257"/>
      <c r="L74" s="1249"/>
      <c r="M74" s="1094"/>
      <c r="N74" s="694"/>
      <c r="O74" s="694"/>
      <c r="P74" s="107" t="s">
        <v>405</v>
      </c>
      <c r="Q74" s="694"/>
      <c r="R74" s="694"/>
      <c r="S74" s="694"/>
      <c r="T74" s="694"/>
      <c r="U74" s="694"/>
      <c r="V74" s="694"/>
      <c r="W74" s="694"/>
      <c r="X74" s="694"/>
      <c r="Y74" s="694"/>
      <c r="Z74" s="694"/>
      <c r="AA74" s="694"/>
      <c r="AB74" s="694"/>
      <c r="AC74" s="694"/>
      <c r="AD74" s="694"/>
      <c r="AE74" s="701"/>
      <c r="AF74" s="1253"/>
      <c r="AG74" s="1249"/>
      <c r="AH74" s="1249"/>
      <c r="AI74" s="1253"/>
      <c r="AJ74" s="1249"/>
      <c r="AK74" s="1249"/>
      <c r="AM74" s="2"/>
      <c r="AN74" s="2"/>
      <c r="AO74" s="2"/>
      <c r="AP74" s="2"/>
      <c r="AQ74" s="2"/>
      <c r="AR74" s="2"/>
      <c r="AS74" s="2"/>
      <c r="AT74" s="2"/>
      <c r="AU74" s="2"/>
      <c r="AV74" s="2"/>
      <c r="AW74" s="2"/>
      <c r="AX74" s="2"/>
      <c r="AY74" s="2"/>
      <c r="AZ74" s="2"/>
      <c r="BA74" s="2"/>
      <c r="BB74" s="2"/>
      <c r="BC74" s="2"/>
      <c r="BD74" s="2"/>
      <c r="BE74" s="2"/>
      <c r="BF74" s="2"/>
    </row>
    <row r="75" spans="1:58" s="9" customFormat="1" ht="12" customHeight="1">
      <c r="A75" s="314"/>
      <c r="B75" s="314"/>
      <c r="C75" s="314"/>
      <c r="D75" s="60"/>
      <c r="E75" s="8"/>
      <c r="F75" s="1252"/>
      <c r="G75" s="707"/>
      <c r="H75" s="707"/>
      <c r="I75" s="1250" t="s">
        <v>406</v>
      </c>
      <c r="J75" s="1250"/>
      <c r="K75" s="1250"/>
      <c r="L75" s="691"/>
      <c r="M75" s="691"/>
      <c r="N75" s="692"/>
      <c r="O75" s="692"/>
      <c r="P75" s="692"/>
      <c r="Q75" s="692"/>
      <c r="R75" s="692"/>
      <c r="S75" s="692"/>
      <c r="T75" s="692"/>
      <c r="U75" s="692"/>
      <c r="V75" s="692"/>
      <c r="W75" s="692"/>
      <c r="X75" s="692"/>
      <c r="Y75" s="692"/>
      <c r="Z75" s="692"/>
      <c r="AA75" s="692"/>
      <c r="AB75" s="692"/>
      <c r="AC75" s="692"/>
      <c r="AD75" s="692"/>
      <c r="AE75" s="692"/>
      <c r="AF75" s="692"/>
      <c r="AG75" s="691"/>
      <c r="AH75" s="691"/>
      <c r="AI75" s="692"/>
      <c r="AJ75" s="691"/>
      <c r="AK75" s="702"/>
      <c r="AM75" s="2"/>
      <c r="AN75" s="2"/>
      <c r="AO75" s="2"/>
      <c r="AP75" s="2"/>
      <c r="AQ75" s="2"/>
      <c r="AR75" s="2"/>
      <c r="AS75" s="2"/>
      <c r="AT75" s="2"/>
      <c r="AU75" s="2"/>
      <c r="AV75" s="2"/>
      <c r="AW75" s="2"/>
      <c r="AX75" s="2"/>
      <c r="AY75" s="2"/>
      <c r="AZ75" s="2"/>
      <c r="BA75" s="2"/>
      <c r="BB75" s="2"/>
      <c r="BC75" s="2"/>
      <c r="BD75" s="2"/>
      <c r="BE75" s="2"/>
      <c r="BF75" s="2"/>
    </row>
    <row r="77" spans="1:58" s="1021" customFormat="1" ht="11.25" customHeight="1">
      <c r="A77" s="1021" t="s">
        <v>407</v>
      </c>
    </row>
    <row r="79" spans="1:58" s="9" customFormat="1" ht="11.25" customHeight="1">
      <c r="A79" s="314"/>
      <c r="B79" s="314"/>
      <c r="C79" s="314"/>
      <c r="D79" s="60"/>
      <c r="E79" s="8"/>
      <c r="F79" s="1026"/>
      <c r="G79" s="1027"/>
      <c r="H79" s="1027"/>
      <c r="I79" s="910"/>
      <c r="J79" s="910"/>
      <c r="K79" s="1028"/>
      <c r="L79" s="910"/>
      <c r="M79" s="1027"/>
      <c r="N79" s="1223"/>
      <c r="O79" s="1224">
        <v>1</v>
      </c>
      <c r="P79" s="1219" t="s">
        <v>57</v>
      </c>
      <c r="Q79" s="1222" t="s">
        <v>18</v>
      </c>
      <c r="R79" s="1222" t="s">
        <v>18</v>
      </c>
      <c r="S79" s="1222" t="s">
        <v>18</v>
      </c>
      <c r="T79" s="1222" t="s">
        <v>18</v>
      </c>
      <c r="U79" s="1222" t="s">
        <v>18</v>
      </c>
      <c r="V79" s="1222" t="s">
        <v>18</v>
      </c>
      <c r="W79" s="1222" t="s">
        <v>18</v>
      </c>
      <c r="X79" s="1222" t="s">
        <v>18</v>
      </c>
      <c r="Y79" s="1222"/>
      <c r="Z79" s="693"/>
      <c r="AA79" s="694"/>
      <c r="AB79" s="694"/>
      <c r="AC79" s="698"/>
      <c r="AD79" s="698"/>
      <c r="AE79" s="698"/>
      <c r="AF79" s="1029"/>
      <c r="AG79" s="1002"/>
      <c r="AH79" s="1002"/>
      <c r="AI79" s="1029"/>
      <c r="AJ79" s="1002"/>
      <c r="AK79" s="1002"/>
      <c r="AM79" s="2"/>
      <c r="AN79" s="2"/>
      <c r="AO79" s="2"/>
      <c r="AP79" s="2"/>
      <c r="AQ79" s="2"/>
      <c r="AR79" s="2"/>
      <c r="AS79" s="2"/>
      <c r="AT79" s="2"/>
      <c r="AU79" s="2"/>
      <c r="AV79" s="2"/>
      <c r="AW79" s="2"/>
      <c r="AX79" s="2"/>
      <c r="AY79" s="2"/>
      <c r="AZ79" s="2"/>
      <c r="BA79" s="2"/>
      <c r="BB79" s="2"/>
      <c r="BC79" s="2"/>
      <c r="BD79" s="2"/>
      <c r="BE79" s="2"/>
      <c r="BF79" s="2"/>
    </row>
    <row r="80" spans="1:58" s="9" customFormat="1" ht="11.25" customHeight="1">
      <c r="A80" s="314"/>
      <c r="B80" s="314"/>
      <c r="C80" s="314"/>
      <c r="D80" s="60"/>
      <c r="E80" s="8"/>
      <c r="F80" s="1026"/>
      <c r="G80" s="1027"/>
      <c r="H80" s="1027"/>
      <c r="I80" s="1006"/>
      <c r="J80" s="1006"/>
      <c r="K80" s="1028"/>
      <c r="L80" s="1006"/>
      <c r="M80" s="1027"/>
      <c r="N80" s="1223"/>
      <c r="O80" s="1224"/>
      <c r="P80" s="1220"/>
      <c r="Q80" s="1222"/>
      <c r="R80" s="1222"/>
      <c r="S80" s="1254"/>
      <c r="T80" s="1222"/>
      <c r="U80" s="1222"/>
      <c r="V80" s="1222"/>
      <c r="W80" s="1222"/>
      <c r="X80" s="1222"/>
      <c r="Y80" s="1222"/>
      <c r="Z80" s="1025"/>
      <c r="AA80" s="1016">
        <v>1</v>
      </c>
      <c r="AB80" s="697"/>
      <c r="AC80" s="390"/>
      <c r="AD80" s="697">
        <f>AB80</f>
        <v>0</v>
      </c>
      <c r="AE80" s="430"/>
      <c r="AF80" s="1028"/>
      <c r="AG80" s="1002"/>
      <c r="AH80" s="1002"/>
      <c r="AI80" s="1028"/>
      <c r="AJ80" s="1002"/>
      <c r="AK80" s="1002"/>
      <c r="AM80" s="2"/>
      <c r="AN80" s="2"/>
      <c r="AO80" s="2"/>
      <c r="AP80" s="2"/>
      <c r="AQ80" s="2"/>
      <c r="AR80" s="2"/>
      <c r="AS80" s="2"/>
      <c r="AT80" s="2"/>
      <c r="AU80" s="2"/>
      <c r="AV80" s="2"/>
      <c r="AW80" s="2"/>
      <c r="AX80" s="2"/>
      <c r="AY80" s="2"/>
      <c r="AZ80" s="2"/>
      <c r="BA80" s="2"/>
      <c r="BB80" s="2"/>
      <c r="BC80" s="2"/>
      <c r="BD80" s="2"/>
      <c r="BE80" s="2"/>
      <c r="BF80" s="2"/>
    </row>
    <row r="81" spans="1:58" s="9" customFormat="1" ht="11.25" customHeight="1">
      <c r="A81" s="314"/>
      <c r="B81" s="314"/>
      <c r="C81" s="314"/>
      <c r="D81" s="60"/>
      <c r="E81" s="8"/>
      <c r="F81" s="1026"/>
      <c r="G81" s="1027"/>
      <c r="H81" s="1027"/>
      <c r="I81" s="1007"/>
      <c r="J81" s="1007"/>
      <c r="K81" s="1028"/>
      <c r="L81" s="1007"/>
      <c r="M81" s="1027"/>
      <c r="N81" s="1223"/>
      <c r="O81" s="1224"/>
      <c r="P81" s="1221"/>
      <c r="Q81" s="1222"/>
      <c r="R81" s="1222"/>
      <c r="S81" s="1254"/>
      <c r="T81" s="1222"/>
      <c r="U81" s="1222"/>
      <c r="V81" s="1222"/>
      <c r="W81" s="1222"/>
      <c r="X81" s="1222"/>
      <c r="Y81" s="1222"/>
      <c r="Z81" s="693"/>
      <c r="AA81" s="694"/>
      <c r="AB81" s="107" t="s">
        <v>404</v>
      </c>
      <c r="AC81" s="698"/>
      <c r="AD81" s="698"/>
      <c r="AE81" s="698"/>
      <c r="AF81" s="1030"/>
      <c r="AG81" s="1002"/>
      <c r="AH81" s="1002"/>
      <c r="AI81" s="1030"/>
      <c r="AJ81" s="1002"/>
      <c r="AK81" s="1002"/>
      <c r="AM81" s="2"/>
      <c r="AN81" s="2"/>
      <c r="AO81" s="2"/>
      <c r="AP81" s="2"/>
      <c r="AQ81" s="2"/>
      <c r="AR81" s="2"/>
      <c r="AS81" s="2"/>
      <c r="AT81" s="2"/>
      <c r="AU81" s="2"/>
      <c r="AV81" s="2"/>
      <c r="AW81" s="2"/>
      <c r="AX81" s="2"/>
      <c r="AY81" s="2"/>
      <c r="AZ81" s="2"/>
      <c r="BA81" s="2"/>
      <c r="BB81" s="2"/>
      <c r="BC81" s="2"/>
      <c r="BD81" s="2"/>
      <c r="BE81" s="2"/>
      <c r="BF81" s="2"/>
    </row>
    <row r="83" spans="1:58" s="1021" customFormat="1" ht="11.25" customHeight="1">
      <c r="A83" s="1021" t="s">
        <v>408</v>
      </c>
    </row>
    <row r="85" spans="1:58" s="9" customFormat="1" ht="11.25" customHeight="1">
      <c r="A85" s="314"/>
      <c r="B85" s="314"/>
      <c r="C85" s="314"/>
      <c r="D85" s="60"/>
      <c r="E85" s="8"/>
      <c r="F85" s="1027"/>
      <c r="G85" s="1027"/>
      <c r="H85" s="1027"/>
      <c r="I85" s="1027"/>
      <c r="J85" s="1027"/>
      <c r="K85" s="1027"/>
      <c r="L85" s="1027"/>
      <c r="M85" s="1027"/>
      <c r="N85" s="1027"/>
      <c r="O85" s="1027"/>
      <c r="P85" s="1027"/>
      <c r="Q85" s="1027"/>
      <c r="R85" s="1027"/>
      <c r="S85" s="1027"/>
      <c r="T85" s="1027"/>
      <c r="U85" s="1027"/>
      <c r="V85" s="1027"/>
      <c r="W85" s="1027"/>
      <c r="X85" s="1027"/>
      <c r="Y85" s="1027"/>
      <c r="Z85" s="1031"/>
      <c r="AA85" s="1020">
        <v>1</v>
      </c>
      <c r="AB85" s="697"/>
      <c r="AC85" s="390"/>
      <c r="AD85" s="697">
        <f>AB85</f>
        <v>0</v>
      </c>
      <c r="AE85" s="390"/>
      <c r="AF85" s="1028"/>
      <c r="AG85" s="1002"/>
      <c r="AH85" s="1002"/>
      <c r="AI85" s="1028"/>
      <c r="AJ85" s="1002"/>
      <c r="AK85" s="1002"/>
      <c r="AM85" s="2"/>
      <c r="AN85" s="2"/>
      <c r="AO85" s="2"/>
      <c r="AP85" s="2"/>
      <c r="AQ85" s="2"/>
      <c r="AR85" s="2"/>
      <c r="AS85" s="2"/>
      <c r="AT85" s="2"/>
      <c r="AU85" s="2"/>
      <c r="AV85" s="2"/>
      <c r="AW85" s="2"/>
      <c r="AX85" s="2"/>
      <c r="AY85" s="2"/>
      <c r="AZ85" s="2"/>
      <c r="BA85" s="2"/>
      <c r="BB85" s="2"/>
      <c r="BC85" s="2"/>
      <c r="BD85" s="2"/>
      <c r="BE85" s="2"/>
      <c r="BF85" s="2"/>
    </row>
    <row r="87" spans="1:58" s="1021" customFormat="1" ht="11.25" customHeight="1">
      <c r="A87" s="1021" t="s">
        <v>409</v>
      </c>
    </row>
    <row r="89" spans="1:58" s="9" customFormat="1" ht="11.25" customHeight="1">
      <c r="A89" s="314"/>
      <c r="B89" s="314"/>
      <c r="C89" s="314"/>
      <c r="D89" s="60"/>
      <c r="E89" s="8"/>
      <c r="F89" s="1026"/>
      <c r="G89" s="1027"/>
      <c r="H89" s="1207" t="s">
        <v>110</v>
      </c>
      <c r="I89" s="1255"/>
      <c r="J89" s="1256"/>
      <c r="K89" s="1257"/>
      <c r="L89" s="1249" t="s">
        <v>57</v>
      </c>
      <c r="M89" s="1094"/>
      <c r="N89" s="696"/>
      <c r="O89" s="695" t="s">
        <v>366</v>
      </c>
      <c r="P89" s="696"/>
      <c r="Q89" s="696"/>
      <c r="R89" s="696"/>
      <c r="S89" s="696"/>
      <c r="T89" s="696"/>
      <c r="U89" s="696"/>
      <c r="V89" s="696"/>
      <c r="W89" s="696"/>
      <c r="X89" s="696"/>
      <c r="Y89" s="696"/>
      <c r="Z89" s="696"/>
      <c r="AA89" s="696"/>
      <c r="AB89" s="696"/>
      <c r="AC89" s="696"/>
      <c r="AD89" s="696"/>
      <c r="AE89" s="696"/>
      <c r="AF89" s="1253"/>
      <c r="AG89" s="1249"/>
      <c r="AH89" s="1249"/>
      <c r="AI89" s="1253"/>
      <c r="AJ89" s="1249"/>
      <c r="AK89" s="1249"/>
      <c r="AM89" s="2"/>
      <c r="AN89" s="2"/>
      <c r="AO89" s="2"/>
      <c r="AP89" s="2"/>
      <c r="AQ89" s="2"/>
      <c r="AR89" s="2"/>
      <c r="AS89" s="2"/>
      <c r="AT89" s="2"/>
      <c r="AU89" s="2"/>
      <c r="AV89" s="2"/>
      <c r="AW89" s="2"/>
      <c r="AX89" s="2"/>
      <c r="AY89" s="2"/>
      <c r="AZ89" s="2"/>
      <c r="BA89" s="2"/>
      <c r="BB89" s="2"/>
      <c r="BC89" s="2"/>
      <c r="BD89" s="2"/>
      <c r="BE89" s="2"/>
      <c r="BF89" s="2"/>
    </row>
    <row r="90" spans="1:58" s="9" customFormat="1" ht="11.25" customHeight="1">
      <c r="A90" s="314"/>
      <c r="B90" s="314"/>
      <c r="C90" s="314"/>
      <c r="D90" s="60"/>
      <c r="E90" s="8"/>
      <c r="F90" s="1026"/>
      <c r="G90" s="1027"/>
      <c r="H90" s="1207"/>
      <c r="I90" s="1255"/>
      <c r="J90" s="1256"/>
      <c r="K90" s="1257"/>
      <c r="L90" s="1249"/>
      <c r="M90" s="1094"/>
      <c r="N90" s="1258"/>
      <c r="O90" s="1224">
        <v>1</v>
      </c>
      <c r="P90" s="1219" t="s">
        <v>57</v>
      </c>
      <c r="Q90" s="1222" t="s">
        <v>18</v>
      </c>
      <c r="R90" s="1222" t="s">
        <v>18</v>
      </c>
      <c r="S90" s="1222" t="s">
        <v>18</v>
      </c>
      <c r="T90" s="1222" t="s">
        <v>18</v>
      </c>
      <c r="U90" s="1222" t="s">
        <v>18</v>
      </c>
      <c r="V90" s="1222" t="s">
        <v>18</v>
      </c>
      <c r="W90" s="1222" t="s">
        <v>18</v>
      </c>
      <c r="X90" s="1222" t="s">
        <v>18</v>
      </c>
      <c r="Y90" s="1222"/>
      <c r="Z90" s="693"/>
      <c r="AA90" s="694"/>
      <c r="AB90" s="694"/>
      <c r="AC90" s="698"/>
      <c r="AD90" s="698"/>
      <c r="AE90" s="699"/>
      <c r="AF90" s="1253"/>
      <c r="AG90" s="1249"/>
      <c r="AH90" s="1249"/>
      <c r="AI90" s="1253"/>
      <c r="AJ90" s="1249"/>
      <c r="AK90" s="1249"/>
      <c r="AM90" s="2"/>
      <c r="AN90" s="2"/>
      <c r="AO90" s="2"/>
      <c r="AP90" s="2"/>
      <c r="AQ90" s="2"/>
      <c r="AR90" s="2"/>
      <c r="AS90" s="2"/>
      <c r="AT90" s="2"/>
      <c r="AU90" s="2"/>
      <c r="AV90" s="2"/>
      <c r="AW90" s="2"/>
      <c r="AX90" s="2"/>
      <c r="AY90" s="2"/>
      <c r="AZ90" s="2"/>
      <c r="BA90" s="2"/>
      <c r="BB90" s="2"/>
      <c r="BC90" s="2"/>
      <c r="BD90" s="2"/>
      <c r="BE90" s="2"/>
      <c r="BF90" s="2"/>
    </row>
    <row r="91" spans="1:58" s="9" customFormat="1" ht="11.25" customHeight="1">
      <c r="A91" s="314"/>
      <c r="B91" s="314"/>
      <c r="C91" s="314"/>
      <c r="D91" s="60"/>
      <c r="E91" s="8"/>
      <c r="F91" s="1026"/>
      <c r="G91" s="1027"/>
      <c r="H91" s="1207"/>
      <c r="I91" s="1255"/>
      <c r="J91" s="1256"/>
      <c r="K91" s="1257"/>
      <c r="L91" s="1249"/>
      <c r="M91" s="1094"/>
      <c r="N91" s="1258"/>
      <c r="O91" s="1224"/>
      <c r="P91" s="1220"/>
      <c r="Q91" s="1222"/>
      <c r="R91" s="1222"/>
      <c r="S91" s="1254"/>
      <c r="T91" s="1222"/>
      <c r="U91" s="1222"/>
      <c r="V91" s="1222"/>
      <c r="W91" s="1222"/>
      <c r="X91" s="1222"/>
      <c r="Y91" s="1222"/>
      <c r="Z91" s="1025"/>
      <c r="AA91" s="1016">
        <v>1</v>
      </c>
      <c r="AB91" s="697"/>
      <c r="AC91" s="390"/>
      <c r="AD91" s="697">
        <f>AB91</f>
        <v>0</v>
      </c>
      <c r="AE91" s="390"/>
      <c r="AF91" s="1253"/>
      <c r="AG91" s="1249"/>
      <c r="AH91" s="1249"/>
      <c r="AI91" s="1253"/>
      <c r="AJ91" s="1249"/>
      <c r="AK91" s="1249"/>
      <c r="AM91" s="2"/>
      <c r="AN91" s="2"/>
      <c r="AO91" s="2"/>
      <c r="AP91" s="2"/>
      <c r="AQ91" s="2"/>
      <c r="AR91" s="2"/>
      <c r="AS91" s="2"/>
      <c r="AT91" s="2"/>
      <c r="AU91" s="2"/>
      <c r="AV91" s="2"/>
      <c r="AW91" s="2"/>
      <c r="AX91" s="2"/>
      <c r="AY91" s="2"/>
      <c r="AZ91" s="2"/>
      <c r="BA91" s="2"/>
      <c r="BB91" s="2"/>
      <c r="BC91" s="2"/>
      <c r="BD91" s="2"/>
      <c r="BE91" s="2"/>
      <c r="BF91" s="2"/>
    </row>
    <row r="92" spans="1:58" s="9" customFormat="1" ht="11.25" customHeight="1">
      <c r="A92" s="314"/>
      <c r="B92" s="314"/>
      <c r="C92" s="314"/>
      <c r="D92" s="60"/>
      <c r="E92" s="8"/>
      <c r="F92" s="1026"/>
      <c r="G92" s="1027"/>
      <c r="H92" s="1207"/>
      <c r="I92" s="1255"/>
      <c r="J92" s="1256"/>
      <c r="K92" s="1257"/>
      <c r="L92" s="1249"/>
      <c r="M92" s="1094"/>
      <c r="N92" s="1258"/>
      <c r="O92" s="1224"/>
      <c r="P92" s="1221"/>
      <c r="Q92" s="1222"/>
      <c r="R92" s="1222"/>
      <c r="S92" s="1254"/>
      <c r="T92" s="1222"/>
      <c r="U92" s="1222"/>
      <c r="V92" s="1222"/>
      <c r="W92" s="1222"/>
      <c r="X92" s="1222"/>
      <c r="Y92" s="1222"/>
      <c r="Z92" s="693"/>
      <c r="AA92" s="694"/>
      <c r="AB92" s="107" t="s">
        <v>404</v>
      </c>
      <c r="AC92" s="698"/>
      <c r="AD92" s="698"/>
      <c r="AE92" s="700"/>
      <c r="AF92" s="1253"/>
      <c r="AG92" s="1249"/>
      <c r="AH92" s="1249"/>
      <c r="AI92" s="1253"/>
      <c r="AJ92" s="1249"/>
      <c r="AK92" s="1249"/>
      <c r="AM92" s="2"/>
      <c r="AN92" s="2"/>
      <c r="AO92" s="2"/>
      <c r="AP92" s="2"/>
      <c r="AQ92" s="2"/>
      <c r="AR92" s="2"/>
      <c r="AS92" s="2"/>
      <c r="AT92" s="2"/>
      <c r="AU92" s="2"/>
      <c r="AV92" s="2"/>
      <c r="AW92" s="2"/>
      <c r="AX92" s="2"/>
      <c r="AY92" s="2"/>
      <c r="AZ92" s="2"/>
      <c r="BA92" s="2"/>
      <c r="BB92" s="2"/>
      <c r="BC92" s="2"/>
      <c r="BD92" s="2"/>
      <c r="BE92" s="2"/>
      <c r="BF92" s="2"/>
    </row>
    <row r="93" spans="1:58" s="9" customFormat="1" ht="11.25" customHeight="1">
      <c r="A93" s="314"/>
      <c r="B93" s="314"/>
      <c r="C93" s="314"/>
      <c r="D93" s="60"/>
      <c r="E93" s="8"/>
      <c r="F93" s="1026"/>
      <c r="G93" s="1027"/>
      <c r="H93" s="1207"/>
      <c r="I93" s="1255"/>
      <c r="J93" s="1256"/>
      <c r="K93" s="1257"/>
      <c r="L93" s="1249"/>
      <c r="M93" s="1094"/>
      <c r="N93" s="694"/>
      <c r="O93" s="694"/>
      <c r="P93" s="107" t="s">
        <v>405</v>
      </c>
      <c r="Q93" s="694"/>
      <c r="R93" s="694"/>
      <c r="S93" s="694"/>
      <c r="T93" s="694"/>
      <c r="U93" s="694"/>
      <c r="V93" s="694"/>
      <c r="W93" s="694"/>
      <c r="X93" s="694"/>
      <c r="Y93" s="694"/>
      <c r="Z93" s="694"/>
      <c r="AA93" s="694"/>
      <c r="AB93" s="694"/>
      <c r="AC93" s="694"/>
      <c r="AD93" s="694"/>
      <c r="AE93" s="701"/>
      <c r="AF93" s="1253"/>
      <c r="AG93" s="1249"/>
      <c r="AH93" s="1249"/>
      <c r="AI93" s="1253"/>
      <c r="AJ93" s="1249"/>
      <c r="AK93" s="1249"/>
      <c r="AM93" s="2"/>
      <c r="AN93" s="2"/>
      <c r="AO93" s="2"/>
      <c r="AP93" s="2"/>
      <c r="AQ93" s="2"/>
      <c r="AR93" s="2"/>
      <c r="AS93" s="2"/>
      <c r="AT93" s="2"/>
      <c r="AU93" s="2"/>
      <c r="AV93" s="2"/>
      <c r="AW93" s="2"/>
      <c r="AX93" s="2"/>
      <c r="AY93" s="2"/>
      <c r="AZ93" s="2"/>
      <c r="BA93" s="2"/>
      <c r="BB93" s="2"/>
      <c r="BC93" s="2"/>
      <c r="BD93" s="2"/>
      <c r="BE93" s="2"/>
      <c r="BF93" s="2"/>
    </row>
    <row r="95" spans="1:58" s="1021" customFormat="1" ht="11.25" customHeight="1">
      <c r="A95" s="1021" t="s">
        <v>410</v>
      </c>
    </row>
    <row r="96" spans="1:58" ht="17.25" customHeight="1"/>
    <row r="97" spans="1:184" s="551" customFormat="1" ht="21" customHeight="1">
      <c r="A97" s="324"/>
      <c r="B97" s="552"/>
      <c r="E97" s="559" t="s">
        <v>18</v>
      </c>
      <c r="F97" s="683" t="e">
        <f>INDEX(IP_MAIN_LIST_NAME_IP,MATCH(A97,IP_MAIN_LIST_IP_ID,0))&amp;" ("&amp;INDEX(IP_MAIN_START_DATE,MATCH(A97,IP_MAIN_LIST_IP_ID,0))&amp;"-"&amp;INDEX(IP_MAIN_END_DATE,MATCH(A97,IP_MAIN_LIST_IP_ID,0))&amp;")"</f>
        <v>#N/A</v>
      </c>
      <c r="G97" s="717"/>
      <c r="H97" s="718"/>
      <c r="I97" s="718"/>
      <c r="J97" s="718"/>
      <c r="K97" s="718"/>
      <c r="L97" s="718"/>
      <c r="M97" s="718"/>
      <c r="N97" s="718"/>
      <c r="O97" s="717"/>
      <c r="P97" s="717"/>
      <c r="Q97" s="717"/>
      <c r="R97" s="717"/>
      <c r="S97" s="717"/>
      <c r="T97" s="717"/>
      <c r="U97" s="719"/>
      <c r="V97" s="719"/>
      <c r="W97" s="719"/>
      <c r="X97" s="719"/>
      <c r="Y97" s="719"/>
      <c r="Z97" s="719"/>
      <c r="AA97" s="719"/>
      <c r="AB97" s="717"/>
      <c r="AC97" s="718"/>
      <c r="AD97" s="718"/>
      <c r="AE97" s="718"/>
      <c r="AF97" s="718"/>
      <c r="AG97" s="718"/>
      <c r="AH97" s="718"/>
      <c r="AI97" s="718"/>
      <c r="AJ97" s="718"/>
      <c r="AK97" s="718"/>
      <c r="AL97" s="718"/>
      <c r="AM97" s="718"/>
      <c r="AN97" s="718"/>
      <c r="AO97" s="718"/>
      <c r="AP97" s="718"/>
      <c r="AQ97" s="718"/>
      <c r="AR97" s="718"/>
      <c r="AS97" s="718"/>
      <c r="AT97" s="718"/>
      <c r="AU97" s="718"/>
      <c r="AV97" s="718"/>
      <c r="AW97" s="718"/>
      <c r="AX97" s="718"/>
      <c r="AY97" s="718"/>
      <c r="AZ97" s="718"/>
      <c r="BA97" s="718"/>
      <c r="BB97" s="718"/>
      <c r="BC97" s="718"/>
      <c r="BD97" s="718"/>
      <c r="BE97" s="718"/>
      <c r="BF97" s="718"/>
      <c r="BG97" s="718"/>
      <c r="BH97" s="718"/>
      <c r="BI97" s="718"/>
      <c r="BJ97" s="718"/>
      <c r="BK97" s="718"/>
      <c r="BL97" s="718"/>
      <c r="BM97" s="718"/>
      <c r="BN97" s="718"/>
      <c r="BO97" s="718"/>
      <c r="BP97" s="718"/>
      <c r="BQ97" s="718"/>
      <c r="BR97" s="718"/>
      <c r="BS97" s="718"/>
      <c r="BT97" s="718"/>
      <c r="BU97" s="718"/>
      <c r="BV97" s="718"/>
      <c r="BW97" s="718"/>
      <c r="BX97" s="718"/>
      <c r="BY97" s="718"/>
      <c r="BZ97" s="718"/>
      <c r="CA97" s="718"/>
      <c r="CB97" s="718"/>
      <c r="CC97" s="718"/>
      <c r="CD97" s="718"/>
      <c r="CE97" s="718"/>
      <c r="CF97" s="718"/>
      <c r="CG97" s="718"/>
      <c r="CH97" s="718"/>
      <c r="CI97" s="718"/>
      <c r="CJ97" s="718"/>
      <c r="CK97" s="718"/>
      <c r="CL97" s="720"/>
      <c r="CM97" s="720"/>
      <c r="CN97" s="720"/>
      <c r="CO97" s="720"/>
      <c r="CP97" s="720"/>
      <c r="CQ97" s="720"/>
      <c r="CR97" s="720"/>
      <c r="CS97" s="720"/>
      <c r="CT97" s="720"/>
      <c r="CU97" s="720"/>
      <c r="CV97" s="720"/>
      <c r="CW97" s="720"/>
      <c r="CX97" s="720"/>
      <c r="CY97" s="720"/>
      <c r="CZ97" s="720"/>
      <c r="DA97" s="720"/>
      <c r="DB97" s="720"/>
      <c r="DC97" s="720"/>
      <c r="DD97" s="720"/>
      <c r="DE97" s="720"/>
      <c r="DF97" s="720"/>
      <c r="DG97" s="720"/>
      <c r="DH97" s="720"/>
      <c r="DI97" s="720"/>
      <c r="DJ97" s="720"/>
      <c r="DK97" s="720"/>
      <c r="DL97" s="720"/>
      <c r="DM97" s="720"/>
      <c r="DN97" s="720"/>
      <c r="DO97" s="720"/>
      <c r="DP97" s="720"/>
      <c r="DQ97" s="720"/>
      <c r="DR97" s="720"/>
      <c r="DS97" s="720"/>
      <c r="DT97" s="720"/>
      <c r="DU97" s="720"/>
      <c r="DV97" s="720"/>
      <c r="DW97" s="720"/>
      <c r="DX97" s="720"/>
      <c r="DY97" s="720"/>
      <c r="DZ97" s="720"/>
      <c r="EA97" s="720"/>
      <c r="EB97" s="720"/>
      <c r="EC97" s="720"/>
      <c r="ED97" s="720"/>
      <c r="EE97" s="720"/>
      <c r="EF97" s="720"/>
      <c r="EG97" s="720"/>
      <c r="EH97" s="720"/>
      <c r="EI97" s="720"/>
      <c r="EJ97" s="720"/>
      <c r="EK97" s="720"/>
      <c r="EL97" s="720"/>
      <c r="EM97" s="720"/>
      <c r="EN97" s="720"/>
      <c r="EO97" s="720"/>
      <c r="EP97" s="720"/>
      <c r="EQ97" s="720"/>
      <c r="ER97" s="720"/>
      <c r="ES97" s="720"/>
      <c r="ET97" s="720"/>
      <c r="EU97" s="720"/>
      <c r="EV97" s="720"/>
      <c r="EW97" s="720"/>
      <c r="EX97" s="720"/>
      <c r="EY97" s="720"/>
      <c r="EZ97" s="720"/>
      <c r="FA97" s="720"/>
      <c r="FB97" s="720"/>
      <c r="FC97" s="720"/>
      <c r="FD97" s="720"/>
      <c r="FE97" s="720"/>
      <c r="FF97" s="720"/>
      <c r="FG97" s="720"/>
      <c r="FH97" s="720"/>
      <c r="FI97" s="720"/>
      <c r="FJ97" s="720"/>
      <c r="FK97" s="720"/>
      <c r="FL97" s="720"/>
      <c r="FM97" s="720"/>
      <c r="FN97" s="720"/>
      <c r="FO97" s="720"/>
      <c r="FP97" s="720"/>
      <c r="FQ97" s="720"/>
      <c r="FR97" s="720"/>
      <c r="FS97" s="720"/>
      <c r="FT97" s="720"/>
      <c r="FU97" s="720"/>
      <c r="FV97" s="721"/>
      <c r="FW97" s="716"/>
      <c r="FX97" s="220"/>
    </row>
    <row r="98" spans="1:184" s="551" customFormat="1" ht="24.75" customHeight="1">
      <c r="B98" s="552"/>
      <c r="E98"/>
      <c r="F98" s="42">
        <v>1</v>
      </c>
      <c r="G98" s="638"/>
      <c r="H98" s="208"/>
      <c r="I98" s="728"/>
      <c r="J98" s="722"/>
      <c r="K98" s="722"/>
      <c r="L98" s="722"/>
      <c r="M98" s="722"/>
      <c r="N98" s="722"/>
      <c r="O98" s="723"/>
      <c r="P98" s="723"/>
      <c r="Q98" s="723"/>
      <c r="R98" s="723"/>
      <c r="S98" s="723"/>
      <c r="T98" s="723"/>
      <c r="U98" s="723"/>
      <c r="V98" s="723"/>
      <c r="W98" s="723"/>
      <c r="X98" s="723"/>
      <c r="Y98" s="723"/>
      <c r="Z98" s="723"/>
      <c r="AA98" s="723"/>
      <c r="AB98" s="723"/>
      <c r="AC98" s="722"/>
      <c r="AD98" s="722"/>
      <c r="AE98" s="722"/>
      <c r="AF98" s="722"/>
      <c r="AG98" s="722"/>
      <c r="AH98" s="722"/>
      <c r="AI98" s="722"/>
      <c r="AJ98" s="722"/>
      <c r="AK98" s="722"/>
      <c r="AL98" s="722"/>
      <c r="AM98" s="722"/>
      <c r="AN98" s="722"/>
      <c r="AO98" s="722"/>
      <c r="AP98" s="722"/>
      <c r="AQ98" s="722"/>
      <c r="AR98" s="722"/>
      <c r="AS98" s="722"/>
      <c r="AT98" s="722"/>
      <c r="AU98" s="722"/>
      <c r="AV98" s="722"/>
      <c r="AW98" s="722"/>
      <c r="AX98" s="722"/>
      <c r="AY98" s="722"/>
      <c r="AZ98" s="722"/>
      <c r="BA98" s="722"/>
      <c r="BB98" s="722"/>
      <c r="BC98" s="722"/>
      <c r="BD98" s="722"/>
      <c r="BE98" s="722"/>
      <c r="BF98" s="722"/>
      <c r="BG98" s="722"/>
      <c r="BH98" s="722"/>
      <c r="BI98" s="722"/>
      <c r="BJ98" s="722"/>
      <c r="BK98" s="722"/>
      <c r="BL98" s="722"/>
      <c r="BM98" s="722"/>
      <c r="BN98" s="722"/>
      <c r="BO98" s="722"/>
      <c r="BP98" s="722"/>
      <c r="BQ98" s="722"/>
      <c r="BR98" s="722"/>
      <c r="BS98" s="722"/>
      <c r="BT98" s="724"/>
      <c r="BU98" s="724"/>
      <c r="BV98" s="724"/>
      <c r="BW98" s="724"/>
      <c r="BX98" s="724"/>
      <c r="BY98" s="724"/>
      <c r="BZ98" s="724"/>
      <c r="CA98" s="724"/>
      <c r="CB98" s="724"/>
      <c r="CC98" s="724"/>
      <c r="CD98" s="724"/>
      <c r="CE98" s="724"/>
      <c r="CF98" s="724"/>
      <c r="CG98" s="724"/>
      <c r="CH98" s="724"/>
      <c r="CI98" s="724"/>
      <c r="CJ98" s="724"/>
      <c r="CK98" s="724"/>
      <c r="CL98" s="722"/>
      <c r="CM98" s="722"/>
      <c r="CN98" s="722"/>
      <c r="CO98" s="722"/>
      <c r="CP98" s="722"/>
      <c r="CQ98" s="722"/>
      <c r="CR98" s="722"/>
      <c r="CS98" s="722"/>
      <c r="CT98" s="722"/>
      <c r="CU98" s="722"/>
      <c r="CV98" s="722"/>
      <c r="CW98" s="722"/>
      <c r="CX98" s="722"/>
      <c r="CY98" s="723"/>
      <c r="CZ98" s="723"/>
      <c r="DA98" s="723"/>
      <c r="DB98" s="723"/>
      <c r="DC98" s="723"/>
      <c r="DD98" s="723"/>
      <c r="DE98" s="723"/>
      <c r="DF98" s="723"/>
      <c r="DG98" s="723"/>
      <c r="DH98" s="723"/>
      <c r="DI98" s="723"/>
      <c r="DJ98" s="723"/>
      <c r="DK98" s="722"/>
      <c r="DL98" s="722"/>
      <c r="DM98" s="722"/>
      <c r="DN98" s="722"/>
      <c r="DO98" s="722"/>
      <c r="DP98" s="722"/>
      <c r="DQ98" s="722"/>
      <c r="DR98" s="722"/>
      <c r="DS98" s="722"/>
      <c r="DT98" s="722"/>
      <c r="DU98" s="722"/>
      <c r="DV98" s="722"/>
      <c r="DW98" s="722"/>
      <c r="DX98" s="722"/>
      <c r="DY98" s="722"/>
      <c r="DZ98" s="722"/>
      <c r="EA98" s="722"/>
      <c r="EB98" s="722"/>
      <c r="EC98" s="722"/>
      <c r="ED98" s="722"/>
      <c r="EE98" s="722"/>
      <c r="EF98" s="722"/>
      <c r="EG98" s="722"/>
      <c r="EH98" s="722"/>
      <c r="EI98" s="722"/>
      <c r="EJ98" s="722"/>
      <c r="EK98" s="722"/>
      <c r="EL98" s="722"/>
      <c r="EM98" s="722"/>
      <c r="EN98" s="722"/>
      <c r="EO98" s="722"/>
      <c r="EP98" s="722"/>
      <c r="EQ98" s="722"/>
      <c r="ER98" s="722"/>
      <c r="ES98" s="722"/>
      <c r="ET98" s="722"/>
      <c r="EU98" s="722"/>
      <c r="EV98" s="722"/>
      <c r="EW98" s="722"/>
      <c r="EX98" s="722"/>
      <c r="EY98" s="722"/>
      <c r="EZ98" s="722"/>
      <c r="FA98" s="722"/>
      <c r="FB98" s="722"/>
      <c r="FC98" s="722"/>
      <c r="FD98" s="722"/>
      <c r="FE98" s="722"/>
      <c r="FF98" s="722"/>
      <c r="FG98" s="722"/>
      <c r="FH98" s="722"/>
      <c r="FI98" s="722"/>
      <c r="FJ98" s="722"/>
      <c r="FK98" s="722"/>
      <c r="FL98" s="722"/>
      <c r="FM98" s="722"/>
      <c r="FN98" s="722"/>
      <c r="FO98" s="722"/>
      <c r="FP98" s="722"/>
      <c r="FQ98" s="722"/>
      <c r="FR98" s="722"/>
      <c r="FS98" s="722"/>
      <c r="FT98" s="722"/>
      <c r="FU98" s="722"/>
      <c r="FV98" s="722"/>
      <c r="FW98" s="722"/>
      <c r="FX98" s="220"/>
    </row>
    <row r="99" spans="1:184" s="551" customFormat="1" ht="12" customHeight="1">
      <c r="B99" s="552"/>
      <c r="F99" s="725"/>
      <c r="G99" s="726" t="s">
        <v>411</v>
      </c>
      <c r="H99" s="726"/>
      <c r="I99" s="726"/>
      <c r="J99" s="726"/>
      <c r="K99" s="726"/>
      <c r="L99" s="726"/>
      <c r="M99" s="726"/>
      <c r="N99" s="726"/>
      <c r="O99" s="726"/>
      <c r="P99" s="726"/>
      <c r="Q99" s="726"/>
      <c r="R99" s="726"/>
      <c r="S99" s="726"/>
      <c r="T99" s="726"/>
      <c r="U99" s="726"/>
      <c r="V99" s="726"/>
      <c r="W99" s="726"/>
      <c r="X99" s="726"/>
      <c r="Y99" s="726"/>
      <c r="Z99" s="726"/>
      <c r="AA99" s="726"/>
      <c r="AB99" s="726"/>
      <c r="AC99" s="726"/>
      <c r="AD99" s="726"/>
      <c r="AE99" s="726"/>
      <c r="AF99" s="726"/>
      <c r="AG99" s="726"/>
      <c r="AH99" s="726"/>
      <c r="AI99" s="726"/>
      <c r="AJ99" s="726"/>
      <c r="AK99" s="726"/>
      <c r="AL99" s="726"/>
      <c r="AM99" s="726"/>
      <c r="AN99" s="726"/>
      <c r="AO99" s="726"/>
      <c r="AP99" s="726"/>
      <c r="AQ99" s="726"/>
      <c r="AR99" s="726"/>
      <c r="AS99" s="726"/>
      <c r="AT99" s="726"/>
      <c r="AU99" s="726"/>
      <c r="AV99" s="726"/>
      <c r="AW99" s="726"/>
      <c r="AX99" s="726"/>
      <c r="AY99" s="726"/>
      <c r="AZ99" s="726"/>
      <c r="BA99" s="726"/>
      <c r="BB99" s="726"/>
      <c r="BC99" s="726"/>
      <c r="BD99" s="726"/>
      <c r="BE99" s="726"/>
      <c r="BF99" s="726"/>
      <c r="BG99" s="726"/>
      <c r="BH99" s="726"/>
      <c r="BI99" s="726"/>
      <c r="BJ99" s="726"/>
      <c r="BK99" s="726"/>
      <c r="BL99" s="726"/>
      <c r="BM99" s="726"/>
      <c r="BN99" s="726"/>
      <c r="BO99" s="726"/>
      <c r="BP99" s="726"/>
      <c r="BQ99" s="726"/>
      <c r="BR99" s="726"/>
      <c r="BS99" s="726"/>
      <c r="BT99" s="726"/>
      <c r="BU99" s="726"/>
      <c r="BV99" s="726"/>
      <c r="BW99" s="726"/>
      <c r="BX99" s="726"/>
      <c r="BY99" s="726"/>
      <c r="BZ99" s="726"/>
      <c r="CA99" s="726"/>
      <c r="CB99" s="726"/>
      <c r="CC99" s="726"/>
      <c r="CD99" s="726"/>
      <c r="CE99" s="726"/>
      <c r="CF99" s="726"/>
      <c r="CG99" s="726"/>
      <c r="CH99" s="726"/>
      <c r="CI99" s="726"/>
      <c r="CJ99" s="726"/>
      <c r="CK99" s="726"/>
      <c r="CL99" s="726"/>
      <c r="CM99" s="726"/>
      <c r="CN99" s="726"/>
      <c r="CO99" s="726"/>
      <c r="CP99" s="726"/>
      <c r="CQ99" s="726"/>
      <c r="CR99" s="726"/>
      <c r="CS99" s="726"/>
      <c r="CT99" s="726"/>
      <c r="CU99" s="726"/>
      <c r="CV99" s="726"/>
      <c r="CW99" s="726"/>
      <c r="CX99" s="726"/>
      <c r="CY99" s="726"/>
      <c r="CZ99" s="726"/>
      <c r="DA99" s="726"/>
      <c r="DB99" s="726"/>
      <c r="DC99" s="726"/>
      <c r="DD99" s="726"/>
      <c r="DE99" s="726"/>
      <c r="DF99" s="726"/>
      <c r="DG99" s="726"/>
      <c r="DH99" s="726"/>
      <c r="DI99" s="726"/>
      <c r="DJ99" s="726"/>
      <c r="DK99" s="726"/>
      <c r="DL99" s="726"/>
      <c r="DM99" s="726"/>
      <c r="DN99" s="726"/>
      <c r="DO99" s="726"/>
      <c r="DP99" s="726"/>
      <c r="DQ99" s="726"/>
      <c r="DR99" s="726"/>
      <c r="DS99" s="726"/>
      <c r="DT99" s="726"/>
      <c r="DU99" s="726"/>
      <c r="DV99" s="726"/>
      <c r="DW99" s="726"/>
      <c r="DX99" s="726"/>
      <c r="DY99" s="726"/>
      <c r="DZ99" s="726"/>
      <c r="EA99" s="726"/>
      <c r="EB99" s="726"/>
      <c r="EC99" s="726"/>
      <c r="ED99" s="726"/>
      <c r="EE99" s="726"/>
      <c r="EF99" s="726"/>
      <c r="EG99" s="726"/>
      <c r="EH99" s="726"/>
      <c r="EI99" s="726"/>
      <c r="EJ99" s="726"/>
      <c r="EK99" s="726"/>
      <c r="EL99" s="726"/>
      <c r="EM99" s="726"/>
      <c r="EN99" s="726"/>
      <c r="EO99" s="726"/>
      <c r="EP99" s="726"/>
      <c r="EQ99" s="726"/>
      <c r="ER99" s="726"/>
      <c r="ES99" s="726"/>
      <c r="ET99" s="726"/>
      <c r="EU99" s="726"/>
      <c r="EV99" s="726"/>
      <c r="EW99" s="726"/>
      <c r="EX99" s="726"/>
      <c r="EY99" s="726"/>
      <c r="EZ99" s="726"/>
      <c r="FA99" s="726"/>
      <c r="FB99" s="726"/>
      <c r="FC99" s="726"/>
      <c r="FD99" s="726"/>
      <c r="FE99" s="726"/>
      <c r="FF99" s="726"/>
      <c r="FG99" s="726"/>
      <c r="FH99" s="726"/>
      <c r="FI99" s="726"/>
      <c r="FJ99" s="726"/>
      <c r="FK99" s="726"/>
      <c r="FL99" s="726"/>
      <c r="FM99" s="726"/>
      <c r="FN99" s="726"/>
      <c r="FO99" s="726"/>
      <c r="FP99" s="726"/>
      <c r="FQ99" s="726"/>
      <c r="FR99" s="726"/>
      <c r="FS99" s="726"/>
      <c r="FT99" s="726"/>
      <c r="FU99" s="726"/>
      <c r="FV99" s="726"/>
      <c r="FW99" s="727"/>
      <c r="FX99" s="2"/>
      <c r="FY99" s="55"/>
      <c r="FZ99" s="55"/>
      <c r="GA99" s="55"/>
      <c r="GB99" s="55"/>
    </row>
    <row r="101" spans="1:184" s="1021" customFormat="1" ht="11.25" customHeight="1">
      <c r="A101" s="1021" t="s">
        <v>412</v>
      </c>
    </row>
    <row r="103" spans="1:184" ht="15" customHeight="1">
      <c r="A103" s="31"/>
      <c r="D103" s="1212" t="s">
        <v>110</v>
      </c>
      <c r="E103" s="1215" t="s">
        <v>106</v>
      </c>
      <c r="F103" s="1216"/>
      <c r="G103" s="1217"/>
      <c r="H103" s="1218" t="str">
        <f>IF(A103="","",INDEX(DIFFERENTIATION_UNMERGE_VD,MATCH(A103,DIFFERENTIATION_ID_DIFF,0)))</f>
        <v/>
      </c>
      <c r="I103" s="1218"/>
      <c r="J103" s="1218"/>
      <c r="K103" s="1218"/>
      <c r="L103" s="1218"/>
      <c r="M103" s="1218"/>
      <c r="N103" s="1218"/>
      <c r="O103" s="1218"/>
      <c r="P103" s="1218"/>
      <c r="Q103" s="1218"/>
      <c r="R103" s="1218"/>
      <c r="S103" s="425"/>
      <c r="T103" s="423"/>
      <c r="U103" s="101"/>
      <c r="V103" s="101"/>
      <c r="W103" s="59"/>
      <c r="X103" s="59"/>
      <c r="Y103" s="59"/>
      <c r="Z103" s="59"/>
      <c r="AA103" s="101"/>
      <c r="AB103" s="59"/>
      <c r="AC103" s="1227"/>
      <c r="AD103" s="59"/>
      <c r="AE103" s="370" t="s">
        <v>18</v>
      </c>
      <c r="AF103" s="370"/>
      <c r="AG103" s="371" t="s">
        <v>413</v>
      </c>
      <c r="AH103" s="372">
        <v>3</v>
      </c>
      <c r="AI103" s="101"/>
      <c r="AJ103" s="101"/>
      <c r="AK103" s="101"/>
      <c r="AL103" s="101"/>
      <c r="AM103" s="101"/>
      <c r="AN103" s="101"/>
      <c r="AO103" s="101"/>
      <c r="AP103" s="101"/>
      <c r="AQ103" s="101"/>
      <c r="AR103" s="101"/>
      <c r="AS103" s="101"/>
      <c r="AT103" s="101"/>
      <c r="AU103" s="101"/>
      <c r="AV103" s="101"/>
      <c r="AW103" s="101"/>
      <c r="AX103" s="101"/>
      <c r="AY103" s="101"/>
      <c r="AZ103" s="101"/>
      <c r="BA103" s="101"/>
      <c r="BB103" s="101"/>
      <c r="BC103" s="101"/>
      <c r="BD103" s="101"/>
      <c r="BE103" s="101"/>
      <c r="BF103" s="101"/>
      <c r="BG103" s="101"/>
      <c r="BH103" s="101"/>
      <c r="BI103" s="101"/>
      <c r="BJ103" s="101"/>
      <c r="BK103" s="101"/>
      <c r="BL103" s="101"/>
      <c r="BM103" s="101"/>
      <c r="BN103" s="101"/>
      <c r="BO103" s="101"/>
      <c r="BP103" s="101"/>
      <c r="BQ103" s="101"/>
      <c r="BR103" s="101"/>
      <c r="BS103" s="101"/>
      <c r="BT103" s="101"/>
      <c r="BU103" s="101"/>
      <c r="BV103" s="59"/>
      <c r="BW103" s="59"/>
      <c r="BX103" s="59"/>
      <c r="BY103" s="59"/>
      <c r="BZ103" s="59"/>
      <c r="CA103" s="59"/>
      <c r="CB103" s="59"/>
      <c r="CC103" s="59"/>
      <c r="CD103" s="59"/>
      <c r="CE103" s="59"/>
    </row>
    <row r="104" spans="1:184" ht="15" customHeight="1">
      <c r="A104" s="31"/>
      <c r="D104" s="1213"/>
      <c r="E104" s="1215" t="s">
        <v>414</v>
      </c>
      <c r="F104" s="1216"/>
      <c r="G104" s="1217"/>
      <c r="H104" s="1218" t="str">
        <f>IF(A103="","",INDEX(DIFFERENTIATION_UNMERGE_AREA,MATCH(A103,DIFFERENTIATION_ID_DIFF,0)))</f>
        <v/>
      </c>
      <c r="I104" s="1218"/>
      <c r="J104" s="1218"/>
      <c r="K104" s="1218"/>
      <c r="L104" s="1218"/>
      <c r="M104" s="1218"/>
      <c r="N104" s="1218"/>
      <c r="O104" s="1218"/>
      <c r="P104" s="1218"/>
      <c r="Q104" s="1218"/>
      <c r="R104" s="1218"/>
      <c r="S104" s="425"/>
      <c r="T104" s="423"/>
      <c r="U104" s="101"/>
      <c r="V104" s="101"/>
      <c r="W104" s="59"/>
      <c r="X104" s="59"/>
      <c r="Y104" s="59"/>
      <c r="Z104" s="59"/>
      <c r="AA104" s="101"/>
      <c r="AB104" s="59"/>
      <c r="AC104" s="1227"/>
      <c r="AD104" s="59"/>
      <c r="AE104" s="370"/>
      <c r="AF104" s="370"/>
      <c r="AG104" s="371"/>
      <c r="AH104" s="372"/>
      <c r="AI104" s="101"/>
      <c r="AJ104" s="101"/>
      <c r="AK104" s="101"/>
      <c r="AL104" s="101"/>
      <c r="AM104" s="101"/>
      <c r="AN104" s="101"/>
      <c r="AO104" s="101"/>
      <c r="AP104" s="101"/>
      <c r="AQ104" s="101"/>
      <c r="AR104" s="101"/>
      <c r="AS104" s="101"/>
      <c r="AT104" s="101"/>
      <c r="AU104" s="101"/>
      <c r="AV104" s="101"/>
      <c r="AW104" s="101"/>
      <c r="AX104" s="101"/>
      <c r="AY104" s="101"/>
      <c r="AZ104" s="101"/>
      <c r="BA104" s="101"/>
      <c r="BB104" s="101"/>
      <c r="BC104" s="101"/>
      <c r="BD104" s="101"/>
      <c r="BE104" s="101"/>
      <c r="BF104" s="101"/>
      <c r="BG104" s="101"/>
      <c r="BH104" s="101"/>
      <c r="BI104" s="101"/>
      <c r="BJ104" s="101"/>
      <c r="BK104" s="101"/>
      <c r="BL104" s="101"/>
      <c r="BM104" s="101"/>
      <c r="BN104" s="101"/>
      <c r="BO104" s="101"/>
      <c r="BP104" s="101"/>
      <c r="BQ104" s="101"/>
      <c r="BR104" s="101"/>
      <c r="BS104" s="101"/>
      <c r="BT104" s="101"/>
      <c r="BU104" s="101"/>
      <c r="BV104" s="59"/>
      <c r="BW104" s="59"/>
      <c r="BX104" s="59"/>
      <c r="BY104" s="59"/>
      <c r="BZ104" s="59"/>
      <c r="CA104" s="59"/>
      <c r="CB104" s="59"/>
      <c r="CC104" s="59"/>
      <c r="CD104" s="59"/>
      <c r="CE104" s="59"/>
    </row>
    <row r="105" spans="1:184" ht="15" customHeight="1">
      <c r="A105" s="31"/>
      <c r="D105" s="1213"/>
      <c r="E105" s="1215" t="s">
        <v>415</v>
      </c>
      <c r="F105" s="1216"/>
      <c r="G105" s="1217"/>
      <c r="H105" s="1218" t="str">
        <f>IF(A103="","",INDEX(DIFFERENTIATION_UNMERGE_SYSTEM,MATCH(A103,DIFFERENTIATION_ID_DIFF,0)))</f>
        <v/>
      </c>
      <c r="I105" s="1218"/>
      <c r="J105" s="1218"/>
      <c r="K105" s="1218"/>
      <c r="L105" s="1218"/>
      <c r="M105" s="1218"/>
      <c r="N105" s="1218"/>
      <c r="O105" s="1218"/>
      <c r="P105" s="1218"/>
      <c r="Q105" s="1218"/>
      <c r="R105" s="1218"/>
      <c r="S105" s="425"/>
      <c r="T105" s="423"/>
      <c r="U105" s="101"/>
      <c r="V105" s="101"/>
      <c r="W105" s="59"/>
      <c r="X105" s="59"/>
      <c r="Y105" s="59"/>
      <c r="Z105" s="59"/>
      <c r="AA105" s="101"/>
      <c r="AB105" s="59"/>
      <c r="AC105" s="1227"/>
      <c r="AD105" s="59"/>
      <c r="AE105" s="370"/>
      <c r="AF105" s="370"/>
      <c r="AG105" s="371"/>
      <c r="AH105" s="372"/>
      <c r="AI105" s="101"/>
      <c r="AJ105" s="101"/>
      <c r="AK105" s="101"/>
      <c r="AL105" s="101"/>
      <c r="AM105" s="101"/>
      <c r="AN105" s="101"/>
      <c r="AO105" s="101"/>
      <c r="AP105" s="101"/>
      <c r="AQ105" s="101"/>
      <c r="AR105" s="101"/>
      <c r="AS105" s="101"/>
      <c r="AT105" s="101"/>
      <c r="AU105" s="101"/>
      <c r="AV105" s="101"/>
      <c r="AW105" s="101"/>
      <c r="AX105" s="101"/>
      <c r="AY105" s="101"/>
      <c r="AZ105" s="101"/>
      <c r="BA105" s="101"/>
      <c r="BB105" s="101"/>
      <c r="BC105" s="101"/>
      <c r="BD105" s="101"/>
      <c r="BE105" s="101"/>
      <c r="BF105" s="101"/>
      <c r="BG105" s="101"/>
      <c r="BH105" s="101"/>
      <c r="BI105" s="101"/>
      <c r="BJ105" s="101"/>
      <c r="BK105" s="101"/>
      <c r="BL105" s="101"/>
      <c r="BM105" s="101"/>
      <c r="BN105" s="101"/>
      <c r="BO105" s="101"/>
      <c r="BP105" s="101"/>
      <c r="BQ105" s="101"/>
      <c r="BR105" s="101"/>
      <c r="BS105" s="101"/>
      <c r="BT105" s="101"/>
      <c r="BU105" s="101"/>
      <c r="BV105" s="59"/>
      <c r="BW105" s="59"/>
      <c r="BX105" s="59"/>
      <c r="BY105" s="59"/>
      <c r="BZ105" s="59"/>
      <c r="CA105" s="59"/>
      <c r="CB105" s="59"/>
      <c r="CC105" s="59"/>
      <c r="CD105" s="59"/>
      <c r="CE105" s="59"/>
    </row>
    <row r="106" spans="1:184" ht="24.75" customHeight="1">
      <c r="A106" s="312"/>
      <c r="B106" s="60"/>
      <c r="C106" s="247"/>
      <c r="D106" s="1213"/>
      <c r="E106" s="1233" t="s">
        <v>416</v>
      </c>
      <c r="F106" s="1233"/>
      <c r="G106" s="1233"/>
      <c r="H106" s="1233"/>
      <c r="I106" s="1233"/>
      <c r="J106" s="1233"/>
      <c r="K106" s="1233"/>
      <c r="L106" s="1233"/>
      <c r="M106" s="1233"/>
      <c r="N106" s="1233"/>
      <c r="O106" s="1233"/>
      <c r="P106" s="1233"/>
      <c r="Q106" s="333">
        <f>SUMIF(T107:T108,"i",Q107:Q108)</f>
        <v>0</v>
      </c>
      <c r="R106" s="615"/>
      <c r="S106" s="150" t="s">
        <v>417</v>
      </c>
      <c r="T106" s="423" t="s">
        <v>418</v>
      </c>
      <c r="U106" s="1204">
        <v>1</v>
      </c>
      <c r="V106" s="1204" t="s">
        <v>419</v>
      </c>
      <c r="W106" s="60"/>
      <c r="X106" s="60"/>
      <c r="Y106" s="60"/>
      <c r="Z106" s="60"/>
      <c r="AA106" s="65"/>
      <c r="AB106" s="60"/>
      <c r="AC106" s="1227"/>
      <c r="AD106" s="59"/>
      <c r="AE106" s="60"/>
      <c r="AF106" s="60"/>
      <c r="AG106" s="65"/>
      <c r="AH106" s="65"/>
      <c r="AI106" s="65"/>
      <c r="AJ106" s="65"/>
      <c r="AK106" s="65"/>
      <c r="AL106" s="65"/>
      <c r="AM106" s="65"/>
      <c r="AN106" s="65"/>
      <c r="AO106" s="65"/>
      <c r="AP106" s="65"/>
      <c r="AQ106" s="65"/>
      <c r="AR106" s="65"/>
      <c r="AS106" s="65"/>
      <c r="AT106" s="65"/>
      <c r="AU106" s="65"/>
      <c r="AV106" s="65"/>
      <c r="AW106" s="65"/>
      <c r="AX106" s="65"/>
      <c r="AY106" s="65"/>
      <c r="AZ106" s="65"/>
      <c r="BA106" s="65"/>
      <c r="BB106" s="65"/>
      <c r="BC106" s="65"/>
      <c r="BD106" s="65"/>
      <c r="BE106" s="65"/>
      <c r="BF106" s="65"/>
      <c r="BG106" s="65"/>
      <c r="BH106" s="65"/>
      <c r="BI106" s="65"/>
      <c r="BJ106" s="65"/>
      <c r="BK106" s="65"/>
      <c r="BL106" s="65"/>
      <c r="BM106" s="65"/>
      <c r="BN106" s="65"/>
      <c r="BO106" s="65"/>
      <c r="BP106" s="65"/>
      <c r="BQ106" s="65"/>
      <c r="BR106" s="65"/>
      <c r="BS106" s="65"/>
      <c r="BT106" s="65"/>
      <c r="BU106" s="65"/>
      <c r="BV106" s="60"/>
      <c r="BW106" s="60"/>
      <c r="BX106" s="60"/>
      <c r="BY106" s="60"/>
      <c r="BZ106" s="60"/>
      <c r="CA106" s="60"/>
      <c r="CB106" s="60"/>
      <c r="CC106" s="60"/>
      <c r="CD106" s="60"/>
      <c r="CE106" s="60"/>
    </row>
    <row r="107" spans="1:184" ht="11.25" hidden="1" customHeight="1">
      <c r="A107" s="119"/>
      <c r="B107" s="65"/>
      <c r="C107" s="65"/>
      <c r="D107" s="1213"/>
      <c r="E107" s="373"/>
      <c r="F107" s="373">
        <v>0</v>
      </c>
      <c r="G107" s="373"/>
      <c r="H107" s="373"/>
      <c r="I107" s="373"/>
      <c r="J107" s="373"/>
      <c r="K107" s="373"/>
      <c r="L107" s="373"/>
      <c r="M107" s="373"/>
      <c r="N107" s="373"/>
      <c r="O107" s="373"/>
      <c r="P107" s="373"/>
      <c r="Q107" s="373"/>
      <c r="R107" s="373"/>
      <c r="S107" s="328"/>
      <c r="T107" s="424"/>
      <c r="U107" s="1204"/>
      <c r="V107" s="1204"/>
      <c r="W107" s="65"/>
      <c r="X107" s="65"/>
      <c r="Y107" s="65"/>
      <c r="Z107" s="65"/>
      <c r="AA107" s="65"/>
      <c r="AB107" s="60"/>
      <c r="AC107" s="1227"/>
      <c r="AD107" s="59"/>
      <c r="AE107" s="60"/>
      <c r="AF107" s="60"/>
      <c r="AG107" s="65"/>
      <c r="AH107" s="65"/>
      <c r="AI107" s="65"/>
      <c r="AJ107" s="65"/>
      <c r="AK107" s="65"/>
      <c r="AL107" s="65"/>
      <c r="AM107" s="65"/>
      <c r="AN107" s="65"/>
      <c r="AO107" s="65"/>
      <c r="AP107" s="65"/>
      <c r="AQ107" s="65"/>
      <c r="AR107" s="65"/>
      <c r="AS107" s="65"/>
      <c r="AT107" s="65"/>
      <c r="AU107" s="65"/>
      <c r="AV107" s="65"/>
      <c r="AW107" s="65"/>
      <c r="AX107" s="65"/>
      <c r="AY107" s="65"/>
      <c r="AZ107" s="65"/>
      <c r="BA107" s="65"/>
      <c r="BB107" s="65"/>
      <c r="BC107" s="65"/>
      <c r="BD107" s="65"/>
      <c r="BE107" s="65"/>
      <c r="BF107" s="65"/>
      <c r="BG107" s="65"/>
      <c r="BH107" s="65"/>
      <c r="BI107" s="65"/>
      <c r="BJ107" s="65"/>
      <c r="BK107" s="65"/>
      <c r="BL107" s="65"/>
      <c r="BM107" s="65"/>
      <c r="BN107" s="65"/>
      <c r="BO107" s="65"/>
      <c r="BP107" s="65"/>
      <c r="BQ107" s="65"/>
      <c r="BR107" s="65"/>
      <c r="BS107" s="65"/>
      <c r="BT107" s="65"/>
      <c r="BU107" s="65"/>
      <c r="BV107" s="65"/>
      <c r="BW107" s="65"/>
      <c r="BX107" s="65"/>
      <c r="BY107" s="65"/>
      <c r="BZ107" s="65"/>
      <c r="CA107" s="65"/>
      <c r="CB107" s="65"/>
      <c r="CC107" s="65"/>
      <c r="CD107" s="65"/>
      <c r="CE107" s="65"/>
    </row>
    <row r="108" spans="1:184" ht="11.25" customHeight="1">
      <c r="A108" s="312"/>
      <c r="B108" s="60"/>
      <c r="C108" s="247"/>
      <c r="D108" s="1213"/>
      <c r="E108" s="186" t="s">
        <v>18</v>
      </c>
      <c r="F108" s="107" t="s">
        <v>18</v>
      </c>
      <c r="G108" s="107" t="s">
        <v>420</v>
      </c>
      <c r="H108" s="50" t="s">
        <v>18</v>
      </c>
      <c r="I108" s="50"/>
      <c r="J108" s="50"/>
      <c r="K108" s="50"/>
      <c r="L108" s="50"/>
      <c r="M108" s="50"/>
      <c r="N108" s="50"/>
      <c r="O108" s="50"/>
      <c r="P108" s="50"/>
      <c r="Q108" s="50"/>
      <c r="R108" s="363"/>
      <c r="S108" s="381"/>
      <c r="T108" s="424"/>
      <c r="U108" s="1204"/>
      <c r="V108" s="1204"/>
      <c r="W108" s="60"/>
      <c r="X108" s="60"/>
      <c r="Y108" s="60"/>
      <c r="Z108" s="60"/>
      <c r="AA108" s="65"/>
      <c r="AB108" s="60"/>
      <c r="AC108" s="1227"/>
      <c r="AD108" s="59"/>
      <c r="AE108" s="60"/>
      <c r="AF108" s="60"/>
      <c r="AG108" s="65"/>
      <c r="AH108" s="65"/>
      <c r="AI108" s="65"/>
      <c r="AJ108" s="65"/>
      <c r="AK108" s="65"/>
      <c r="AL108" s="65"/>
      <c r="AM108" s="65"/>
      <c r="AN108" s="65"/>
      <c r="AO108" s="65"/>
      <c r="AP108" s="65"/>
      <c r="AQ108" s="65"/>
      <c r="AR108" s="65"/>
      <c r="AS108" s="65"/>
      <c r="AT108" s="65"/>
      <c r="AU108" s="65"/>
      <c r="AV108" s="65"/>
      <c r="AW108" s="65"/>
      <c r="AX108" s="65"/>
      <c r="AY108" s="65"/>
      <c r="AZ108" s="65"/>
      <c r="BA108" s="65"/>
      <c r="BB108" s="65"/>
      <c r="BC108" s="65"/>
      <c r="BD108" s="65"/>
      <c r="BE108" s="65"/>
      <c r="BF108" s="65"/>
      <c r="BG108" s="65"/>
      <c r="BH108" s="65"/>
      <c r="BI108" s="65"/>
      <c r="BJ108" s="65"/>
      <c r="BK108" s="65"/>
      <c r="BL108" s="65"/>
      <c r="BM108" s="65"/>
      <c r="BN108" s="65"/>
      <c r="BO108" s="65"/>
      <c r="BP108" s="65"/>
      <c r="BQ108" s="65"/>
      <c r="BR108" s="65"/>
      <c r="BS108" s="65"/>
      <c r="BT108" s="65"/>
      <c r="BU108" s="65"/>
      <c r="BV108" s="60"/>
      <c r="BW108" s="60"/>
      <c r="BX108" s="60"/>
      <c r="BY108" s="60"/>
      <c r="BZ108" s="60"/>
      <c r="CA108" s="60"/>
      <c r="CB108" s="60"/>
      <c r="CC108" s="60"/>
      <c r="CD108" s="60"/>
      <c r="CE108" s="60"/>
    </row>
    <row r="109" spans="1:184" ht="24.75" customHeight="1">
      <c r="A109" s="312"/>
      <c r="B109" s="60"/>
      <c r="C109" s="247"/>
      <c r="D109" s="1213"/>
      <c r="E109" s="1233" t="s">
        <v>421</v>
      </c>
      <c r="F109" s="1233"/>
      <c r="G109" s="1233"/>
      <c r="H109" s="1233"/>
      <c r="I109" s="1233"/>
      <c r="J109" s="1233"/>
      <c r="K109" s="1233"/>
      <c r="L109" s="1233"/>
      <c r="M109" s="1233"/>
      <c r="N109" s="1233"/>
      <c r="O109" s="1233"/>
      <c r="P109" s="1233"/>
      <c r="Q109" s="333">
        <f>SUMIF(T110:T111,"i",Q110:Q111)</f>
        <v>0</v>
      </c>
      <c r="R109" s="615"/>
      <c r="S109" s="150" t="s">
        <v>422</v>
      </c>
      <c r="T109" s="423" t="s">
        <v>418</v>
      </c>
      <c r="U109" s="1204">
        <v>1</v>
      </c>
      <c r="V109" s="1204" t="s">
        <v>419</v>
      </c>
      <c r="W109" s="60"/>
      <c r="X109" s="60"/>
      <c r="Y109" s="60"/>
      <c r="Z109" s="60"/>
      <c r="AA109" s="65"/>
      <c r="AB109" s="60"/>
      <c r="AC109" s="416"/>
      <c r="AD109" s="59"/>
      <c r="AE109" s="60"/>
      <c r="AF109" s="60"/>
      <c r="AG109" s="65"/>
      <c r="AH109" s="65"/>
      <c r="AI109" s="65"/>
      <c r="AJ109" s="65"/>
      <c r="AK109" s="65"/>
      <c r="AL109" s="65"/>
      <c r="AM109" s="65"/>
      <c r="AN109" s="65"/>
      <c r="AO109" s="65"/>
      <c r="AP109" s="65"/>
      <c r="AQ109" s="65"/>
      <c r="AR109" s="65"/>
      <c r="AS109" s="65"/>
      <c r="AT109" s="65"/>
      <c r="AU109" s="65"/>
      <c r="AV109" s="65"/>
      <c r="AW109" s="65"/>
      <c r="AX109" s="65"/>
      <c r="AY109" s="65"/>
      <c r="AZ109" s="65"/>
      <c r="BA109" s="65"/>
      <c r="BB109" s="65"/>
      <c r="BC109" s="65"/>
      <c r="BD109" s="65"/>
      <c r="BE109" s="65"/>
      <c r="BF109" s="65"/>
      <c r="BG109" s="65"/>
      <c r="BH109" s="65"/>
      <c r="BI109" s="65"/>
      <c r="BJ109" s="65"/>
      <c r="BK109" s="65"/>
      <c r="BL109" s="65"/>
      <c r="BM109" s="65"/>
      <c r="BN109" s="65"/>
      <c r="BO109" s="65"/>
      <c r="BP109" s="65"/>
      <c r="BQ109" s="65"/>
      <c r="BR109" s="65"/>
      <c r="BS109" s="65"/>
      <c r="BT109" s="65"/>
      <c r="BU109" s="65"/>
      <c r="BV109" s="60"/>
      <c r="BW109" s="60"/>
      <c r="BX109" s="60"/>
      <c r="BY109" s="60"/>
      <c r="BZ109" s="60"/>
      <c r="CA109" s="60"/>
      <c r="CB109" s="60"/>
      <c r="CC109" s="60"/>
      <c r="CD109" s="60"/>
      <c r="CE109" s="60"/>
    </row>
    <row r="110" spans="1:184" ht="11.25" hidden="1" customHeight="1">
      <c r="A110" s="119"/>
      <c r="B110" s="65"/>
      <c r="C110" s="65"/>
      <c r="D110" s="1213"/>
      <c r="E110" s="373"/>
      <c r="F110" s="373">
        <v>0</v>
      </c>
      <c r="G110" s="373"/>
      <c r="H110" s="373"/>
      <c r="I110" s="373"/>
      <c r="J110" s="373"/>
      <c r="K110" s="373"/>
      <c r="L110" s="373"/>
      <c r="M110" s="373"/>
      <c r="N110" s="373"/>
      <c r="O110" s="373"/>
      <c r="P110" s="373"/>
      <c r="Q110" s="373"/>
      <c r="R110" s="373"/>
      <c r="S110" s="328"/>
      <c r="T110" s="424"/>
      <c r="U110" s="1204"/>
      <c r="V110" s="1204"/>
      <c r="W110" s="65"/>
      <c r="X110" s="65"/>
      <c r="Y110" s="65"/>
      <c r="Z110" s="65"/>
      <c r="AA110" s="65"/>
      <c r="AB110" s="60"/>
      <c r="AC110" s="416"/>
      <c r="AD110" s="59"/>
      <c r="AE110" s="60"/>
      <c r="AF110" s="60"/>
      <c r="AG110" s="65"/>
      <c r="AH110" s="65"/>
      <c r="AI110" s="65"/>
      <c r="AJ110" s="65"/>
      <c r="AK110" s="65"/>
      <c r="AL110" s="65"/>
      <c r="AM110" s="65"/>
      <c r="AN110" s="65"/>
      <c r="AO110" s="65"/>
      <c r="AP110" s="65"/>
      <c r="AQ110" s="65"/>
      <c r="AR110" s="65"/>
      <c r="AS110" s="65"/>
      <c r="AT110" s="65"/>
      <c r="AU110" s="65"/>
      <c r="AV110" s="65"/>
      <c r="AW110" s="65"/>
      <c r="AX110" s="65"/>
      <c r="AY110" s="65"/>
      <c r="AZ110" s="65"/>
      <c r="BA110" s="65"/>
      <c r="BB110" s="65"/>
      <c r="BC110" s="65"/>
      <c r="BD110" s="65"/>
      <c r="BE110" s="65"/>
      <c r="BF110" s="65"/>
      <c r="BG110" s="65"/>
      <c r="BH110" s="65"/>
      <c r="BI110" s="65"/>
      <c r="BJ110" s="65"/>
      <c r="BK110" s="65"/>
      <c r="BL110" s="65"/>
      <c r="BM110" s="65"/>
      <c r="BN110" s="65"/>
      <c r="BO110" s="65"/>
      <c r="BP110" s="65"/>
      <c r="BQ110" s="65"/>
      <c r="BR110" s="65"/>
      <c r="BS110" s="65"/>
      <c r="BT110" s="65"/>
      <c r="BU110" s="65"/>
      <c r="BV110" s="65"/>
      <c r="BW110" s="65"/>
      <c r="BX110" s="65"/>
      <c r="BY110" s="65"/>
      <c r="BZ110" s="65"/>
      <c r="CA110" s="65"/>
      <c r="CB110" s="65"/>
      <c r="CC110" s="65"/>
      <c r="CD110" s="65"/>
      <c r="CE110" s="65"/>
    </row>
    <row r="111" spans="1:184" ht="11.25" customHeight="1">
      <c r="A111" s="312"/>
      <c r="B111" s="60"/>
      <c r="C111" s="247"/>
      <c r="D111" s="1214"/>
      <c r="E111" s="186" t="s">
        <v>18</v>
      </c>
      <c r="F111" s="107" t="s">
        <v>18</v>
      </c>
      <c r="G111" s="107" t="s">
        <v>420</v>
      </c>
      <c r="H111" s="50" t="s">
        <v>18</v>
      </c>
      <c r="I111" s="50"/>
      <c r="J111" s="50"/>
      <c r="K111" s="50"/>
      <c r="L111" s="50"/>
      <c r="M111" s="50"/>
      <c r="N111" s="50"/>
      <c r="O111" s="50"/>
      <c r="P111" s="50"/>
      <c r="Q111" s="50"/>
      <c r="R111" s="363"/>
      <c r="S111" s="381"/>
      <c r="T111" s="424"/>
      <c r="U111" s="1204"/>
      <c r="V111" s="1204"/>
      <c r="W111" s="60"/>
      <c r="X111" s="60"/>
      <c r="Y111" s="60"/>
      <c r="Z111" s="60"/>
      <c r="AA111" s="65"/>
      <c r="AB111" s="60"/>
      <c r="AC111" s="416"/>
      <c r="AD111" s="59"/>
      <c r="AE111" s="60"/>
      <c r="AF111" s="60"/>
      <c r="AG111" s="65"/>
      <c r="AH111" s="65"/>
      <c r="AI111" s="65"/>
      <c r="AJ111" s="65"/>
      <c r="AK111" s="65"/>
      <c r="AL111" s="65"/>
      <c r="AM111" s="65"/>
      <c r="AN111" s="65"/>
      <c r="AO111" s="65"/>
      <c r="AP111" s="65"/>
      <c r="AQ111" s="65"/>
      <c r="AR111" s="65"/>
      <c r="AS111" s="65"/>
      <c r="AT111" s="65"/>
      <c r="AU111" s="65"/>
      <c r="AV111" s="65"/>
      <c r="AW111" s="65"/>
      <c r="AX111" s="65"/>
      <c r="AY111" s="65"/>
      <c r="AZ111" s="65"/>
      <c r="BA111" s="65"/>
      <c r="BB111" s="65"/>
      <c r="BC111" s="65"/>
      <c r="BD111" s="65"/>
      <c r="BE111" s="65"/>
      <c r="BF111" s="65"/>
      <c r="BG111" s="65"/>
      <c r="BH111" s="65"/>
      <c r="BI111" s="65"/>
      <c r="BJ111" s="65"/>
      <c r="BK111" s="65"/>
      <c r="BL111" s="65"/>
      <c r="BM111" s="65"/>
      <c r="BN111" s="65"/>
      <c r="BO111" s="65"/>
      <c r="BP111" s="65"/>
      <c r="BQ111" s="65"/>
      <c r="BR111" s="65"/>
      <c r="BS111" s="65"/>
      <c r="BT111" s="65"/>
      <c r="BU111" s="65"/>
      <c r="BV111" s="60"/>
      <c r="BW111" s="60"/>
      <c r="BX111" s="60"/>
      <c r="BY111" s="60"/>
      <c r="BZ111" s="60"/>
      <c r="CA111" s="60"/>
      <c r="CB111" s="60"/>
      <c r="CC111" s="60"/>
      <c r="CD111" s="60"/>
      <c r="CE111" s="60"/>
    </row>
    <row r="113" spans="1:83" s="1021" customFormat="1" ht="11.25" customHeight="1">
      <c r="A113" s="1021" t="s">
        <v>423</v>
      </c>
    </row>
    <row r="115" spans="1:83" ht="15" customHeight="1">
      <c r="A115" s="31"/>
      <c r="D115" s="1212" t="s">
        <v>110</v>
      </c>
      <c r="E115" s="1215" t="s">
        <v>106</v>
      </c>
      <c r="F115" s="1216"/>
      <c r="G115" s="1217"/>
      <c r="H115" s="1218" t="str">
        <f>IF(A115="","",INDEX(DIFFERENTIATION_UNMERGE_VD,MATCH(A115,DIFFERENTIATION_ID_DIFF,0)))</f>
        <v/>
      </c>
      <c r="I115" s="1218"/>
      <c r="J115" s="1218"/>
      <c r="K115" s="1218"/>
      <c r="L115" s="1218"/>
      <c r="M115" s="1218"/>
      <c r="N115" s="1218"/>
      <c r="O115" s="1218"/>
      <c r="P115" s="1218"/>
      <c r="Q115" s="1218"/>
      <c r="R115" s="1218"/>
      <c r="S115" s="425"/>
      <c r="T115" s="423"/>
      <c r="U115" s="101"/>
      <c r="V115" s="101"/>
      <c r="W115" s="59"/>
      <c r="X115" s="59"/>
      <c r="Y115" s="59"/>
      <c r="Z115" s="59"/>
      <c r="AA115" s="101"/>
      <c r="AB115" s="59"/>
      <c r="AC115" s="1227"/>
      <c r="AD115" s="59"/>
      <c r="AE115" s="370" t="s">
        <v>18</v>
      </c>
      <c r="AF115" s="370"/>
      <c r="AG115" s="371" t="s">
        <v>413</v>
      </c>
      <c r="AH115" s="372">
        <v>3</v>
      </c>
      <c r="AI115" s="101"/>
      <c r="AJ115" s="101"/>
      <c r="AK115" s="101"/>
      <c r="AL115" s="101"/>
      <c r="AM115" s="101"/>
      <c r="AN115" s="101"/>
      <c r="AO115" s="101"/>
      <c r="AP115" s="101"/>
      <c r="AQ115" s="101"/>
      <c r="AR115" s="101"/>
      <c r="AS115" s="101"/>
      <c r="AT115" s="101"/>
      <c r="AU115" s="101"/>
      <c r="AV115" s="101"/>
      <c r="AW115" s="101"/>
      <c r="AX115" s="101"/>
      <c r="AY115" s="101"/>
      <c r="AZ115" s="101"/>
      <c r="BA115" s="101"/>
      <c r="BB115" s="101"/>
      <c r="BC115" s="101"/>
      <c r="BD115" s="101"/>
      <c r="BE115" s="101"/>
      <c r="BF115" s="101"/>
      <c r="BG115" s="101"/>
      <c r="BH115" s="101"/>
      <c r="BI115" s="101"/>
      <c r="BJ115" s="101"/>
      <c r="BK115" s="101"/>
      <c r="BL115" s="101"/>
      <c r="BM115" s="101"/>
      <c r="BN115" s="101"/>
      <c r="BO115" s="101"/>
      <c r="BP115" s="101"/>
      <c r="BQ115" s="101"/>
      <c r="BR115" s="101"/>
      <c r="BS115" s="101"/>
      <c r="BT115" s="101"/>
      <c r="BU115" s="101"/>
      <c r="BV115" s="59"/>
      <c r="BW115" s="59"/>
      <c r="BX115" s="59"/>
      <c r="BY115" s="59"/>
      <c r="BZ115" s="59"/>
      <c r="CA115" s="59"/>
      <c r="CB115" s="59"/>
      <c r="CC115" s="59"/>
      <c r="CD115" s="59"/>
      <c r="CE115" s="59"/>
    </row>
    <row r="116" spans="1:83" ht="15" customHeight="1">
      <c r="A116" s="31"/>
      <c r="D116" s="1213"/>
      <c r="E116" s="1215" t="s">
        <v>414</v>
      </c>
      <c r="F116" s="1216"/>
      <c r="G116" s="1217"/>
      <c r="H116" s="1218" t="str">
        <f>IF(A115="","",INDEX(DIFFERENTIATION_UNMERGE_AREA,MATCH(A115,DIFFERENTIATION_ID_DIFF,0)))</f>
        <v/>
      </c>
      <c r="I116" s="1218"/>
      <c r="J116" s="1218"/>
      <c r="K116" s="1218"/>
      <c r="L116" s="1218"/>
      <c r="M116" s="1218"/>
      <c r="N116" s="1218"/>
      <c r="O116" s="1218"/>
      <c r="P116" s="1218"/>
      <c r="Q116" s="1218"/>
      <c r="R116" s="1218"/>
      <c r="S116" s="425"/>
      <c r="T116" s="423"/>
      <c r="U116" s="101"/>
      <c r="V116" s="101"/>
      <c r="W116" s="59"/>
      <c r="X116" s="59"/>
      <c r="Y116" s="59"/>
      <c r="Z116" s="59"/>
      <c r="AA116" s="101"/>
      <c r="AB116" s="59"/>
      <c r="AC116" s="1227"/>
      <c r="AD116" s="59"/>
      <c r="AE116" s="370"/>
      <c r="AF116" s="370"/>
      <c r="AG116" s="371"/>
      <c r="AH116" s="372"/>
      <c r="AI116" s="101"/>
      <c r="AJ116" s="101"/>
      <c r="AK116" s="101"/>
      <c r="AL116" s="101"/>
      <c r="AM116" s="101"/>
      <c r="AN116" s="101"/>
      <c r="AO116" s="101"/>
      <c r="AP116" s="101"/>
      <c r="AQ116" s="101"/>
      <c r="AR116" s="101"/>
      <c r="AS116" s="101"/>
      <c r="AT116" s="101"/>
      <c r="AU116" s="101"/>
      <c r="AV116" s="101"/>
      <c r="AW116" s="101"/>
      <c r="AX116" s="101"/>
      <c r="AY116" s="101"/>
      <c r="AZ116" s="101"/>
      <c r="BA116" s="101"/>
      <c r="BB116" s="101"/>
      <c r="BC116" s="101"/>
      <c r="BD116" s="101"/>
      <c r="BE116" s="101"/>
      <c r="BF116" s="101"/>
      <c r="BG116" s="101"/>
      <c r="BH116" s="101"/>
      <c r="BI116" s="101"/>
      <c r="BJ116" s="101"/>
      <c r="BK116" s="101"/>
      <c r="BL116" s="101"/>
      <c r="BM116" s="101"/>
      <c r="BN116" s="101"/>
      <c r="BO116" s="101"/>
      <c r="BP116" s="101"/>
      <c r="BQ116" s="101"/>
      <c r="BR116" s="101"/>
      <c r="BS116" s="101"/>
      <c r="BT116" s="101"/>
      <c r="BU116" s="101"/>
      <c r="BV116" s="59"/>
      <c r="BW116" s="59"/>
      <c r="BX116" s="59"/>
      <c r="BY116" s="59"/>
      <c r="BZ116" s="59"/>
      <c r="CA116" s="59"/>
      <c r="CB116" s="59"/>
      <c r="CC116" s="59"/>
      <c r="CD116" s="59"/>
      <c r="CE116" s="59"/>
    </row>
    <row r="117" spans="1:83" ht="15" customHeight="1">
      <c r="A117" s="31"/>
      <c r="D117" s="1213"/>
      <c r="E117" s="1215" t="s">
        <v>415</v>
      </c>
      <c r="F117" s="1216"/>
      <c r="G117" s="1217"/>
      <c r="H117" s="1218" t="str">
        <f>IF(A115="","",INDEX(DIFFERENTIATION_UNMERGE_SYSTEM,MATCH(A115,DIFFERENTIATION_ID_DIFF,0)))</f>
        <v/>
      </c>
      <c r="I117" s="1218"/>
      <c r="J117" s="1218"/>
      <c r="K117" s="1218"/>
      <c r="L117" s="1218"/>
      <c r="M117" s="1218"/>
      <c r="N117" s="1218"/>
      <c r="O117" s="1218"/>
      <c r="P117" s="1218"/>
      <c r="Q117" s="1218"/>
      <c r="R117" s="1218"/>
      <c r="S117" s="425"/>
      <c r="T117" s="423"/>
      <c r="U117" s="101"/>
      <c r="V117" s="101"/>
      <c r="W117" s="59"/>
      <c r="X117" s="59"/>
      <c r="Y117" s="59"/>
      <c r="Z117" s="59"/>
      <c r="AA117" s="101"/>
      <c r="AB117" s="59"/>
      <c r="AC117" s="1227"/>
      <c r="AD117" s="59"/>
      <c r="AE117" s="370"/>
      <c r="AF117" s="370"/>
      <c r="AG117" s="371"/>
      <c r="AH117" s="372"/>
      <c r="AI117" s="101"/>
      <c r="AJ117" s="101"/>
      <c r="AK117" s="101"/>
      <c r="AL117" s="101"/>
      <c r="AM117" s="101"/>
      <c r="AN117" s="101"/>
      <c r="AO117" s="101"/>
      <c r="AP117" s="101"/>
      <c r="AQ117" s="101"/>
      <c r="AR117" s="101"/>
      <c r="AS117" s="101"/>
      <c r="AT117" s="101"/>
      <c r="AU117" s="101"/>
      <c r="AV117" s="101"/>
      <c r="AW117" s="101"/>
      <c r="AX117" s="101"/>
      <c r="AY117" s="101"/>
      <c r="AZ117" s="101"/>
      <c r="BA117" s="101"/>
      <c r="BB117" s="101"/>
      <c r="BC117" s="101"/>
      <c r="BD117" s="101"/>
      <c r="BE117" s="101"/>
      <c r="BF117" s="101"/>
      <c r="BG117" s="101"/>
      <c r="BH117" s="101"/>
      <c r="BI117" s="101"/>
      <c r="BJ117" s="101"/>
      <c r="BK117" s="101"/>
      <c r="BL117" s="101"/>
      <c r="BM117" s="101"/>
      <c r="BN117" s="101"/>
      <c r="BO117" s="101"/>
      <c r="BP117" s="101"/>
      <c r="BQ117" s="101"/>
      <c r="BR117" s="101"/>
      <c r="BS117" s="101"/>
      <c r="BT117" s="101"/>
      <c r="BU117" s="101"/>
      <c r="BV117" s="59"/>
      <c r="BW117" s="59"/>
      <c r="BX117" s="59"/>
      <c r="BY117" s="59"/>
      <c r="BZ117" s="59"/>
      <c r="CA117" s="59"/>
      <c r="CB117" s="59"/>
      <c r="CC117" s="59"/>
      <c r="CD117" s="59"/>
      <c r="CE117" s="59"/>
    </row>
    <row r="118" spans="1:83" ht="24.75" customHeight="1">
      <c r="A118" s="312"/>
      <c r="B118" s="60"/>
      <c r="C118" s="247"/>
      <c r="D118" s="1213"/>
      <c r="E118" s="1233" t="s">
        <v>416</v>
      </c>
      <c r="F118" s="1233"/>
      <c r="G118" s="1233"/>
      <c r="H118" s="1233"/>
      <c r="I118" s="1233"/>
      <c r="J118" s="1233"/>
      <c r="K118" s="1233"/>
      <c r="L118" s="1233"/>
      <c r="M118" s="1233"/>
      <c r="N118" s="1233"/>
      <c r="O118" s="1233"/>
      <c r="P118" s="1233"/>
      <c r="Q118" s="333">
        <f>SUMIF(T119:T120,"i",Q119:Q120)</f>
        <v>0</v>
      </c>
      <c r="R118" s="615"/>
      <c r="S118" s="150" t="s">
        <v>417</v>
      </c>
      <c r="T118" s="423" t="s">
        <v>418</v>
      </c>
      <c r="U118" s="1204">
        <v>1</v>
      </c>
      <c r="V118" s="1204" t="s">
        <v>419</v>
      </c>
      <c r="W118" s="60"/>
      <c r="X118" s="60"/>
      <c r="Y118" s="60"/>
      <c r="Z118" s="60"/>
      <c r="AA118" s="65"/>
      <c r="AB118" s="60"/>
      <c r="AC118" s="1227"/>
      <c r="AD118" s="59"/>
      <c r="AE118" s="60"/>
      <c r="AF118" s="60"/>
      <c r="AG118" s="65"/>
      <c r="AH118" s="65"/>
      <c r="AI118" s="65"/>
      <c r="AJ118" s="65"/>
      <c r="AK118" s="65"/>
      <c r="AL118" s="65"/>
      <c r="AM118" s="65"/>
      <c r="AN118" s="65"/>
      <c r="AO118" s="65"/>
      <c r="AP118" s="65"/>
      <c r="AQ118" s="65"/>
      <c r="AR118" s="65"/>
      <c r="AS118" s="65"/>
      <c r="AT118" s="65"/>
      <c r="AU118" s="65"/>
      <c r="AV118" s="65"/>
      <c r="AW118" s="65"/>
      <c r="AX118" s="65"/>
      <c r="AY118" s="65"/>
      <c r="AZ118" s="65"/>
      <c r="BA118" s="65"/>
      <c r="BB118" s="65"/>
      <c r="BC118" s="65"/>
      <c r="BD118" s="65"/>
      <c r="BE118" s="65"/>
      <c r="BF118" s="65"/>
      <c r="BG118" s="65"/>
      <c r="BH118" s="65"/>
      <c r="BI118" s="65"/>
      <c r="BJ118" s="65"/>
      <c r="BK118" s="65"/>
      <c r="BL118" s="65"/>
      <c r="BM118" s="65"/>
      <c r="BN118" s="65"/>
      <c r="BO118" s="65"/>
      <c r="BP118" s="65"/>
      <c r="BQ118" s="65"/>
      <c r="BR118" s="65"/>
      <c r="BS118" s="65"/>
      <c r="BT118" s="65"/>
      <c r="BU118" s="65"/>
      <c r="BV118" s="60"/>
      <c r="BW118" s="60"/>
      <c r="BX118" s="60"/>
      <c r="BY118" s="60"/>
      <c r="BZ118" s="60"/>
      <c r="CA118" s="60"/>
      <c r="CB118" s="60"/>
      <c r="CC118" s="60"/>
      <c r="CD118" s="60"/>
      <c r="CE118" s="60"/>
    </row>
    <row r="119" spans="1:83" ht="11.25" hidden="1" customHeight="1">
      <c r="A119" s="119"/>
      <c r="B119" s="65"/>
      <c r="C119" s="65"/>
      <c r="D119" s="1213"/>
      <c r="E119" s="373"/>
      <c r="F119" s="373">
        <v>0</v>
      </c>
      <c r="G119" s="373"/>
      <c r="H119" s="373"/>
      <c r="I119" s="373"/>
      <c r="J119" s="373"/>
      <c r="K119" s="373"/>
      <c r="L119" s="373"/>
      <c r="M119" s="373"/>
      <c r="N119" s="373"/>
      <c r="O119" s="373"/>
      <c r="P119" s="373"/>
      <c r="Q119" s="373"/>
      <c r="R119" s="373"/>
      <c r="S119" s="328"/>
      <c r="T119" s="424"/>
      <c r="U119" s="1204"/>
      <c r="V119" s="1204"/>
      <c r="W119" s="65"/>
      <c r="X119" s="65"/>
      <c r="Y119" s="65"/>
      <c r="Z119" s="65"/>
      <c r="AA119" s="65"/>
      <c r="AB119" s="60"/>
      <c r="AC119" s="1227"/>
      <c r="AD119" s="59"/>
      <c r="AE119" s="60"/>
      <c r="AF119" s="60"/>
      <c r="AG119" s="65"/>
      <c r="AH119" s="65"/>
      <c r="AI119" s="65"/>
      <c r="AJ119" s="65"/>
      <c r="AK119" s="65"/>
      <c r="AL119" s="65"/>
      <c r="AM119" s="65"/>
      <c r="AN119" s="65"/>
      <c r="AO119" s="65"/>
      <c r="AP119" s="65"/>
      <c r="AQ119" s="65"/>
      <c r="AR119" s="65"/>
      <c r="AS119" s="65"/>
      <c r="AT119" s="65"/>
      <c r="AU119" s="65"/>
      <c r="AV119" s="65"/>
      <c r="AW119" s="65"/>
      <c r="AX119" s="65"/>
      <c r="AY119" s="65"/>
      <c r="AZ119" s="65"/>
      <c r="BA119" s="65"/>
      <c r="BB119" s="65"/>
      <c r="BC119" s="65"/>
      <c r="BD119" s="65"/>
      <c r="BE119" s="65"/>
      <c r="BF119" s="65"/>
      <c r="BG119" s="65"/>
      <c r="BH119" s="65"/>
      <c r="BI119" s="65"/>
      <c r="BJ119" s="65"/>
      <c r="BK119" s="65"/>
      <c r="BL119" s="65"/>
      <c r="BM119" s="65"/>
      <c r="BN119" s="65"/>
      <c r="BO119" s="65"/>
      <c r="BP119" s="65"/>
      <c r="BQ119" s="65"/>
      <c r="BR119" s="65"/>
      <c r="BS119" s="65"/>
      <c r="BT119" s="65"/>
      <c r="BU119" s="65"/>
      <c r="BV119" s="65"/>
      <c r="BW119" s="65"/>
      <c r="BX119" s="65"/>
      <c r="BY119" s="65"/>
      <c r="BZ119" s="65"/>
      <c r="CA119" s="65"/>
      <c r="CB119" s="65"/>
      <c r="CC119" s="65"/>
      <c r="CD119" s="65"/>
      <c r="CE119" s="65"/>
    </row>
    <row r="120" spans="1:83" ht="11.25" customHeight="1">
      <c r="A120" s="312"/>
      <c r="B120" s="60"/>
      <c r="C120" s="247"/>
      <c r="D120" s="1213"/>
      <c r="E120" s="186" t="s">
        <v>18</v>
      </c>
      <c r="F120" s="107" t="s">
        <v>18</v>
      </c>
      <c r="G120" s="107" t="s">
        <v>420</v>
      </c>
      <c r="H120" s="50" t="s">
        <v>18</v>
      </c>
      <c r="I120" s="50"/>
      <c r="J120" s="50"/>
      <c r="K120" s="50"/>
      <c r="L120" s="50"/>
      <c r="M120" s="50"/>
      <c r="N120" s="50"/>
      <c r="O120" s="50"/>
      <c r="P120" s="50"/>
      <c r="Q120" s="50"/>
      <c r="R120" s="363"/>
      <c r="S120" s="381"/>
      <c r="T120" s="424"/>
      <c r="U120" s="1204"/>
      <c r="V120" s="1204"/>
      <c r="W120" s="60"/>
      <c r="X120" s="60"/>
      <c r="Y120" s="60"/>
      <c r="Z120" s="60"/>
      <c r="AA120" s="65"/>
      <c r="AB120" s="60"/>
      <c r="AC120" s="1227"/>
      <c r="AD120" s="59"/>
      <c r="AE120" s="60"/>
      <c r="AF120" s="60"/>
      <c r="AG120" s="65"/>
      <c r="AH120" s="65"/>
      <c r="AI120" s="65"/>
      <c r="AJ120" s="65"/>
      <c r="AK120" s="65"/>
      <c r="AL120" s="65"/>
      <c r="AM120" s="65"/>
      <c r="AN120" s="65"/>
      <c r="AO120" s="65"/>
      <c r="AP120" s="65"/>
      <c r="AQ120" s="65"/>
      <c r="AR120" s="65"/>
      <c r="AS120" s="65"/>
      <c r="AT120" s="65"/>
      <c r="AU120" s="65"/>
      <c r="AV120" s="65"/>
      <c r="AW120" s="65"/>
      <c r="AX120" s="65"/>
      <c r="AY120" s="65"/>
      <c r="AZ120" s="65"/>
      <c r="BA120" s="65"/>
      <c r="BB120" s="65"/>
      <c r="BC120" s="65"/>
      <c r="BD120" s="65"/>
      <c r="BE120" s="65"/>
      <c r="BF120" s="65"/>
      <c r="BG120" s="65"/>
      <c r="BH120" s="65"/>
      <c r="BI120" s="65"/>
      <c r="BJ120" s="65"/>
      <c r="BK120" s="65"/>
      <c r="BL120" s="65"/>
      <c r="BM120" s="65"/>
      <c r="BN120" s="65"/>
      <c r="BO120" s="65"/>
      <c r="BP120" s="65"/>
      <c r="BQ120" s="65"/>
      <c r="BR120" s="65"/>
      <c r="BS120" s="65"/>
      <c r="BT120" s="65"/>
      <c r="BU120" s="65"/>
      <c r="BV120" s="60"/>
      <c r="BW120" s="60"/>
      <c r="BX120" s="60"/>
      <c r="BY120" s="60"/>
      <c r="BZ120" s="60"/>
      <c r="CA120" s="60"/>
      <c r="CB120" s="60"/>
      <c r="CC120" s="60"/>
      <c r="CD120" s="60"/>
      <c r="CE120" s="60"/>
    </row>
    <row r="121" spans="1:83" s="101" customFormat="1" ht="5.25" hidden="1" customHeight="1">
      <c r="A121" s="119"/>
      <c r="B121" s="65"/>
      <c r="C121" s="65"/>
      <c r="D121" s="1213"/>
      <c r="E121" s="630"/>
      <c r="F121" s="630"/>
      <c r="G121" s="630"/>
      <c r="H121" s="630"/>
      <c r="I121" s="630"/>
      <c r="J121" s="630"/>
      <c r="K121" s="630"/>
      <c r="L121" s="630"/>
      <c r="M121" s="630"/>
      <c r="N121" s="630"/>
      <c r="O121" s="630"/>
      <c r="P121" s="630"/>
      <c r="Q121" s="631"/>
      <c r="R121" s="632"/>
      <c r="S121" s="373"/>
      <c r="T121" s="423" t="s">
        <v>418</v>
      </c>
      <c r="U121" s="1204">
        <v>1</v>
      </c>
      <c r="V121" s="1204" t="s">
        <v>419</v>
      </c>
      <c r="W121" s="65"/>
      <c r="X121" s="65"/>
      <c r="Y121" s="65"/>
      <c r="Z121" s="65"/>
      <c r="AA121" s="65"/>
      <c r="AB121" s="65"/>
      <c r="AC121" s="629"/>
      <c r="AE121" s="65"/>
      <c r="AF121" s="65"/>
      <c r="AG121" s="65"/>
      <c r="AH121" s="65"/>
      <c r="AI121" s="65"/>
      <c r="AJ121" s="65"/>
      <c r="AK121" s="65"/>
      <c r="AL121" s="65"/>
      <c r="AM121" s="65"/>
      <c r="AN121" s="65"/>
      <c r="AO121" s="65"/>
      <c r="AP121" s="65"/>
      <c r="AQ121" s="65"/>
      <c r="AR121" s="65"/>
      <c r="AS121" s="65"/>
      <c r="AT121" s="65"/>
      <c r="AU121" s="65"/>
      <c r="AV121" s="65"/>
      <c r="AW121" s="65"/>
      <c r="AX121" s="65"/>
      <c r="AY121" s="65"/>
      <c r="AZ121" s="65"/>
      <c r="BA121" s="65"/>
      <c r="BB121" s="65"/>
      <c r="BC121" s="65"/>
      <c r="BD121" s="65"/>
      <c r="BE121" s="65"/>
      <c r="BF121" s="65"/>
      <c r="BG121" s="65"/>
      <c r="BH121" s="65"/>
      <c r="BI121" s="65"/>
      <c r="BJ121" s="65"/>
      <c r="BK121" s="65"/>
      <c r="BL121" s="65"/>
      <c r="BM121" s="65"/>
      <c r="BN121" s="65"/>
      <c r="BO121" s="65"/>
      <c r="BP121" s="65"/>
      <c r="BQ121" s="65"/>
      <c r="BR121" s="65"/>
      <c r="BS121" s="65"/>
      <c r="BT121" s="65"/>
      <c r="BU121" s="65"/>
      <c r="BV121" s="65"/>
      <c r="BW121" s="65"/>
      <c r="BX121" s="65"/>
      <c r="BY121" s="65"/>
      <c r="BZ121" s="65"/>
      <c r="CA121" s="65"/>
      <c r="CB121" s="65"/>
      <c r="CC121" s="65"/>
      <c r="CD121" s="65"/>
      <c r="CE121" s="65"/>
    </row>
    <row r="122" spans="1:83" s="101" customFormat="1" ht="5.25" hidden="1" customHeight="1">
      <c r="A122" s="119"/>
      <c r="B122" s="65"/>
      <c r="C122" s="65"/>
      <c r="D122" s="1213"/>
      <c r="E122" s="373"/>
      <c r="F122" s="373"/>
      <c r="G122" s="373"/>
      <c r="H122" s="373"/>
      <c r="I122" s="373"/>
      <c r="J122" s="373"/>
      <c r="K122" s="373"/>
      <c r="L122" s="373"/>
      <c r="M122" s="373"/>
      <c r="N122" s="373"/>
      <c r="O122" s="373"/>
      <c r="P122" s="373"/>
      <c r="Q122" s="373"/>
      <c r="R122" s="373"/>
      <c r="S122" s="328"/>
      <c r="T122" s="424"/>
      <c r="U122" s="1204"/>
      <c r="V122" s="1204"/>
      <c r="W122" s="65"/>
      <c r="X122" s="65"/>
      <c r="Y122" s="65"/>
      <c r="Z122" s="65"/>
      <c r="AA122" s="65"/>
      <c r="AB122" s="65"/>
      <c r="AC122" s="629"/>
      <c r="AE122" s="65"/>
      <c r="AF122" s="65"/>
      <c r="AG122" s="65"/>
      <c r="AH122" s="65"/>
      <c r="AI122" s="65"/>
      <c r="AJ122" s="65"/>
      <c r="AK122" s="65"/>
      <c r="AL122" s="65"/>
      <c r="AM122" s="65"/>
      <c r="AN122" s="65"/>
      <c r="AO122" s="65"/>
      <c r="AP122" s="65"/>
      <c r="AQ122" s="65"/>
      <c r="AR122" s="65"/>
      <c r="AS122" s="65"/>
      <c r="AT122" s="65"/>
      <c r="AU122" s="65"/>
      <c r="AV122" s="65"/>
      <c r="AW122" s="65"/>
      <c r="AX122" s="65"/>
      <c r="AY122" s="65"/>
      <c r="AZ122" s="65"/>
      <c r="BA122" s="65"/>
      <c r="BB122" s="65"/>
      <c r="BC122" s="65"/>
      <c r="BD122" s="65"/>
      <c r="BE122" s="65"/>
      <c r="BF122" s="65"/>
      <c r="BG122" s="65"/>
      <c r="BH122" s="65"/>
      <c r="BI122" s="65"/>
      <c r="BJ122" s="65"/>
      <c r="BK122" s="65"/>
      <c r="BL122" s="65"/>
      <c r="BM122" s="65"/>
      <c r="BN122" s="65"/>
      <c r="BO122" s="65"/>
      <c r="BP122" s="65"/>
      <c r="BQ122" s="65"/>
      <c r="BR122" s="65"/>
      <c r="BS122" s="65"/>
      <c r="BT122" s="65"/>
      <c r="BU122" s="65"/>
      <c r="BV122" s="65"/>
      <c r="BW122" s="65"/>
      <c r="BX122" s="65"/>
      <c r="BY122" s="65"/>
      <c r="BZ122" s="65"/>
      <c r="CA122" s="65"/>
      <c r="CB122" s="65"/>
      <c r="CC122" s="65"/>
      <c r="CD122" s="65"/>
      <c r="CE122" s="65"/>
    </row>
    <row r="123" spans="1:83" s="101" customFormat="1" ht="5.25" hidden="1" customHeight="1">
      <c r="A123" s="119"/>
      <c r="B123" s="65"/>
      <c r="C123" s="65"/>
      <c r="D123" s="1214"/>
      <c r="E123" s="633"/>
      <c r="F123" s="634"/>
      <c r="G123" s="634"/>
      <c r="H123" s="635"/>
      <c r="I123" s="635"/>
      <c r="J123" s="635"/>
      <c r="K123" s="635"/>
      <c r="L123" s="635"/>
      <c r="M123" s="635"/>
      <c r="N123" s="635"/>
      <c r="O123" s="635"/>
      <c r="P123" s="635"/>
      <c r="Q123" s="635"/>
      <c r="R123" s="562"/>
      <c r="S123" s="636"/>
      <c r="T123" s="424"/>
      <c r="U123" s="1204"/>
      <c r="V123" s="1204"/>
      <c r="W123" s="65"/>
      <c r="X123" s="65"/>
      <c r="Y123" s="65"/>
      <c r="Z123" s="65"/>
      <c r="AA123" s="65"/>
      <c r="AB123" s="65"/>
      <c r="AC123" s="629"/>
      <c r="AE123" s="65"/>
      <c r="AF123" s="65"/>
      <c r="AG123" s="65"/>
      <c r="AH123" s="65"/>
      <c r="AI123" s="65"/>
      <c r="AJ123" s="65"/>
      <c r="AK123" s="65"/>
      <c r="AL123" s="65"/>
      <c r="AM123" s="65"/>
      <c r="AN123" s="65"/>
      <c r="AO123" s="65"/>
      <c r="AP123" s="65"/>
      <c r="AQ123" s="65"/>
      <c r="AR123" s="65"/>
      <c r="AS123" s="65"/>
      <c r="AT123" s="65"/>
      <c r="AU123" s="65"/>
      <c r="AV123" s="65"/>
      <c r="AW123" s="65"/>
      <c r="AX123" s="65"/>
      <c r="AY123" s="65"/>
      <c r="AZ123" s="65"/>
      <c r="BA123" s="65"/>
      <c r="BB123" s="65"/>
      <c r="BC123" s="65"/>
      <c r="BD123" s="65"/>
      <c r="BE123" s="65"/>
      <c r="BF123" s="65"/>
      <c r="BG123" s="65"/>
      <c r="BH123" s="65"/>
      <c r="BI123" s="65"/>
      <c r="BJ123" s="65"/>
      <c r="BK123" s="65"/>
      <c r="BL123" s="65"/>
      <c r="BM123" s="65"/>
      <c r="BN123" s="65"/>
      <c r="BO123" s="65"/>
      <c r="BP123" s="65"/>
      <c r="BQ123" s="65"/>
      <c r="BR123" s="65"/>
      <c r="BS123" s="65"/>
      <c r="BT123" s="65"/>
      <c r="BU123" s="65"/>
      <c r="BV123" s="65"/>
      <c r="BW123" s="65"/>
      <c r="BX123" s="65"/>
      <c r="BY123" s="65"/>
      <c r="BZ123" s="65"/>
      <c r="CA123" s="65"/>
      <c r="CB123" s="65"/>
      <c r="CC123" s="65"/>
      <c r="CD123" s="65"/>
      <c r="CE123" s="65"/>
    </row>
    <row r="124" spans="1:83" ht="17.25" customHeight="1">
      <c r="D124" s="1032"/>
    </row>
    <row r="125" spans="1:83" s="1021" customFormat="1" ht="11.25" customHeight="1">
      <c r="A125" s="1021" t="s">
        <v>424</v>
      </c>
    </row>
    <row r="127" spans="1:83" ht="45" customHeight="1">
      <c r="A127" s="312"/>
      <c r="B127" s="60"/>
      <c r="C127" s="247"/>
      <c r="E127" s="1228"/>
      <c r="F127" s="1094" t="s">
        <v>110</v>
      </c>
      <c r="G127" s="1231" t="s">
        <v>18</v>
      </c>
      <c r="H127" s="64"/>
      <c r="I127" s="374" t="s">
        <v>110</v>
      </c>
      <c r="J127" s="120" t="s">
        <v>425</v>
      </c>
      <c r="K127" s="145" t="s">
        <v>426</v>
      </c>
      <c r="L127" s="1175" t="s">
        <v>426</v>
      </c>
      <c r="M127" s="1135"/>
      <c r="N127" s="145" t="s">
        <v>426</v>
      </c>
      <c r="O127" s="145" t="s">
        <v>426</v>
      </c>
      <c r="P127" s="145" t="s">
        <v>426</v>
      </c>
      <c r="Q127" s="375">
        <f>SUM(Q128:Q130)</f>
        <v>0</v>
      </c>
      <c r="R127" s="375">
        <f>IF(R124=0,0,(Q124/R124)*100)</f>
        <v>0</v>
      </c>
      <c r="S127" s="1147"/>
      <c r="T127" s="423" t="s">
        <v>418</v>
      </c>
    </row>
    <row r="128" spans="1:83" ht="11.25" customHeight="1">
      <c r="A128" s="312"/>
      <c r="B128" s="60"/>
      <c r="C128" s="247"/>
      <c r="E128" s="1229"/>
      <c r="F128" s="1094"/>
      <c r="G128" s="1231"/>
      <c r="H128" s="1083"/>
      <c r="I128" s="1207" t="s">
        <v>427</v>
      </c>
      <c r="J128" s="1225"/>
      <c r="K128" s="1226"/>
      <c r="L128" s="102"/>
      <c r="M128" s="376" t="s">
        <v>110</v>
      </c>
      <c r="N128" s="261"/>
      <c r="O128" s="227"/>
      <c r="P128" s="377"/>
      <c r="Q128" s="227"/>
      <c r="R128" s="378">
        <v>0</v>
      </c>
      <c r="S128" s="1147"/>
      <c r="T128" s="423"/>
    </row>
    <row r="129" spans="1:43" ht="11.25" customHeight="1">
      <c r="A129" s="312"/>
      <c r="B129" s="60"/>
      <c r="C129" s="247"/>
      <c r="E129" s="1229"/>
      <c r="F129" s="1094"/>
      <c r="G129" s="1231"/>
      <c r="H129" s="1083"/>
      <c r="I129" s="1207"/>
      <c r="J129" s="1225"/>
      <c r="K129" s="1209"/>
      <c r="L129" s="379"/>
      <c r="M129" s="380"/>
      <c r="N129" s="50" t="s">
        <v>428</v>
      </c>
      <c r="O129" s="50"/>
      <c r="P129" s="50"/>
      <c r="Q129" s="50"/>
      <c r="R129" s="363"/>
      <c r="S129" s="1147"/>
      <c r="T129" s="423"/>
    </row>
    <row r="130" spans="1:43" ht="11.25" customHeight="1">
      <c r="A130" s="312"/>
      <c r="B130" s="60"/>
      <c r="C130" s="247"/>
      <c r="E130" s="1230"/>
      <c r="F130" s="1094"/>
      <c r="G130" s="1232"/>
      <c r="H130" s="379" t="s">
        <v>18</v>
      </c>
      <c r="I130" s="380"/>
      <c r="J130" s="50" t="s">
        <v>429</v>
      </c>
      <c r="K130" s="50"/>
      <c r="L130" s="50"/>
      <c r="M130" s="50"/>
      <c r="N130" s="50"/>
      <c r="O130" s="50"/>
      <c r="P130" s="50"/>
      <c r="Q130" s="50"/>
      <c r="R130" s="363"/>
      <c r="S130" s="1147"/>
      <c r="T130" s="423"/>
    </row>
    <row r="135" spans="1:43" ht="11.25" customHeight="1">
      <c r="A135" s="312"/>
      <c r="B135" s="60"/>
      <c r="C135" s="247"/>
      <c r="E135" s="1027"/>
      <c r="F135" s="1027"/>
      <c r="G135" s="1027"/>
      <c r="H135" s="1083"/>
      <c r="I135" s="1207" t="s">
        <v>427</v>
      </c>
      <c r="J135" s="1225"/>
      <c r="K135" s="1226"/>
      <c r="L135" s="102"/>
      <c r="M135" s="376" t="s">
        <v>110</v>
      </c>
      <c r="N135" s="261"/>
      <c r="O135" s="227"/>
      <c r="P135" s="377"/>
      <c r="Q135" s="227"/>
      <c r="R135" s="378">
        <v>0</v>
      </c>
      <c r="T135" s="423"/>
    </row>
    <row r="136" spans="1:43" ht="11.25" customHeight="1">
      <c r="A136" s="312"/>
      <c r="B136" s="60"/>
      <c r="C136" s="247"/>
      <c r="E136" s="1027"/>
      <c r="F136" s="1027"/>
      <c r="G136" s="1027"/>
      <c r="H136" s="1083"/>
      <c r="I136" s="1207"/>
      <c r="J136" s="1225"/>
      <c r="K136" s="1209"/>
      <c r="L136" s="379"/>
      <c r="M136" s="380"/>
      <c r="N136" s="50" t="s">
        <v>428</v>
      </c>
      <c r="O136" s="50"/>
      <c r="P136" s="50"/>
      <c r="Q136" s="50"/>
      <c r="R136" s="363"/>
      <c r="T136" s="423"/>
    </row>
    <row r="138" spans="1:43" ht="11.25" customHeight="1">
      <c r="A138" s="312"/>
      <c r="B138" s="60"/>
      <c r="C138" s="247"/>
      <c r="E138" s="1033"/>
      <c r="H138" s="216"/>
      <c r="I138" s="1027"/>
      <c r="J138" s="1028"/>
      <c r="K138" s="1028"/>
      <c r="L138" s="102"/>
      <c r="M138" s="376" t="s">
        <v>110</v>
      </c>
      <c r="N138" s="261"/>
      <c r="O138" s="227"/>
      <c r="P138" s="377"/>
      <c r="Q138" s="227"/>
      <c r="R138" s="378">
        <v>0</v>
      </c>
      <c r="T138" s="423"/>
    </row>
    <row r="140" spans="1:43" s="1021" customFormat="1" ht="17.25" customHeight="1">
      <c r="A140" s="1021" t="s">
        <v>430</v>
      </c>
    </row>
    <row r="141" spans="1:43" ht="17.25" customHeight="1">
      <c r="G141" s="1034"/>
      <c r="H141" s="1034"/>
      <c r="I141" s="1034"/>
    </row>
    <row r="142" spans="1:43" s="33" customFormat="1" ht="17.25" customHeight="1">
      <c r="A142" s="191"/>
      <c r="C142" s="74"/>
      <c r="D142" s="1205"/>
      <c r="E142" s="1105"/>
      <c r="F142" s="1107"/>
      <c r="G142" s="1210"/>
      <c r="H142" s="1205"/>
      <c r="I142" s="1205">
        <v>1</v>
      </c>
      <c r="J142" s="1236"/>
      <c r="K142" s="1150" t="s">
        <v>59</v>
      </c>
      <c r="L142" s="1094"/>
      <c r="M142" s="1094" t="s">
        <v>110</v>
      </c>
      <c r="N142" s="1234" t="str">
        <f>IF(Z142="","",INDEX(TERRITORY_MR_LIST,MATCH(Z142,TERRITORY_LIST_ID,0)))</f>
        <v/>
      </c>
      <c r="O142" s="1150" t="s">
        <v>59</v>
      </c>
      <c r="P142" s="1094"/>
      <c r="Q142" s="1094" t="s">
        <v>110</v>
      </c>
      <c r="R142" s="1209" t="s">
        <v>18</v>
      </c>
      <c r="S142" s="1093" t="s">
        <v>59</v>
      </c>
      <c r="T142" s="41"/>
      <c r="U142" s="41" t="s">
        <v>110</v>
      </c>
      <c r="V142" s="261" t="s">
        <v>18</v>
      </c>
      <c r="W142" s="35"/>
      <c r="Y142" s="761"/>
      <c r="Z142" s="761"/>
      <c r="AA142" s="761"/>
      <c r="AB142" s="761"/>
      <c r="AC142" s="761"/>
      <c r="AD142" s="761"/>
      <c r="AE142" s="761"/>
      <c r="AF142" s="761"/>
      <c r="AG142" s="761"/>
      <c r="AH142" s="761"/>
      <c r="AI142" s="761"/>
      <c r="AJ142" s="761"/>
      <c r="AK142" s="761"/>
      <c r="AL142" s="141"/>
      <c r="AM142" s="141"/>
      <c r="AN142" s="761"/>
      <c r="AO142" s="761"/>
      <c r="AP142" s="761"/>
      <c r="AQ142" s="761"/>
    </row>
    <row r="143" spans="1:43" s="33" customFormat="1" ht="17.25" customHeight="1">
      <c r="A143" s="191"/>
      <c r="D143" s="1205"/>
      <c r="E143" s="1105"/>
      <c r="F143" s="1108"/>
      <c r="G143" s="1210"/>
      <c r="H143" s="1205"/>
      <c r="I143" s="1205"/>
      <c r="J143" s="1236"/>
      <c r="K143" s="1151"/>
      <c r="L143" s="1094"/>
      <c r="M143" s="1094"/>
      <c r="N143" s="1234"/>
      <c r="O143" s="1151"/>
      <c r="P143" s="1094"/>
      <c r="Q143" s="1094"/>
      <c r="R143" s="1209"/>
      <c r="S143" s="1093"/>
      <c r="T143" s="188"/>
      <c r="U143" s="189"/>
      <c r="V143" s="189" t="s">
        <v>431</v>
      </c>
      <c r="W143" s="190"/>
      <c r="Y143" s="15"/>
      <c r="Z143" s="15"/>
      <c r="AA143" s="15"/>
      <c r="AB143" s="15"/>
      <c r="AC143" s="15"/>
      <c r="AD143" s="15"/>
      <c r="AE143" s="15"/>
      <c r="AF143" s="15"/>
      <c r="AG143" s="15"/>
      <c r="AH143" s="15"/>
      <c r="AI143" s="15"/>
      <c r="AJ143" s="15"/>
      <c r="AK143" s="15"/>
    </row>
    <row r="144" spans="1:43" s="33" customFormat="1" ht="17.25" customHeight="1">
      <c r="A144" s="191"/>
      <c r="D144" s="1104"/>
      <c r="E144" s="1106"/>
      <c r="F144" s="1108"/>
      <c r="G144" s="1211"/>
      <c r="H144" s="1104"/>
      <c r="I144" s="1104"/>
      <c r="J144" s="1237"/>
      <c r="K144" s="1151"/>
      <c r="L144" s="1104"/>
      <c r="M144" s="1104"/>
      <c r="N144" s="1235"/>
      <c r="O144" s="1098"/>
      <c r="P144" s="188"/>
      <c r="Q144" s="189"/>
      <c r="R144" s="189" t="s">
        <v>432</v>
      </c>
      <c r="S144" s="1035"/>
      <c r="T144" s="1035"/>
      <c r="U144" s="1035"/>
      <c r="V144" s="1035"/>
      <c r="W144" s="190"/>
      <c r="Y144" s="15"/>
      <c r="Z144" s="15"/>
      <c r="AA144" s="15"/>
      <c r="AB144" s="15"/>
      <c r="AC144" s="15"/>
      <c r="AD144" s="15"/>
      <c r="AE144" s="15"/>
      <c r="AF144" s="15"/>
      <c r="AG144" s="15"/>
      <c r="AH144" s="15"/>
      <c r="AI144" s="15"/>
      <c r="AJ144" s="15"/>
      <c r="AK144" s="15"/>
    </row>
    <row r="145" spans="1:43" s="33" customFormat="1" ht="17.25" customHeight="1">
      <c r="A145" s="191"/>
      <c r="D145" s="1104"/>
      <c r="E145" s="1106"/>
      <c r="F145" s="1108"/>
      <c r="G145" s="1211"/>
      <c r="H145" s="1104"/>
      <c r="I145" s="1104"/>
      <c r="J145" s="1237"/>
      <c r="K145" s="1098"/>
      <c r="L145" s="188"/>
      <c r="M145" s="189"/>
      <c r="N145" s="189" t="s">
        <v>433</v>
      </c>
      <c r="O145" s="189"/>
      <c r="P145" s="189"/>
      <c r="Q145" s="189"/>
      <c r="R145" s="189"/>
      <c r="S145" s="1035"/>
      <c r="T145" s="1035"/>
      <c r="U145" s="1035"/>
      <c r="V145" s="1035"/>
      <c r="W145" s="190"/>
      <c r="Y145" s="15"/>
      <c r="Z145" s="15"/>
      <c r="AA145" s="15"/>
      <c r="AB145" s="15"/>
      <c r="AC145" s="15"/>
      <c r="AD145" s="15"/>
      <c r="AE145" s="15"/>
      <c r="AF145" s="15"/>
      <c r="AG145" s="15"/>
      <c r="AH145" s="15"/>
      <c r="AI145" s="15"/>
      <c r="AJ145" s="15"/>
      <c r="AK145" s="15"/>
    </row>
    <row r="146" spans="1:43" s="33" customFormat="1" ht="17.25" customHeight="1">
      <c r="A146" s="191"/>
      <c r="D146" s="1104"/>
      <c r="E146" s="1106"/>
      <c r="F146" s="1109"/>
      <c r="G146" s="1211"/>
      <c r="H146" s="188"/>
      <c r="I146" s="189"/>
      <c r="J146" s="189" t="s">
        <v>434</v>
      </c>
      <c r="K146" s="189"/>
      <c r="L146" s="189"/>
      <c r="M146" s="189"/>
      <c r="N146" s="189"/>
      <c r="O146" s="189"/>
      <c r="P146" s="189"/>
      <c r="Q146" s="189"/>
      <c r="R146" s="189"/>
      <c r="S146" s="1035"/>
      <c r="T146" s="1035"/>
      <c r="U146" s="1035"/>
      <c r="V146" s="1035"/>
      <c r="W146" s="190"/>
      <c r="Y146" s="15"/>
      <c r="Z146" s="15"/>
      <c r="AA146" s="15"/>
      <c r="AB146" s="15"/>
      <c r="AC146" s="15"/>
      <c r="AD146" s="15"/>
      <c r="AE146" s="15"/>
      <c r="AF146" s="15"/>
      <c r="AG146" s="15"/>
      <c r="AH146" s="15"/>
      <c r="AI146" s="15"/>
      <c r="AJ146" s="15"/>
      <c r="AK146" s="15"/>
    </row>
    <row r="147" spans="1:43" ht="17.25" customHeight="1">
      <c r="G147" s="1034"/>
      <c r="H147" s="1034"/>
      <c r="I147" s="1034"/>
    </row>
    <row r="148" spans="1:43" s="33" customFormat="1" ht="17.25" customHeight="1">
      <c r="A148" s="191"/>
      <c r="C148" s="74"/>
      <c r="D148" s="1027"/>
      <c r="E148" s="1036"/>
      <c r="F148" s="1014"/>
      <c r="G148" s="1037"/>
      <c r="H148" s="1205"/>
      <c r="I148" s="1205">
        <v>1</v>
      </c>
      <c r="J148" s="1236"/>
      <c r="K148" s="1150" t="s">
        <v>59</v>
      </c>
      <c r="L148" s="1094"/>
      <c r="M148" s="1094" t="s">
        <v>110</v>
      </c>
      <c r="N148" s="1234" t="str">
        <f>IF(Z148="","",INDEX(TERRITORY_MR_LIST,MATCH(Z148,TERRITORY_LIST_ID,0)))</f>
        <v/>
      </c>
      <c r="O148" s="1150" t="s">
        <v>59</v>
      </c>
      <c r="P148" s="1094"/>
      <c r="Q148" s="1094" t="s">
        <v>110</v>
      </c>
      <c r="R148" s="1209" t="s">
        <v>18</v>
      </c>
      <c r="S148" s="1093" t="s">
        <v>59</v>
      </c>
      <c r="T148" s="41"/>
      <c r="U148" s="41" t="s">
        <v>110</v>
      </c>
      <c r="V148" s="261" t="s">
        <v>18</v>
      </c>
      <c r="W148" s="35"/>
      <c r="Y148" s="761"/>
      <c r="Z148" s="761"/>
      <c r="AA148" s="761"/>
      <c r="AB148" s="761"/>
      <c r="AC148" s="761"/>
      <c r="AD148" s="761"/>
      <c r="AE148" s="761"/>
      <c r="AF148" s="761"/>
      <c r="AG148" s="761"/>
      <c r="AH148" s="761"/>
      <c r="AI148" s="761"/>
      <c r="AJ148" s="761"/>
      <c r="AK148" s="761"/>
      <c r="AL148" s="141"/>
      <c r="AM148" s="141"/>
      <c r="AN148" s="761"/>
      <c r="AO148" s="761"/>
      <c r="AP148" s="761"/>
      <c r="AQ148" s="761"/>
    </row>
    <row r="149" spans="1:43" s="33" customFormat="1" ht="17.25" customHeight="1">
      <c r="A149" s="191"/>
      <c r="D149" s="1027"/>
      <c r="E149" s="1036"/>
      <c r="F149" s="1014"/>
      <c r="G149" s="1037"/>
      <c r="H149" s="1205"/>
      <c r="I149" s="1205"/>
      <c r="J149" s="1236"/>
      <c r="K149" s="1151"/>
      <c r="L149" s="1094"/>
      <c r="M149" s="1094"/>
      <c r="N149" s="1234"/>
      <c r="O149" s="1151"/>
      <c r="P149" s="1094"/>
      <c r="Q149" s="1094"/>
      <c r="R149" s="1209"/>
      <c r="S149" s="1093"/>
      <c r="T149" s="188"/>
      <c r="U149" s="189"/>
      <c r="V149" s="189" t="s">
        <v>431</v>
      </c>
      <c r="W149" s="190"/>
      <c r="Y149" s="15"/>
      <c r="Z149" s="15"/>
      <c r="AA149" s="15"/>
      <c r="AB149" s="15"/>
      <c r="AC149" s="15"/>
      <c r="AD149" s="15"/>
      <c r="AE149" s="15"/>
      <c r="AF149" s="15"/>
      <c r="AG149" s="15"/>
      <c r="AH149" s="15"/>
      <c r="AI149" s="15"/>
      <c r="AJ149" s="15"/>
      <c r="AK149" s="15"/>
    </row>
    <row r="150" spans="1:43" s="33" customFormat="1" ht="17.25" customHeight="1">
      <c r="A150" s="191"/>
      <c r="D150" s="1027"/>
      <c r="E150" s="1036"/>
      <c r="F150" s="1014"/>
      <c r="G150" s="1037"/>
      <c r="H150" s="1104"/>
      <c r="I150" s="1104"/>
      <c r="J150" s="1237"/>
      <c r="K150" s="1151"/>
      <c r="L150" s="1104"/>
      <c r="M150" s="1104"/>
      <c r="N150" s="1235"/>
      <c r="O150" s="1098"/>
      <c r="P150" s="188"/>
      <c r="Q150" s="189"/>
      <c r="R150" s="189" t="s">
        <v>432</v>
      </c>
      <c r="S150" s="1035"/>
      <c r="T150" s="1035"/>
      <c r="U150" s="1035"/>
      <c r="V150" s="1035"/>
      <c r="W150" s="190"/>
      <c r="Y150" s="15"/>
      <c r="Z150" s="15"/>
      <c r="AA150" s="15"/>
      <c r="AB150" s="15"/>
      <c r="AC150" s="15"/>
      <c r="AD150" s="15"/>
      <c r="AE150" s="15"/>
      <c r="AF150" s="15"/>
      <c r="AG150" s="15"/>
      <c r="AH150" s="15"/>
      <c r="AI150" s="15"/>
      <c r="AJ150" s="15"/>
      <c r="AK150" s="15"/>
    </row>
    <row r="151" spans="1:43" s="33" customFormat="1" ht="17.25" customHeight="1">
      <c r="A151" s="191"/>
      <c r="D151" s="1027"/>
      <c r="E151" s="1036"/>
      <c r="F151" s="1014"/>
      <c r="G151" s="1037"/>
      <c r="H151" s="1104"/>
      <c r="I151" s="1104"/>
      <c r="J151" s="1237"/>
      <c r="K151" s="1098"/>
      <c r="L151" s="188"/>
      <c r="M151" s="189"/>
      <c r="N151" s="189" t="s">
        <v>433</v>
      </c>
      <c r="O151" s="189"/>
      <c r="P151" s="189"/>
      <c r="Q151" s="189"/>
      <c r="R151" s="189"/>
      <c r="S151" s="1035"/>
      <c r="T151" s="1035"/>
      <c r="U151" s="1035"/>
      <c r="V151" s="1035"/>
      <c r="W151" s="190"/>
      <c r="Y151" s="15"/>
      <c r="Z151" s="15"/>
      <c r="AA151" s="15"/>
      <c r="AB151" s="15"/>
      <c r="AC151" s="15"/>
      <c r="AD151" s="15"/>
      <c r="AE151" s="15"/>
      <c r="AF151" s="15"/>
      <c r="AG151" s="15"/>
      <c r="AH151" s="15"/>
      <c r="AI151" s="15"/>
      <c r="AJ151" s="15"/>
      <c r="AK151" s="15"/>
    </row>
    <row r="152" spans="1:43" ht="17.25" customHeight="1">
      <c r="G152" s="1034"/>
      <c r="H152" s="1034"/>
      <c r="I152" s="1034"/>
    </row>
    <row r="153" spans="1:43" s="33" customFormat="1" ht="17.25" customHeight="1">
      <c r="A153" s="191"/>
      <c r="C153" s="74"/>
      <c r="D153" s="1027"/>
      <c r="E153" s="1036"/>
      <c r="F153" s="1014"/>
      <c r="G153" s="1037"/>
      <c r="H153" s="1027"/>
      <c r="I153" s="1027"/>
      <c r="J153" s="1038"/>
      <c r="K153" s="1003"/>
      <c r="L153" s="1094"/>
      <c r="M153" s="1094" t="s">
        <v>110</v>
      </c>
      <c r="N153" s="1234" t="str">
        <f>IF(Z153="","",INDEX(TERRITORY_MR_LIST,MATCH(Z153,TERRITORY_LIST_ID,0)))</f>
        <v/>
      </c>
      <c r="O153" s="1150" t="s">
        <v>59</v>
      </c>
      <c r="P153" s="1094"/>
      <c r="Q153" s="1094" t="s">
        <v>110</v>
      </c>
      <c r="R153" s="1209" t="s">
        <v>18</v>
      </c>
      <c r="S153" s="1093" t="s">
        <v>59</v>
      </c>
      <c r="T153" s="41"/>
      <c r="U153" s="41" t="s">
        <v>110</v>
      </c>
      <c r="V153" s="261" t="s">
        <v>18</v>
      </c>
      <c r="W153" s="35"/>
      <c r="Y153" s="761"/>
      <c r="Z153" s="761"/>
      <c r="AA153" s="761"/>
      <c r="AB153" s="761"/>
      <c r="AC153" s="761"/>
      <c r="AD153" s="761"/>
      <c r="AE153" s="761"/>
      <c r="AF153" s="761"/>
      <c r="AG153" s="761"/>
      <c r="AH153" s="761"/>
      <c r="AI153" s="761"/>
      <c r="AJ153" s="761"/>
      <c r="AK153" s="761"/>
      <c r="AL153" s="141"/>
      <c r="AM153" s="141"/>
      <c r="AN153" s="761"/>
      <c r="AO153" s="761"/>
      <c r="AP153" s="761"/>
      <c r="AQ153" s="761"/>
    </row>
    <row r="154" spans="1:43" s="33" customFormat="1" ht="17.25" customHeight="1">
      <c r="A154" s="191"/>
      <c r="D154" s="1027"/>
      <c r="E154" s="1036"/>
      <c r="F154" s="1014"/>
      <c r="G154" s="1037"/>
      <c r="H154" s="1027"/>
      <c r="I154" s="1027"/>
      <c r="J154" s="1038"/>
      <c r="K154" s="1003"/>
      <c r="L154" s="1094"/>
      <c r="M154" s="1094"/>
      <c r="N154" s="1234"/>
      <c r="O154" s="1151"/>
      <c r="P154" s="1094"/>
      <c r="Q154" s="1094"/>
      <c r="R154" s="1209"/>
      <c r="S154" s="1093"/>
      <c r="T154" s="188"/>
      <c r="U154" s="189"/>
      <c r="V154" s="189" t="s">
        <v>431</v>
      </c>
      <c r="W154" s="190"/>
      <c r="Y154" s="15"/>
      <c r="Z154" s="15"/>
      <c r="AA154" s="15"/>
      <c r="AB154" s="15"/>
      <c r="AC154" s="15"/>
      <c r="AD154" s="15"/>
      <c r="AE154" s="15"/>
      <c r="AF154" s="15"/>
      <c r="AG154" s="15"/>
      <c r="AH154" s="15"/>
      <c r="AI154" s="15"/>
      <c r="AJ154" s="15"/>
      <c r="AK154" s="15"/>
    </row>
    <row r="155" spans="1:43" s="33" customFormat="1" ht="17.25" customHeight="1">
      <c r="A155" s="191"/>
      <c r="D155" s="1027"/>
      <c r="E155" s="1036"/>
      <c r="F155" s="1014"/>
      <c r="G155" s="1037"/>
      <c r="H155" s="1027"/>
      <c r="I155" s="1027"/>
      <c r="J155" s="1038"/>
      <c r="K155" s="1003"/>
      <c r="L155" s="1104"/>
      <c r="M155" s="1104"/>
      <c r="N155" s="1235"/>
      <c r="O155" s="1098"/>
      <c r="P155" s="188"/>
      <c r="Q155" s="189"/>
      <c r="R155" s="189" t="s">
        <v>432</v>
      </c>
      <c r="S155" s="1035"/>
      <c r="T155" s="1035"/>
      <c r="U155" s="1035"/>
      <c r="V155" s="1035"/>
      <c r="W155" s="190"/>
      <c r="Y155" s="15"/>
      <c r="Z155" s="15"/>
      <c r="AA155" s="15"/>
      <c r="AB155" s="15"/>
      <c r="AC155" s="15"/>
      <c r="AD155" s="15"/>
      <c r="AE155" s="15"/>
      <c r="AF155" s="15"/>
      <c r="AG155" s="15"/>
      <c r="AH155" s="15"/>
      <c r="AI155" s="15"/>
      <c r="AJ155" s="15"/>
      <c r="AK155" s="15"/>
    </row>
    <row r="156" spans="1:43" ht="17.25" customHeight="1">
      <c r="G156" s="1034"/>
      <c r="H156" s="1034"/>
      <c r="I156" s="1034"/>
    </row>
    <row r="157" spans="1:43" s="33" customFormat="1" ht="17.25" customHeight="1">
      <c r="A157" s="191"/>
      <c r="C157" s="74"/>
      <c r="D157" s="1027"/>
      <c r="E157" s="1036"/>
      <c r="F157" s="1014"/>
      <c r="G157" s="1037"/>
      <c r="H157" s="1027"/>
      <c r="I157" s="1027"/>
      <c r="J157" s="1038"/>
      <c r="K157" s="1003"/>
      <c r="L157" s="906"/>
      <c r="M157" s="906"/>
      <c r="N157" s="1039"/>
      <c r="O157" s="1015"/>
      <c r="P157" s="1094"/>
      <c r="Q157" s="1094" t="s">
        <v>110</v>
      </c>
      <c r="R157" s="1209" t="s">
        <v>18</v>
      </c>
      <c r="S157" s="1093" t="s">
        <v>59</v>
      </c>
      <c r="T157" s="41"/>
      <c r="U157" s="41" t="s">
        <v>110</v>
      </c>
      <c r="V157" s="261" t="s">
        <v>18</v>
      </c>
      <c r="W157" s="35"/>
      <c r="Y157" s="761"/>
      <c r="Z157" s="761"/>
      <c r="AA157" s="761"/>
      <c r="AB157" s="761"/>
      <c r="AC157" s="761"/>
      <c r="AD157" s="761"/>
      <c r="AE157" s="761"/>
      <c r="AF157" s="761"/>
      <c r="AG157" s="761"/>
      <c r="AH157" s="761"/>
      <c r="AI157" s="761"/>
      <c r="AJ157" s="761"/>
      <c r="AK157" s="761"/>
      <c r="AL157" s="141"/>
      <c r="AM157" s="141"/>
      <c r="AN157" s="761"/>
      <c r="AO157" s="761"/>
      <c r="AP157" s="761"/>
      <c r="AQ157" s="761"/>
    </row>
    <row r="158" spans="1:43" s="33" customFormat="1" ht="17.25" customHeight="1">
      <c r="A158" s="191"/>
      <c r="D158" s="1027"/>
      <c r="E158" s="1036"/>
      <c r="F158" s="1014"/>
      <c r="G158" s="1037"/>
      <c r="H158" s="1027"/>
      <c r="I158" s="1027"/>
      <c r="J158" s="1038"/>
      <c r="K158" s="1003"/>
      <c r="L158" s="906"/>
      <c r="M158" s="906"/>
      <c r="N158" s="1039"/>
      <c r="O158" s="1015"/>
      <c r="P158" s="1094"/>
      <c r="Q158" s="1094"/>
      <c r="R158" s="1209"/>
      <c r="S158" s="1093"/>
      <c r="T158" s="188"/>
      <c r="U158" s="189"/>
      <c r="V158" s="189" t="s">
        <v>431</v>
      </c>
      <c r="W158" s="190"/>
      <c r="Y158" s="15"/>
      <c r="Z158" s="15"/>
      <c r="AA158" s="15"/>
      <c r="AB158" s="15"/>
      <c r="AC158" s="15"/>
      <c r="AD158" s="15"/>
      <c r="AE158" s="15"/>
      <c r="AF158" s="15"/>
      <c r="AG158" s="15"/>
      <c r="AH158" s="15"/>
      <c r="AI158" s="15"/>
      <c r="AJ158" s="15"/>
      <c r="AK158" s="15"/>
    </row>
    <row r="159" spans="1:43" ht="17.25" customHeight="1">
      <c r="G159" s="1034"/>
      <c r="H159" s="1034"/>
      <c r="I159" s="1034"/>
    </row>
    <row r="160" spans="1:43" s="33" customFormat="1" ht="17.25" customHeight="1">
      <c r="A160" s="191"/>
      <c r="C160" s="74"/>
      <c r="D160" s="1027"/>
      <c r="E160" s="1036"/>
      <c r="F160" s="1014"/>
      <c r="G160" s="1037"/>
      <c r="H160" s="906"/>
      <c r="I160" s="906"/>
      <c r="J160" s="1000"/>
      <c r="K160" s="1037"/>
      <c r="L160" s="906"/>
      <c r="M160" s="906"/>
      <c r="N160" s="1037"/>
      <c r="O160" s="1037"/>
      <c r="P160" s="906"/>
      <c r="Q160" s="906"/>
      <c r="R160" s="1001"/>
      <c r="S160" s="1037"/>
      <c r="T160" s="41"/>
      <c r="U160" s="41" t="s">
        <v>110</v>
      </c>
      <c r="V160" s="261" t="s">
        <v>18</v>
      </c>
      <c r="W160" s="35"/>
      <c r="Y160" s="761"/>
      <c r="Z160" s="761"/>
      <c r="AA160" s="761"/>
      <c r="AB160" s="761"/>
      <c r="AC160" s="761"/>
      <c r="AD160" s="761"/>
      <c r="AE160" s="761"/>
      <c r="AF160" s="761"/>
      <c r="AG160" s="761"/>
      <c r="AH160" s="761"/>
      <c r="AI160" s="761"/>
      <c r="AJ160" s="761"/>
      <c r="AK160" s="761"/>
      <c r="AL160" s="141"/>
      <c r="AM160" s="141"/>
      <c r="AN160" s="761"/>
      <c r="AO160" s="761"/>
      <c r="AP160" s="761"/>
      <c r="AQ160" s="761"/>
    </row>
    <row r="162" spans="1:43" s="1021" customFormat="1" ht="17.25" customHeight="1">
      <c r="A162" s="1021" t="s">
        <v>435</v>
      </c>
    </row>
    <row r="163" spans="1:43" ht="17.25" customHeight="1">
      <c r="G163" s="1034"/>
      <c r="H163" s="1034"/>
      <c r="I163" s="1034"/>
    </row>
    <row r="164" spans="1:43" s="33" customFormat="1" ht="17.25" customHeight="1">
      <c r="A164" s="191"/>
      <c r="C164" s="74"/>
      <c r="D164" s="1205"/>
      <c r="E164" s="1105"/>
      <c r="F164" s="1107"/>
      <c r="G164" s="1210"/>
      <c r="H164" s="1205"/>
      <c r="I164" s="1205">
        <v>1</v>
      </c>
      <c r="J164" s="1236"/>
      <c r="K164" s="1150" t="s">
        <v>59</v>
      </c>
      <c r="L164" s="1094"/>
      <c r="M164" s="1094" t="s">
        <v>110</v>
      </c>
      <c r="N164" s="1234" t="str">
        <f>IF(Z164="","",INDEX(TERRITORY_MR_LIST,MATCH(Z164,TERRITORY_LIST_ID,0)))</f>
        <v/>
      </c>
      <c r="O164" s="1150" t="s">
        <v>59</v>
      </c>
      <c r="P164" s="1094"/>
      <c r="Q164" s="1094" t="s">
        <v>110</v>
      </c>
      <c r="R164" s="1209" t="s">
        <v>18</v>
      </c>
      <c r="S164" s="1271" t="s">
        <v>57</v>
      </c>
      <c r="T164" s="845"/>
      <c r="U164" s="845" t="s">
        <v>110</v>
      </c>
      <c r="V164" s="838"/>
      <c r="W164" s="1236"/>
      <c r="Y164" s="761"/>
      <c r="Z164" s="761"/>
      <c r="AA164" s="761"/>
      <c r="AB164" s="761"/>
      <c r="AC164" s="761"/>
      <c r="AD164" s="761"/>
      <c r="AE164" s="761"/>
      <c r="AF164" s="761"/>
      <c r="AG164" s="761"/>
      <c r="AH164" s="761"/>
      <c r="AI164" s="761"/>
      <c r="AJ164" s="761"/>
      <c r="AK164" s="761"/>
      <c r="AL164" s="141"/>
      <c r="AM164" s="141"/>
      <c r="AN164" s="761"/>
      <c r="AO164" s="761"/>
      <c r="AP164" s="761"/>
      <c r="AQ164" s="761"/>
    </row>
    <row r="165" spans="1:43" s="33" customFormat="1" ht="17.25" customHeight="1">
      <c r="A165" s="191"/>
      <c r="D165" s="1205"/>
      <c r="E165" s="1105"/>
      <c r="F165" s="1108"/>
      <c r="G165" s="1210"/>
      <c r="H165" s="1205"/>
      <c r="I165" s="1205"/>
      <c r="J165" s="1236"/>
      <c r="K165" s="1151"/>
      <c r="L165" s="1094"/>
      <c r="M165" s="1094"/>
      <c r="N165" s="1234"/>
      <c r="O165" s="1151"/>
      <c r="P165" s="1094"/>
      <c r="Q165" s="1094"/>
      <c r="R165" s="1209"/>
      <c r="S165" s="1271"/>
      <c r="T165" s="839"/>
      <c r="U165" s="840"/>
      <c r="V165" s="840"/>
      <c r="W165" s="1236"/>
      <c r="Y165" s="15"/>
      <c r="Z165" s="15"/>
      <c r="AA165" s="15"/>
      <c r="AB165" s="15"/>
      <c r="AC165" s="15"/>
      <c r="AD165" s="15"/>
      <c r="AE165" s="15"/>
      <c r="AF165" s="15"/>
      <c r="AG165" s="15"/>
      <c r="AH165" s="15"/>
      <c r="AI165" s="15"/>
      <c r="AJ165" s="15"/>
      <c r="AK165" s="15"/>
    </row>
    <row r="166" spans="1:43" s="33" customFormat="1" ht="17.25" customHeight="1">
      <c r="A166" s="191"/>
      <c r="D166" s="1104"/>
      <c r="E166" s="1106"/>
      <c r="F166" s="1108"/>
      <c r="G166" s="1211"/>
      <c r="H166" s="1104"/>
      <c r="I166" s="1104"/>
      <c r="J166" s="1237"/>
      <c r="K166" s="1151"/>
      <c r="L166" s="1104"/>
      <c r="M166" s="1104"/>
      <c r="N166" s="1235"/>
      <c r="O166" s="1098"/>
      <c r="P166" s="188"/>
      <c r="Q166" s="189"/>
      <c r="R166" s="189" t="s">
        <v>432</v>
      </c>
      <c r="S166" s="1035"/>
      <c r="T166" s="1035"/>
      <c r="U166" s="1035"/>
      <c r="V166" s="1035"/>
      <c r="W166" s="837"/>
      <c r="Y166" s="15"/>
      <c r="Z166" s="15"/>
      <c r="AA166" s="15"/>
      <c r="AB166" s="15"/>
      <c r="AC166" s="15"/>
      <c r="AD166" s="15"/>
      <c r="AE166" s="15"/>
      <c r="AF166" s="15"/>
      <c r="AG166" s="15"/>
      <c r="AH166" s="15"/>
      <c r="AI166" s="15"/>
      <c r="AJ166" s="15"/>
      <c r="AK166" s="15"/>
    </row>
    <row r="167" spans="1:43" s="33" customFormat="1" ht="17.25" customHeight="1">
      <c r="A167" s="191"/>
      <c r="D167" s="1104"/>
      <c r="E167" s="1106"/>
      <c r="F167" s="1108"/>
      <c r="G167" s="1211"/>
      <c r="H167" s="1104"/>
      <c r="I167" s="1104"/>
      <c r="J167" s="1237"/>
      <c r="K167" s="1098"/>
      <c r="L167" s="188"/>
      <c r="M167" s="189"/>
      <c r="N167" s="189" t="s">
        <v>433</v>
      </c>
      <c r="O167" s="189"/>
      <c r="P167" s="189"/>
      <c r="Q167" s="189"/>
      <c r="R167" s="189"/>
      <c r="S167" s="1035"/>
      <c r="T167" s="1035"/>
      <c r="U167" s="1035"/>
      <c r="V167" s="1035"/>
      <c r="W167" s="190"/>
      <c r="Y167" s="15"/>
      <c r="Z167" s="15"/>
      <c r="AA167" s="15"/>
      <c r="AB167" s="15"/>
      <c r="AC167" s="15"/>
      <c r="AD167" s="15"/>
      <c r="AE167" s="15"/>
      <c r="AF167" s="15"/>
      <c r="AG167" s="15"/>
      <c r="AH167" s="15"/>
      <c r="AI167" s="15"/>
      <c r="AJ167" s="15"/>
      <c r="AK167" s="15"/>
    </row>
    <row r="168" spans="1:43" s="33" customFormat="1" ht="17.25" customHeight="1">
      <c r="A168" s="191"/>
      <c r="D168" s="1104"/>
      <c r="E168" s="1106"/>
      <c r="F168" s="1109"/>
      <c r="G168" s="1211"/>
      <c r="H168" s="188"/>
      <c r="I168" s="189"/>
      <c r="J168" s="189" t="s">
        <v>434</v>
      </c>
      <c r="K168" s="189"/>
      <c r="L168" s="189"/>
      <c r="M168" s="189"/>
      <c r="N168" s="189"/>
      <c r="O168" s="189"/>
      <c r="P168" s="189"/>
      <c r="Q168" s="189"/>
      <c r="R168" s="189"/>
      <c r="S168" s="1035"/>
      <c r="T168" s="1035"/>
      <c r="U168" s="1035"/>
      <c r="V168" s="1035"/>
      <c r="W168" s="190"/>
      <c r="Y168" s="15"/>
      <c r="Z168" s="15"/>
      <c r="AA168" s="15"/>
      <c r="AB168" s="15"/>
      <c r="AC168" s="15"/>
      <c r="AD168" s="15"/>
      <c r="AE168" s="15"/>
      <c r="AF168" s="15"/>
      <c r="AG168" s="15"/>
      <c r="AH168" s="15"/>
      <c r="AI168" s="15"/>
      <c r="AJ168" s="15"/>
      <c r="AK168" s="15"/>
    </row>
    <row r="169" spans="1:43" ht="17.25" customHeight="1"/>
    <row r="170" spans="1:43" s="33" customFormat="1" ht="17.25" customHeight="1">
      <c r="A170" s="191"/>
      <c r="C170" s="74"/>
      <c r="D170" s="1027"/>
      <c r="E170" s="1036"/>
      <c r="F170" s="1014"/>
      <c r="G170" s="1037"/>
      <c r="H170" s="1205"/>
      <c r="I170" s="1205">
        <v>1</v>
      </c>
      <c r="J170" s="1236"/>
      <c r="K170" s="1150" t="s">
        <v>59</v>
      </c>
      <c r="L170" s="1094"/>
      <c r="M170" s="1094" t="s">
        <v>110</v>
      </c>
      <c r="N170" s="1234" t="str">
        <f>IF(Z170="","",INDEX(TERRITORY_MR_LIST,MATCH(Z170,TERRITORY_LIST_ID,0)))</f>
        <v/>
      </c>
      <c r="O170" s="1150" t="s">
        <v>59</v>
      </c>
      <c r="P170" s="1094"/>
      <c r="Q170" s="1094" t="s">
        <v>110</v>
      </c>
      <c r="R170" s="1209" t="s">
        <v>18</v>
      </c>
      <c r="S170" s="1271" t="s">
        <v>57</v>
      </c>
      <c r="T170" s="845"/>
      <c r="U170" s="845" t="s">
        <v>110</v>
      </c>
      <c r="V170" s="838"/>
      <c r="W170" s="1236"/>
      <c r="Y170" s="761"/>
      <c r="Z170" s="761"/>
      <c r="AA170" s="761"/>
      <c r="AB170" s="761"/>
      <c r="AC170" s="761"/>
      <c r="AD170" s="761"/>
      <c r="AE170" s="761"/>
      <c r="AF170" s="761"/>
      <c r="AG170" s="761"/>
      <c r="AH170" s="761"/>
      <c r="AI170" s="761"/>
      <c r="AJ170" s="761"/>
      <c r="AK170" s="761"/>
      <c r="AL170" s="141"/>
      <c r="AM170" s="141"/>
      <c r="AN170" s="761"/>
      <c r="AO170" s="761"/>
      <c r="AP170" s="761"/>
      <c r="AQ170" s="761"/>
    </row>
    <row r="171" spans="1:43" s="33" customFormat="1" ht="17.25" customHeight="1">
      <c r="A171" s="191"/>
      <c r="D171" s="1027"/>
      <c r="E171" s="1036"/>
      <c r="F171" s="1014"/>
      <c r="G171" s="1037"/>
      <c r="H171" s="1205"/>
      <c r="I171" s="1205"/>
      <c r="J171" s="1236"/>
      <c r="K171" s="1151"/>
      <c r="L171" s="1094"/>
      <c r="M171" s="1094"/>
      <c r="N171" s="1234"/>
      <c r="O171" s="1151"/>
      <c r="P171" s="1094"/>
      <c r="Q171" s="1094"/>
      <c r="R171" s="1209"/>
      <c r="S171" s="1271"/>
      <c r="T171" s="839"/>
      <c r="U171" s="840"/>
      <c r="V171" s="840"/>
      <c r="W171" s="1236"/>
      <c r="Y171" s="15"/>
      <c r="Z171" s="15"/>
      <c r="AA171" s="15"/>
      <c r="AB171" s="15"/>
      <c r="AC171" s="15"/>
      <c r="AD171" s="15"/>
      <c r="AE171" s="15"/>
      <c r="AF171" s="15"/>
      <c r="AG171" s="15"/>
      <c r="AH171" s="15"/>
      <c r="AI171" s="15"/>
      <c r="AJ171" s="15"/>
      <c r="AK171" s="15"/>
    </row>
    <row r="172" spans="1:43" s="33" customFormat="1" ht="17.25" customHeight="1">
      <c r="A172" s="191"/>
      <c r="D172" s="1027"/>
      <c r="E172" s="1036"/>
      <c r="F172" s="1014"/>
      <c r="G172" s="1037"/>
      <c r="H172" s="1104"/>
      <c r="I172" s="1104"/>
      <c r="J172" s="1237"/>
      <c r="K172" s="1151"/>
      <c r="L172" s="1104"/>
      <c r="M172" s="1104"/>
      <c r="N172" s="1235"/>
      <c r="O172" s="1098"/>
      <c r="P172" s="188"/>
      <c r="Q172" s="189"/>
      <c r="R172" s="189" t="s">
        <v>432</v>
      </c>
      <c r="S172" s="1035"/>
      <c r="T172" s="1035"/>
      <c r="U172" s="1035"/>
      <c r="V172" s="1035"/>
      <c r="W172" s="837"/>
      <c r="Y172" s="15"/>
      <c r="Z172" s="15"/>
      <c r="AA172" s="15"/>
      <c r="AB172" s="15"/>
      <c r="AC172" s="15"/>
      <c r="AD172" s="15"/>
      <c r="AE172" s="15"/>
      <c r="AF172" s="15"/>
      <c r="AG172" s="15"/>
      <c r="AH172" s="15"/>
      <c r="AI172" s="15"/>
      <c r="AJ172" s="15"/>
      <c r="AK172" s="15"/>
    </row>
    <row r="173" spans="1:43" s="33" customFormat="1" ht="17.25" customHeight="1">
      <c r="A173" s="191"/>
      <c r="D173" s="1027"/>
      <c r="E173" s="1036"/>
      <c r="F173" s="1014"/>
      <c r="G173" s="1037"/>
      <c r="H173" s="1104"/>
      <c r="I173" s="1104"/>
      <c r="J173" s="1237"/>
      <c r="K173" s="1098"/>
      <c r="L173" s="188"/>
      <c r="M173" s="189"/>
      <c r="N173" s="189" t="s">
        <v>433</v>
      </c>
      <c r="O173" s="189"/>
      <c r="P173" s="189"/>
      <c r="Q173" s="189"/>
      <c r="R173" s="189"/>
      <c r="S173" s="1035"/>
      <c r="T173" s="1035"/>
      <c r="U173" s="1035"/>
      <c r="V173" s="1035"/>
      <c r="W173" s="190"/>
      <c r="Y173" s="15"/>
      <c r="Z173" s="15"/>
      <c r="AA173" s="15"/>
      <c r="AB173" s="15"/>
      <c r="AC173" s="15"/>
      <c r="AD173" s="15"/>
      <c r="AE173" s="15"/>
      <c r="AF173" s="15"/>
      <c r="AG173" s="15"/>
      <c r="AH173" s="15"/>
      <c r="AI173" s="15"/>
      <c r="AJ173" s="15"/>
      <c r="AK173" s="15"/>
    </row>
    <row r="174" spans="1:43" ht="17.25" customHeight="1"/>
    <row r="175" spans="1:43" s="33" customFormat="1" ht="17.25" customHeight="1">
      <c r="A175" s="191"/>
      <c r="C175" s="74"/>
      <c r="D175" s="1027"/>
      <c r="E175" s="1036"/>
      <c r="F175" s="1014"/>
      <c r="G175" s="1037"/>
      <c r="H175" s="1027"/>
      <c r="I175" s="1027"/>
      <c r="J175" s="1040"/>
      <c r="K175" s="1037"/>
      <c r="L175" s="1094"/>
      <c r="M175" s="1094" t="s">
        <v>110</v>
      </c>
      <c r="N175" s="1234" t="str">
        <f>IF(Z175="","",INDEX(TERRITORY_MR_LIST,MATCH(Z175,TERRITORY_LIST_ID,0)))</f>
        <v/>
      </c>
      <c r="O175" s="1150" t="s">
        <v>59</v>
      </c>
      <c r="P175" s="1094"/>
      <c r="Q175" s="1094" t="s">
        <v>110</v>
      </c>
      <c r="R175" s="1209" t="s">
        <v>18</v>
      </c>
      <c r="S175" s="1271" t="s">
        <v>57</v>
      </c>
      <c r="T175" s="845"/>
      <c r="U175" s="845" t="s">
        <v>110</v>
      </c>
      <c r="V175" s="838"/>
      <c r="W175" s="1236"/>
      <c r="Y175" s="761"/>
      <c r="Z175" s="761"/>
      <c r="AA175" s="761"/>
      <c r="AB175" s="761"/>
      <c r="AC175" s="761"/>
      <c r="AD175" s="761"/>
      <c r="AE175" s="761"/>
      <c r="AF175" s="761"/>
      <c r="AG175" s="761"/>
      <c r="AH175" s="761"/>
      <c r="AI175" s="761"/>
      <c r="AJ175" s="761"/>
      <c r="AK175" s="761"/>
      <c r="AL175" s="141"/>
      <c r="AM175" s="141"/>
      <c r="AN175" s="761"/>
      <c r="AO175" s="761"/>
      <c r="AP175" s="761"/>
      <c r="AQ175" s="761"/>
    </row>
    <row r="176" spans="1:43" s="33" customFormat="1" ht="17.25" customHeight="1">
      <c r="A176" s="191"/>
      <c r="D176" s="1027"/>
      <c r="E176" s="1036"/>
      <c r="F176" s="1014"/>
      <c r="G176" s="1037"/>
      <c r="H176" s="1027"/>
      <c r="I176" s="1027"/>
      <c r="J176" s="1040"/>
      <c r="K176" s="1037"/>
      <c r="L176" s="1094"/>
      <c r="M176" s="1094"/>
      <c r="N176" s="1234"/>
      <c r="O176" s="1151"/>
      <c r="P176" s="1094"/>
      <c r="Q176" s="1094"/>
      <c r="R176" s="1209"/>
      <c r="S176" s="1271"/>
      <c r="T176" s="839"/>
      <c r="U176" s="840"/>
      <c r="V176" s="840"/>
      <c r="W176" s="1236"/>
      <c r="Y176" s="15"/>
      <c r="Z176" s="15"/>
      <c r="AA176" s="15"/>
      <c r="AB176" s="15"/>
      <c r="AC176" s="15"/>
      <c r="AD176" s="15"/>
      <c r="AE176" s="15"/>
      <c r="AF176" s="15"/>
      <c r="AG176" s="15"/>
      <c r="AH176" s="15"/>
      <c r="AI176" s="15"/>
      <c r="AJ176" s="15"/>
      <c r="AK176" s="15"/>
    </row>
    <row r="177" spans="1:43" s="33" customFormat="1" ht="17.25" customHeight="1">
      <c r="A177" s="191"/>
      <c r="D177" s="1027"/>
      <c r="E177" s="1036"/>
      <c r="F177" s="1014"/>
      <c r="G177" s="1037"/>
      <c r="H177" s="1027"/>
      <c r="I177" s="1027"/>
      <c r="J177" s="1040"/>
      <c r="K177" s="1037"/>
      <c r="L177" s="1104"/>
      <c r="M177" s="1104"/>
      <c r="N177" s="1235"/>
      <c r="O177" s="1098"/>
      <c r="P177" s="188"/>
      <c r="Q177" s="189"/>
      <c r="R177" s="189" t="s">
        <v>432</v>
      </c>
      <c r="S177" s="1035"/>
      <c r="T177" s="1035"/>
      <c r="U177" s="1035"/>
      <c r="V177" s="1035"/>
      <c r="W177" s="837"/>
      <c r="Y177" s="15"/>
      <c r="Z177" s="15"/>
      <c r="AA177" s="15"/>
      <c r="AB177" s="15"/>
      <c r="AC177" s="15"/>
      <c r="AD177" s="15"/>
      <c r="AE177" s="15"/>
      <c r="AF177" s="15"/>
      <c r="AG177" s="15"/>
      <c r="AH177" s="15"/>
      <c r="AI177" s="15"/>
      <c r="AJ177" s="15"/>
      <c r="AK177" s="15"/>
    </row>
    <row r="178" spans="1:43" ht="17.25" customHeight="1"/>
    <row r="179" spans="1:43" s="33" customFormat="1" ht="17.25" customHeight="1">
      <c r="A179" s="191"/>
      <c r="C179" s="74"/>
      <c r="D179" s="1027"/>
      <c r="E179" s="1036"/>
      <c r="F179" s="1014"/>
      <c r="G179" s="1037"/>
      <c r="H179" s="1027"/>
      <c r="I179" s="1027"/>
      <c r="J179" s="1040"/>
      <c r="K179" s="1037"/>
      <c r="L179" s="1027"/>
      <c r="M179" s="1027"/>
      <c r="N179" s="1039"/>
      <c r="O179" s="1015"/>
      <c r="P179" s="1094"/>
      <c r="Q179" s="1094" t="s">
        <v>110</v>
      </c>
      <c r="R179" s="1209" t="s">
        <v>18</v>
      </c>
      <c r="S179" s="1271" t="s">
        <v>57</v>
      </c>
      <c r="T179" s="845"/>
      <c r="U179" s="845" t="s">
        <v>110</v>
      </c>
      <c r="V179" s="838"/>
      <c r="W179" s="1236"/>
      <c r="Y179" s="761"/>
      <c r="Z179" s="761"/>
      <c r="AA179" s="761"/>
      <c r="AB179" s="761"/>
      <c r="AC179" s="761"/>
      <c r="AD179" s="761"/>
      <c r="AE179" s="761"/>
      <c r="AF179" s="761"/>
      <c r="AG179" s="761"/>
      <c r="AH179" s="761"/>
      <c r="AI179" s="761"/>
      <c r="AJ179" s="761"/>
      <c r="AK179" s="761"/>
      <c r="AL179" s="141"/>
      <c r="AM179" s="141"/>
      <c r="AN179" s="761"/>
      <c r="AO179" s="761"/>
      <c r="AP179" s="761"/>
      <c r="AQ179" s="761"/>
    </row>
    <row r="180" spans="1:43" s="33" customFormat="1" ht="17.25" customHeight="1">
      <c r="A180" s="191"/>
      <c r="D180" s="1027"/>
      <c r="E180" s="1036"/>
      <c r="F180" s="1014"/>
      <c r="G180" s="1037"/>
      <c r="H180" s="1027"/>
      <c r="I180" s="1027"/>
      <c r="J180" s="1040"/>
      <c r="K180" s="1037"/>
      <c r="L180" s="1027"/>
      <c r="M180" s="1027"/>
      <c r="N180" s="1039"/>
      <c r="O180" s="1015"/>
      <c r="P180" s="1094"/>
      <c r="Q180" s="1094"/>
      <c r="R180" s="1209"/>
      <c r="S180" s="1271"/>
      <c r="T180" s="839"/>
      <c r="U180" s="840"/>
      <c r="V180" s="840"/>
      <c r="W180" s="1236"/>
      <c r="Y180" s="15"/>
      <c r="Z180" s="15"/>
      <c r="AA180" s="15"/>
      <c r="AB180" s="15"/>
      <c r="AC180" s="15"/>
      <c r="AD180" s="15"/>
      <c r="AE180" s="15"/>
      <c r="AF180" s="15"/>
      <c r="AG180" s="15"/>
      <c r="AH180" s="15"/>
      <c r="AI180" s="15"/>
      <c r="AJ180" s="15"/>
      <c r="AK180" s="15"/>
    </row>
    <row r="181" spans="1:43" ht="17.25" customHeight="1"/>
    <row r="182" spans="1:43" ht="16.5" customHeight="1">
      <c r="A182" s="191"/>
      <c r="B182" s="33"/>
      <c r="C182" s="33"/>
      <c r="D182" s="1205"/>
      <c r="E182" s="1147"/>
      <c r="F182" s="1147"/>
      <c r="G182" s="1083"/>
      <c r="H182" s="1110"/>
      <c r="I182" s="1112"/>
      <c r="J182" s="1114"/>
      <c r="K182" s="1101"/>
      <c r="L182" s="1101"/>
      <c r="M182" s="1101"/>
      <c r="N182" s="1117"/>
      <c r="O182" s="1101"/>
      <c r="P182" s="1101"/>
      <c r="Q182" s="1101"/>
      <c r="R182" s="1120"/>
      <c r="S182" s="1101"/>
      <c r="T182" s="833"/>
      <c r="U182" s="833"/>
      <c r="V182" s="832"/>
      <c r="W182" s="776"/>
    </row>
    <row r="183" spans="1:43" ht="16.5" customHeight="1">
      <c r="A183" s="191"/>
      <c r="B183" s="33"/>
      <c r="C183" s="33"/>
      <c r="D183" s="1205"/>
      <c r="E183" s="1147"/>
      <c r="F183" s="1147"/>
      <c r="G183" s="1083"/>
      <c r="H183" s="1111"/>
      <c r="I183" s="1113"/>
      <c r="J183" s="1115"/>
      <c r="K183" s="1102"/>
      <c r="L183" s="1102"/>
      <c r="M183" s="1102"/>
      <c r="N183" s="1118"/>
      <c r="O183" s="1102"/>
      <c r="P183" s="1102"/>
      <c r="Q183" s="1102"/>
      <c r="R183" s="1119"/>
      <c r="S183" s="1102"/>
      <c r="T183" s="777"/>
      <c r="U183" s="777"/>
      <c r="V183" s="777"/>
      <c r="W183" s="778"/>
    </row>
    <row r="184" spans="1:43" ht="17.25" customHeight="1">
      <c r="A184" s="191"/>
      <c r="B184" s="33"/>
      <c r="C184" s="33"/>
      <c r="D184" s="1205"/>
      <c r="E184" s="1147"/>
      <c r="F184" s="1147"/>
      <c r="G184" s="1083"/>
      <c r="H184" s="1111"/>
      <c r="I184" s="1113"/>
      <c r="J184" s="1116"/>
      <c r="K184" s="1102"/>
      <c r="L184" s="1102"/>
      <c r="M184" s="1102"/>
      <c r="N184" s="1119"/>
      <c r="O184" s="1102"/>
      <c r="P184" s="53"/>
      <c r="Q184" s="777"/>
      <c r="R184" s="777"/>
      <c r="S184" s="33"/>
      <c r="T184" s="33"/>
      <c r="U184" s="33"/>
      <c r="V184" s="33"/>
      <c r="W184" s="778"/>
    </row>
    <row r="185" spans="1:43" ht="17.25" customHeight="1">
      <c r="A185" s="191"/>
      <c r="B185" s="33"/>
      <c r="C185" s="33"/>
      <c r="D185" s="1205"/>
      <c r="E185" s="1147"/>
      <c r="F185" s="1147"/>
      <c r="G185" s="1083"/>
      <c r="H185" s="1111"/>
      <c r="I185" s="1113"/>
      <c r="J185" s="1116"/>
      <c r="K185" s="1102"/>
      <c r="L185" s="777"/>
      <c r="M185" s="777"/>
      <c r="N185" s="777"/>
      <c r="O185" s="777"/>
      <c r="P185" s="777"/>
      <c r="Q185" s="777"/>
      <c r="R185" s="777"/>
      <c r="S185" s="33"/>
      <c r="T185" s="33"/>
      <c r="U185" s="33"/>
      <c r="V185" s="33"/>
      <c r="W185" s="778"/>
    </row>
    <row r="186" spans="1:43" ht="17.25" customHeight="1">
      <c r="A186" s="191"/>
      <c r="B186" s="33"/>
      <c r="C186" s="33"/>
      <c r="D186" s="1205"/>
      <c r="E186" s="1147"/>
      <c r="F186" s="1147"/>
      <c r="G186" s="1083"/>
      <c r="H186" s="779"/>
      <c r="I186" s="780"/>
      <c r="J186" s="780"/>
      <c r="K186" s="780"/>
      <c r="L186" s="780"/>
      <c r="M186" s="780"/>
      <c r="N186" s="780"/>
      <c r="O186" s="780"/>
      <c r="P186" s="780"/>
      <c r="Q186" s="780"/>
      <c r="R186" s="780"/>
      <c r="S186" s="781"/>
      <c r="T186" s="781"/>
      <c r="U186" s="781"/>
      <c r="V186" s="781"/>
      <c r="W186" s="782"/>
    </row>
    <row r="188" spans="1:43" s="1021" customFormat="1" ht="17.25" customHeight="1">
      <c r="A188" s="1021" t="s">
        <v>436</v>
      </c>
    </row>
    <row r="189" spans="1:43" ht="17.25" customHeight="1">
      <c r="G189" s="1034"/>
      <c r="H189" s="1034"/>
      <c r="I189" s="1034"/>
    </row>
    <row r="190" spans="1:43" ht="15" customHeight="1">
      <c r="D190" s="1263"/>
      <c r="E190" s="1142"/>
      <c r="F190" s="1142"/>
      <c r="G190" s="1150"/>
      <c r="H190" s="904"/>
      <c r="I190" s="1264">
        <v>1</v>
      </c>
      <c r="J190" s="1236"/>
      <c r="K190" s="151"/>
      <c r="L190" s="1150" t="s">
        <v>59</v>
      </c>
      <c r="M190" s="1150" t="s">
        <v>59</v>
      </c>
      <c r="N190" s="904"/>
      <c r="O190" s="1094" t="s">
        <v>110</v>
      </c>
      <c r="P190" s="1257"/>
      <c r="Q190" s="151"/>
      <c r="R190" s="1150" t="s">
        <v>59</v>
      </c>
      <c r="S190" s="1150" t="s">
        <v>59</v>
      </c>
      <c r="T190" s="1041"/>
      <c r="U190" s="1094" t="s">
        <v>110</v>
      </c>
      <c r="V190" s="1259" t="str">
        <f>IF(AK190="","",INDEX(TERRITORY_MR_LIST,MATCH(AK190,TERRITORY_LIST_ID,0)))</f>
        <v/>
      </c>
      <c r="W190" s="360"/>
      <c r="X190" s="1150" t="s">
        <v>59</v>
      </c>
      <c r="Y190" s="1150" t="s">
        <v>57</v>
      </c>
      <c r="Z190" s="904"/>
      <c r="AA190" s="1094" t="s">
        <v>110</v>
      </c>
      <c r="AB190" s="1261"/>
      <c r="AC190" s="914"/>
      <c r="AD190" s="1150" t="s">
        <v>59</v>
      </c>
      <c r="AE190" s="1150" t="s">
        <v>57</v>
      </c>
      <c r="AF190" s="360"/>
      <c r="AG190" s="41" t="s">
        <v>110</v>
      </c>
      <c r="AH190" s="910"/>
      <c r="AI190" s="35"/>
    </row>
    <row r="191" spans="1:43" ht="15" customHeight="1">
      <c r="D191" s="1263"/>
      <c r="E191" s="1142"/>
      <c r="F191" s="1142"/>
      <c r="G191" s="1151"/>
      <c r="H191" s="904"/>
      <c r="I191" s="1264"/>
      <c r="J191" s="1236"/>
      <c r="K191" s="903"/>
      <c r="L191" s="1151"/>
      <c r="M191" s="1151"/>
      <c r="N191" s="904"/>
      <c r="O191" s="1094"/>
      <c r="P191" s="1257"/>
      <c r="Q191" s="901"/>
      <c r="R191" s="1151"/>
      <c r="S191" s="1151"/>
      <c r="T191" s="1041"/>
      <c r="U191" s="1094"/>
      <c r="V191" s="1260"/>
      <c r="W191" s="902"/>
      <c r="X191" s="1151"/>
      <c r="Y191" s="1151"/>
      <c r="Z191" s="904"/>
      <c r="AA191" s="1094"/>
      <c r="AB191" s="1262"/>
      <c r="AC191" s="618"/>
      <c r="AD191" s="1098"/>
      <c r="AE191" s="1098"/>
      <c r="AF191" s="905"/>
      <c r="AG191" s="188"/>
      <c r="AH191" s="1266" t="s">
        <v>437</v>
      </c>
      <c r="AI191" s="1267"/>
    </row>
    <row r="192" spans="1:43" ht="15" customHeight="1">
      <c r="D192" s="1263"/>
      <c r="E192" s="1142"/>
      <c r="F192" s="1142"/>
      <c r="G192" s="1151"/>
      <c r="H192" s="904"/>
      <c r="I192" s="1264"/>
      <c r="J192" s="1236"/>
      <c r="K192" s="903"/>
      <c r="L192" s="1151"/>
      <c r="M192" s="1151"/>
      <c r="N192" s="904"/>
      <c r="O192" s="1094"/>
      <c r="P192" s="1257"/>
      <c r="Q192" s="901"/>
      <c r="R192" s="1151"/>
      <c r="S192" s="1151"/>
      <c r="T192" s="1041"/>
      <c r="U192" s="1094"/>
      <c r="V192" s="1260"/>
      <c r="W192" s="902"/>
      <c r="X192" s="1151"/>
      <c r="Y192" s="1151"/>
      <c r="Z192" s="902"/>
      <c r="AA192" s="907"/>
      <c r="AB192" s="1268" t="s">
        <v>438</v>
      </c>
      <c r="AC192" s="1268"/>
      <c r="AD192" s="1268"/>
      <c r="AE192" s="1268"/>
      <c r="AF192" s="1268"/>
      <c r="AG192" s="1268"/>
      <c r="AH192" s="1268"/>
      <c r="AI192" s="1269"/>
    </row>
    <row r="193" spans="4:63" ht="15" customHeight="1">
      <c r="D193" s="1263"/>
      <c r="E193" s="1142"/>
      <c r="F193" s="1142"/>
      <c r="G193" s="1151"/>
      <c r="H193" s="904"/>
      <c r="I193" s="1264"/>
      <c r="J193" s="1236"/>
      <c r="K193" s="903"/>
      <c r="L193" s="1151"/>
      <c r="M193" s="1151"/>
      <c r="N193" s="904"/>
      <c r="O193" s="1094"/>
      <c r="P193" s="1270"/>
      <c r="Q193" s="901"/>
      <c r="R193" s="1151"/>
      <c r="S193" s="1151"/>
      <c r="T193" s="1042"/>
      <c r="U193" s="925"/>
      <c r="V193" s="1266" t="s">
        <v>104</v>
      </c>
      <c r="W193" s="1266"/>
      <c r="X193" s="1266"/>
      <c r="Y193" s="1266"/>
      <c r="Z193" s="1266"/>
      <c r="AA193" s="1266"/>
      <c r="AB193" s="1266"/>
      <c r="AC193" s="1266"/>
      <c r="AD193" s="1266"/>
      <c r="AE193" s="1266"/>
      <c r="AF193" s="1266"/>
      <c r="AG193" s="1266"/>
      <c r="AH193" s="1266"/>
      <c r="AI193" s="1267"/>
    </row>
    <row r="194" spans="4:63" ht="11.25" customHeight="1">
      <c r="D194" s="1263"/>
      <c r="E194" s="1142"/>
      <c r="F194" s="1142"/>
      <c r="G194" s="1151"/>
      <c r="H194" s="906"/>
      <c r="I194" s="1264"/>
      <c r="J194" s="1265"/>
      <c r="K194" s="903"/>
      <c r="L194" s="1151"/>
      <c r="M194" s="1151"/>
      <c r="N194" s="906"/>
      <c r="O194" s="907"/>
      <c r="P194" s="1266" t="s">
        <v>439</v>
      </c>
      <c r="Q194" s="1266"/>
      <c r="R194" s="1266"/>
      <c r="S194" s="1266"/>
      <c r="T194" s="1266"/>
      <c r="U194" s="1266"/>
      <c r="V194" s="1266"/>
      <c r="W194" s="1266"/>
      <c r="X194" s="1266"/>
      <c r="Y194" s="1266"/>
      <c r="Z194" s="1266"/>
      <c r="AA194" s="1266"/>
      <c r="AB194" s="1266"/>
      <c r="AC194" s="1266"/>
      <c r="AD194" s="1266"/>
      <c r="AE194" s="1266"/>
      <c r="AF194" s="1266"/>
      <c r="AG194" s="1266"/>
      <c r="AH194" s="1266"/>
      <c r="AI194" s="1267"/>
    </row>
    <row r="195" spans="4:63" s="896" customFormat="1" ht="11.25" customHeight="1">
      <c r="D195" s="1263"/>
      <c r="E195" s="1142"/>
      <c r="F195" s="1142"/>
      <c r="G195" s="1098"/>
      <c r="H195" s="908"/>
      <c r="I195" s="909"/>
      <c r="J195" s="1266" t="s">
        <v>434</v>
      </c>
      <c r="K195" s="1266"/>
      <c r="L195" s="1266"/>
      <c r="M195" s="1266"/>
      <c r="N195" s="1266"/>
      <c r="O195" s="1266"/>
      <c r="P195" s="1266"/>
      <c r="Q195" s="1266"/>
      <c r="R195" s="1266"/>
      <c r="S195" s="1266"/>
      <c r="T195" s="1266"/>
      <c r="U195" s="1266"/>
      <c r="V195" s="1266"/>
      <c r="W195" s="1266"/>
      <c r="X195" s="1266"/>
      <c r="Y195" s="1266"/>
      <c r="Z195" s="1266"/>
      <c r="AA195" s="1266"/>
      <c r="AB195" s="1266"/>
      <c r="AC195" s="1266"/>
      <c r="AD195" s="1266"/>
      <c r="AE195" s="1266"/>
      <c r="AF195" s="1266"/>
      <c r="AG195" s="1266"/>
      <c r="AH195" s="1266"/>
      <c r="AI195" s="1267"/>
      <c r="BK195"/>
    </row>
    <row r="196" spans="4:63" ht="17.25" customHeight="1">
      <c r="G196" s="1034"/>
      <c r="I196" s="1034"/>
      <c r="J196" s="1034"/>
    </row>
    <row r="197" spans="4:63" ht="15" customHeight="1">
      <c r="D197" s="1263"/>
      <c r="E197" s="1142"/>
      <c r="F197" s="1142"/>
      <c r="G197" s="1147"/>
      <c r="H197" s="921"/>
      <c r="I197" s="1152"/>
      <c r="J197" s="1114"/>
      <c r="K197" s="862"/>
      <c r="L197" s="1101"/>
      <c r="M197" s="1101"/>
      <c r="N197" s="915"/>
      <c r="O197" s="1101"/>
      <c r="P197" s="1114"/>
      <c r="Q197" s="862"/>
      <c r="R197" s="1101"/>
      <c r="S197" s="1101"/>
      <c r="T197" s="916"/>
      <c r="U197" s="1101"/>
      <c r="V197" s="1114"/>
      <c r="W197" s="833"/>
      <c r="X197" s="1101"/>
      <c r="Y197" s="1101"/>
      <c r="Z197" s="915"/>
      <c r="AA197" s="1101"/>
      <c r="AB197" s="1114"/>
      <c r="AC197" s="917"/>
      <c r="AD197" s="1101"/>
      <c r="AE197" s="1101"/>
      <c r="AF197" s="833"/>
      <c r="AG197" s="833"/>
      <c r="AH197" s="915"/>
      <c r="AI197" s="776"/>
    </row>
    <row r="198" spans="4:63" ht="15" customHeight="1">
      <c r="D198" s="1263"/>
      <c r="E198" s="1142"/>
      <c r="F198" s="1142"/>
      <c r="G198" s="1147"/>
      <c r="H198" s="922"/>
      <c r="I198" s="1153"/>
      <c r="J198" s="1115"/>
      <c r="K198" s="353"/>
      <c r="L198" s="1102"/>
      <c r="M198" s="1102"/>
      <c r="N198" s="32"/>
      <c r="O198" s="1102"/>
      <c r="P198" s="1115"/>
      <c r="Q198" s="393"/>
      <c r="R198" s="1102"/>
      <c r="S198" s="1102"/>
      <c r="T198" s="918"/>
      <c r="U198" s="1102"/>
      <c r="V198" s="1115"/>
      <c r="W198" s="53"/>
      <c r="X198" s="1102"/>
      <c r="Y198" s="1102"/>
      <c r="Z198" s="32"/>
      <c r="AA198" s="1102"/>
      <c r="AB198" s="1115"/>
      <c r="AC198" s="353"/>
      <c r="AD198" s="1102"/>
      <c r="AE198" s="1102"/>
      <c r="AF198" s="777"/>
      <c r="AG198" s="777"/>
      <c r="AH198" s="1156"/>
      <c r="AI198" s="1157"/>
    </row>
    <row r="199" spans="4:63" ht="15" customHeight="1">
      <c r="D199" s="1263"/>
      <c r="E199" s="1142"/>
      <c r="F199" s="1142"/>
      <c r="G199" s="1147"/>
      <c r="H199" s="922"/>
      <c r="I199" s="1153"/>
      <c r="J199" s="1115"/>
      <c r="K199" s="353"/>
      <c r="L199" s="1102"/>
      <c r="M199" s="1102"/>
      <c r="N199" s="32"/>
      <c r="O199" s="1102"/>
      <c r="P199" s="1115"/>
      <c r="Q199" s="393"/>
      <c r="R199" s="1102"/>
      <c r="S199" s="1102"/>
      <c r="T199" s="918"/>
      <c r="U199" s="1102"/>
      <c r="V199" s="1115"/>
      <c r="W199" s="53"/>
      <c r="X199" s="1102"/>
      <c r="Y199" s="1102"/>
      <c r="Z199" s="53"/>
      <c r="AA199" s="777"/>
      <c r="AB199" s="1156"/>
      <c r="AC199" s="1156"/>
      <c r="AD199" s="1156"/>
      <c r="AE199" s="1156"/>
      <c r="AF199" s="1156"/>
      <c r="AG199" s="1156"/>
      <c r="AH199" s="1156"/>
      <c r="AI199" s="1157"/>
    </row>
    <row r="200" spans="4:63" ht="15" customHeight="1">
      <c r="D200" s="1263"/>
      <c r="E200" s="1142"/>
      <c r="F200" s="1142"/>
      <c r="G200" s="1147"/>
      <c r="H200" s="922"/>
      <c r="I200" s="1153"/>
      <c r="J200" s="1115"/>
      <c r="K200" s="353"/>
      <c r="L200" s="1102"/>
      <c r="M200" s="1102"/>
      <c r="N200" s="32"/>
      <c r="O200" s="1102"/>
      <c r="P200" s="1115"/>
      <c r="Q200" s="393"/>
      <c r="R200" s="1102"/>
      <c r="S200" s="1102"/>
      <c r="T200" s="48"/>
      <c r="U200" s="919"/>
      <c r="V200" s="1156"/>
      <c r="W200" s="1156"/>
      <c r="X200" s="1156"/>
      <c r="Y200" s="1156"/>
      <c r="Z200" s="1156"/>
      <c r="AA200" s="1156"/>
      <c r="AB200" s="1156"/>
      <c r="AC200" s="1156"/>
      <c r="AD200" s="1156"/>
      <c r="AE200" s="1156"/>
      <c r="AF200" s="1156"/>
      <c r="AG200" s="1156"/>
      <c r="AH200" s="1156"/>
      <c r="AI200" s="1157"/>
    </row>
    <row r="201" spans="4:63" ht="11.25" customHeight="1">
      <c r="D201" s="1263"/>
      <c r="E201" s="1142"/>
      <c r="F201" s="1142"/>
      <c r="G201" s="1147"/>
      <c r="H201" s="923"/>
      <c r="I201" s="1153"/>
      <c r="J201" s="1115"/>
      <c r="K201" s="353"/>
      <c r="L201" s="1102"/>
      <c r="M201" s="1102"/>
      <c r="N201" s="777"/>
      <c r="O201" s="777"/>
      <c r="P201" s="1156"/>
      <c r="Q201" s="1156"/>
      <c r="R201" s="1156"/>
      <c r="S201" s="1156"/>
      <c r="T201" s="1156"/>
      <c r="U201" s="1156"/>
      <c r="V201" s="1156"/>
      <c r="W201" s="1156"/>
      <c r="X201" s="1156"/>
      <c r="Y201" s="1156"/>
      <c r="Z201" s="1156"/>
      <c r="AA201" s="1156"/>
      <c r="AB201" s="1156"/>
      <c r="AC201" s="1156"/>
      <c r="AD201" s="1156"/>
      <c r="AE201" s="1156"/>
      <c r="AF201" s="1156"/>
      <c r="AG201" s="1156"/>
      <c r="AH201" s="1156"/>
      <c r="AI201" s="1157"/>
    </row>
    <row r="202" spans="4:63" s="896" customFormat="1" ht="11.25" customHeight="1">
      <c r="D202" s="1263"/>
      <c r="E202" s="1142"/>
      <c r="F202" s="1142"/>
      <c r="G202" s="1158"/>
      <c r="H202" s="920"/>
      <c r="I202" s="924"/>
      <c r="J202" s="1154"/>
      <c r="K202" s="1154"/>
      <c r="L202" s="1154"/>
      <c r="M202" s="1154"/>
      <c r="N202" s="1154"/>
      <c r="O202" s="1154"/>
      <c r="P202" s="1154"/>
      <c r="Q202" s="1154"/>
      <c r="R202" s="1154"/>
      <c r="S202" s="1154"/>
      <c r="T202" s="1154"/>
      <c r="U202" s="1154"/>
      <c r="V202" s="1154"/>
      <c r="W202" s="1154"/>
      <c r="X202" s="1154"/>
      <c r="Y202" s="1154"/>
      <c r="Z202" s="1154"/>
      <c r="AA202" s="1154"/>
      <c r="AB202" s="1154"/>
      <c r="AC202" s="1154"/>
      <c r="AD202" s="1154"/>
      <c r="AE202" s="1154"/>
      <c r="AF202" s="1154"/>
      <c r="AG202" s="1154"/>
      <c r="AH202" s="1154"/>
      <c r="AI202" s="1155"/>
      <c r="BK202"/>
    </row>
    <row r="203" spans="4:63" ht="17.25" customHeight="1"/>
  </sheetData>
  <sheetProtection formatColumns="0" formatRows="0" insertRows="0" deleteColumns="0" deleteRows="0" sort="0" autoFilter="0"/>
  <mergeCells count="28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S79:S81"/>
    <mergeCell ref="T79:T81"/>
    <mergeCell ref="U79:U81"/>
    <mergeCell ref="V79:V81"/>
    <mergeCell ref="W79:W81"/>
    <mergeCell ref="X79:X81"/>
    <mergeCell ref="Y79:Y81"/>
    <mergeCell ref="H89:H93"/>
    <mergeCell ref="I89:I93"/>
    <mergeCell ref="J89:J93"/>
    <mergeCell ref="K89:K93"/>
    <mergeCell ref="L89:L93"/>
    <mergeCell ref="M89:M93"/>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D197:D202"/>
    <mergeCell ref="E197:E202"/>
    <mergeCell ref="F197:F202"/>
    <mergeCell ref="G197:G202"/>
    <mergeCell ref="I197:I201"/>
    <mergeCell ref="J197:J201"/>
    <mergeCell ref="L197:L201"/>
    <mergeCell ref="M197:M201"/>
    <mergeCell ref="O197:O200"/>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W164:W165"/>
    <mergeCell ref="D164:D168"/>
    <mergeCell ref="E164:E168"/>
    <mergeCell ref="F164:F168"/>
    <mergeCell ref="G164:G168"/>
    <mergeCell ref="H164:H167"/>
    <mergeCell ref="I164:I167"/>
    <mergeCell ref="J164:J167"/>
    <mergeCell ref="K164:K167"/>
    <mergeCell ref="L164:L166"/>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Y60:Y61"/>
    <mergeCell ref="S60:S61"/>
    <mergeCell ref="T60:T61"/>
    <mergeCell ref="M60:M61"/>
    <mergeCell ref="N60:N61"/>
    <mergeCell ref="O60:O61"/>
    <mergeCell ref="Q60:Q61"/>
    <mergeCell ref="R60:R61"/>
    <mergeCell ref="W60:W61"/>
    <mergeCell ref="X60:X61"/>
    <mergeCell ref="P60:P61"/>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xr:uid="{00000000-0002-0000-0A00-000000000000}">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xr:uid="{00000000-0002-0000-0A00-000001000000}"/>
    <dataValidation type="list" allowBlank="1" showInputMessage="1" showErrorMessage="1" errorTitle="Ошибка" error="Выберите значение из списка" prompt="Выберите значение из списка" sqref="H98" xr:uid="{00000000-0002-0000-0A00-000002000000}">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xr:uid="{00000000-0002-0000-0A00-000003000000}">
      <formula1>kind_of_purchase_method</formula1>
    </dataValidation>
    <dataValidation allowBlank="1" showInputMessage="1" showErrorMessage="1" promptTitle="Ввод" prompt="Для выбора ИП необходимо два раза нажать левую кнопку мыши!" sqref="G60 G65" xr:uid="{00000000-0002-0000-0A00-000004000000}"/>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xr:uid="{00000000-0002-0000-0A00-000005000000}"/>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xr:uid="{00000000-0002-0000-0A00-00000600000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xr:uid="{00000000-0002-0000-0A00-000007000000}">
      <formula1>kind_of_power_te_unit</formula1>
    </dataValidation>
    <dataValidation allowBlank="1" showInputMessage="1" showErrorMessage="1" prompt="Изменение значения по двойному щелчоку левой кнопки мыши" sqref="J44" xr:uid="{00000000-0002-0000-0A00-000008000000}"/>
    <dataValidation type="list" allowBlank="1" showInputMessage="1" showErrorMessage="1" sqref="I30" xr:uid="{00000000-0002-0000-0A00-000009000000}">
      <formula1>DESCRIPTION_TERRITORY</formula1>
    </dataValidation>
    <dataValidation type="textLength" operator="lessThan" allowBlank="1" showInputMessage="1" showErrorMessage="1" error="Допускается ввод не более 900 символов!" sqref="M25 M19" xr:uid="{00000000-0002-0000-0A00-00000A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xr:uid="{00000000-0002-0000-0A00-00000B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xr:uid="{00000000-0002-0000-0A00-00000C000000}">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xr:uid="{00000000-0002-0000-0A00-00000D000000}">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xr:uid="{00000000-0002-0000-0A00-00000E000000}"/>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xr:uid="{00000000-0002-0000-0A00-00000F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xr:uid="{00000000-0002-0000-0A00-000010000000}"/>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xr:uid="{00000000-0002-0000-0A00-000011000000}"/>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xr:uid="{00000000-0002-0000-0A00-00001200000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B2A06D-7431-9185-7EA6-E7FDE4746891}">
  <sheetPr>
    <tabColor theme="6" tint="0.39997558519241921"/>
    <pageSetUpPr fitToPage="1"/>
  </sheetPr>
  <dimension ref="A1:P29"/>
  <sheetViews>
    <sheetView showGridLines="0" topLeftCell="C4" zoomScale="90" workbookViewId="0"/>
  </sheetViews>
  <sheetFormatPr defaultColWidth="10.5703125" defaultRowHeight="14.25" customHeight="1"/>
  <cols>
    <col min="1" max="1" width="9.140625" style="32" hidden="1" customWidth="1"/>
    <col min="2" max="2" width="9.140625" style="60" hidden="1" customWidth="1"/>
    <col min="3" max="3" width="3.7109375" style="28" customWidth="1"/>
    <col min="4" max="4" width="6.28515625" style="9" customWidth="1"/>
    <col min="5" max="6" width="64.140625" style="9" customWidth="1"/>
    <col min="7" max="7" width="141.140625" style="9" customWidth="1"/>
    <col min="8" max="8" width="10.5703125" style="9"/>
    <col min="9" max="10" width="10.5703125" style="66"/>
    <col min="11" max="16" width="10.5703125" style="9"/>
  </cols>
  <sheetData>
    <row r="1" spans="1:16" ht="14.25" hidden="1" customHeight="1">
      <c r="M1" s="147"/>
      <c r="N1" s="147"/>
      <c r="P1" s="147"/>
    </row>
    <row r="2" spans="1:16" ht="14.25" hidden="1" customHeight="1"/>
    <row r="3" spans="1:16" ht="14.25" hidden="1" customHeight="1"/>
    <row r="4" spans="1:16" ht="3" customHeight="1">
      <c r="C4" s="27"/>
      <c r="D4" s="8"/>
      <c r="E4" s="8"/>
      <c r="F4" s="18"/>
      <c r="G4" s="18"/>
    </row>
    <row r="5" spans="1:16" ht="25.5" customHeight="1">
      <c r="C5" s="27"/>
      <c r="D5" s="1076"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1077"/>
      <c r="F5" s="1077"/>
      <c r="G5" s="1078"/>
    </row>
    <row r="6" spans="1:16" s="9" customFormat="1" ht="18" customHeight="1">
      <c r="A6" s="32"/>
      <c r="B6" s="60"/>
      <c r="C6" s="27"/>
      <c r="D6" s="1183" t="str">
        <f>IF(org=0,"Не определено",org)</f>
        <v>ИМУП «ПОСЖИЛКОМСЕРВИС»</v>
      </c>
      <c r="E6" s="1184"/>
      <c r="F6" s="1184"/>
      <c r="G6" s="1185"/>
      <c r="I6" s="66"/>
      <c r="J6" s="66"/>
    </row>
    <row r="7" spans="1:16" ht="14.25" customHeight="1">
      <c r="C7" s="27"/>
      <c r="D7" s="8"/>
      <c r="E7" s="12"/>
      <c r="F7" s="445"/>
      <c r="G7" s="98"/>
    </row>
    <row r="8" spans="1:16" s="9" customFormat="1" ht="0.75" customHeight="1">
      <c r="A8" s="32"/>
      <c r="B8" s="60"/>
      <c r="C8" s="27"/>
      <c r="D8" s="8"/>
      <c r="E8" s="12"/>
      <c r="F8" s="445"/>
      <c r="G8" s="98"/>
      <c r="I8" s="66"/>
      <c r="J8" s="66"/>
    </row>
    <row r="9" spans="1:16" ht="14.25" customHeight="1">
      <c r="C9" s="27"/>
      <c r="D9" s="1168" t="s">
        <v>288</v>
      </c>
      <c r="E9" s="1168"/>
      <c r="F9" s="1168"/>
      <c r="G9" s="1272" t="s">
        <v>289</v>
      </c>
    </row>
    <row r="10" spans="1:16" ht="14.25" customHeight="1">
      <c r="C10" s="27"/>
      <c r="D10" s="34" t="s">
        <v>88</v>
      </c>
      <c r="E10" s="37" t="s">
        <v>290</v>
      </c>
      <c r="F10" s="37" t="s">
        <v>380</v>
      </c>
      <c r="G10" s="1272"/>
    </row>
    <row r="11" spans="1:16" ht="12" hidden="1" customHeight="1">
      <c r="C11" s="27"/>
      <c r="D11" s="20"/>
      <c r="E11" s="20"/>
      <c r="F11" s="20"/>
      <c r="G11" s="20"/>
    </row>
    <row r="12" spans="1:16" ht="62.25" customHeight="1">
      <c r="A12" s="2"/>
      <c r="C12" s="27"/>
      <c r="D12" s="61">
        <v>1</v>
      </c>
      <c r="E12" s="102"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37" t="s">
        <v>294</v>
      </c>
      <c r="G12" s="64"/>
    </row>
    <row r="13" spans="1:16" ht="22.5" customHeight="1">
      <c r="A13" s="2"/>
      <c r="C13" s="27"/>
      <c r="D13" s="61" t="s">
        <v>427</v>
      </c>
      <c r="E13" s="99"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7" t="s">
        <v>294</v>
      </c>
      <c r="G13" s="64"/>
    </row>
    <row r="14" spans="1:16" ht="14.25" customHeight="1">
      <c r="A14" s="2"/>
      <c r="C14" s="27"/>
      <c r="D14" s="61" t="s">
        <v>440</v>
      </c>
      <c r="E14" s="100"/>
      <c r="F14" s="114"/>
      <c r="G14" s="1127"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r="15" spans="1:16" ht="15" customHeight="1">
      <c r="A15" s="2"/>
      <c r="C15" s="27"/>
      <c r="D15" s="38"/>
      <c r="E15" s="108" t="s">
        <v>441</v>
      </c>
      <c r="F15" s="105"/>
      <c r="G15" s="1129"/>
    </row>
    <row r="16" spans="1:16" ht="14.25" customHeight="1">
      <c r="A16" s="2"/>
      <c r="C16" s="27"/>
      <c r="D16" s="61" t="s">
        <v>442</v>
      </c>
      <c r="E16" s="99"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37" t="s">
        <v>294</v>
      </c>
      <c r="G16" s="171"/>
    </row>
    <row r="17" spans="1:16" ht="14.25" customHeight="1">
      <c r="A17" s="2"/>
      <c r="C17" s="27"/>
      <c r="D17" s="61" t="s">
        <v>443</v>
      </c>
      <c r="E17" s="100"/>
      <c r="F17" s="232"/>
      <c r="G17" s="1127"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r="18" spans="1:16" s="9" customFormat="1" ht="21" customHeight="1">
      <c r="A18" s="2"/>
      <c r="B18" s="60"/>
      <c r="C18" s="27"/>
      <c r="D18" s="38"/>
      <c r="E18" s="108" t="s">
        <v>444</v>
      </c>
      <c r="F18" s="49"/>
      <c r="G18" s="1129"/>
      <c r="I18" s="66"/>
      <c r="J18" s="66"/>
    </row>
    <row r="19" spans="1:16" s="9" customFormat="1" ht="256.5" hidden="1" customHeight="1">
      <c r="A19" s="2"/>
      <c r="B19" s="60"/>
      <c r="C19" s="27"/>
      <c r="D19" s="61" t="s">
        <v>445</v>
      </c>
      <c r="E19" s="99" t="s">
        <v>446</v>
      </c>
      <c r="F19" s="232"/>
      <c r="G19" s="171" t="s">
        <v>447</v>
      </c>
      <c r="I19" s="66"/>
      <c r="J19" s="66"/>
    </row>
    <row r="20" spans="1:16" s="9" customFormat="1" ht="14.25" customHeight="1">
      <c r="A20" s="2"/>
      <c r="B20" s="60"/>
      <c r="C20" s="27"/>
      <c r="D20" s="265">
        <v>2</v>
      </c>
      <c r="E20" s="99" t="s">
        <v>448</v>
      </c>
      <c r="F20" s="37" t="s">
        <v>294</v>
      </c>
      <c r="G20" s="171"/>
      <c r="I20" s="66"/>
      <c r="J20" s="66"/>
    </row>
    <row r="21" spans="1:16" s="9" customFormat="1" ht="18.75" hidden="1" customHeight="1">
      <c r="A21" s="2"/>
      <c r="B21" s="60"/>
      <c r="C21" s="27"/>
      <c r="D21" s="201" t="s">
        <v>449</v>
      </c>
      <c r="E21" s="200"/>
      <c r="F21" s="199"/>
      <c r="G21" s="207"/>
      <c r="H21" s="202"/>
      <c r="I21" s="66"/>
      <c r="J21" s="66"/>
    </row>
    <row r="22" spans="1:16" ht="15" customHeight="1">
      <c r="A22" s="2"/>
      <c r="C22" s="27"/>
      <c r="D22" s="38"/>
      <c r="E22" s="107" t="s">
        <v>450</v>
      </c>
      <c r="F22" s="49"/>
      <c r="G22" s="205"/>
    </row>
    <row r="23" spans="1:16" s="9" customFormat="1" ht="22.5" hidden="1" customHeight="1">
      <c r="A23" s="2"/>
      <c r="B23" s="60"/>
      <c r="C23" s="27"/>
      <c r="D23" s="61" t="s">
        <v>111</v>
      </c>
      <c r="E23" s="102" t="s">
        <v>451</v>
      </c>
      <c r="F23" s="37" t="s">
        <v>294</v>
      </c>
      <c r="G23" s="64"/>
      <c r="I23" s="66"/>
      <c r="J23" s="66"/>
    </row>
    <row r="24" spans="1:16" s="9" customFormat="1" ht="14.25" hidden="1" customHeight="1">
      <c r="A24" s="2"/>
      <c r="B24" s="60"/>
      <c r="C24" s="27"/>
      <c r="D24" s="61" t="s">
        <v>452</v>
      </c>
      <c r="E24" s="99" t="s">
        <v>453</v>
      </c>
      <c r="F24" s="37" t="s">
        <v>294</v>
      </c>
      <c r="G24" s="171"/>
      <c r="I24" s="66"/>
      <c r="J24" s="66"/>
    </row>
    <row r="25" spans="1:16" s="9" customFormat="1" ht="14.25" hidden="1" customHeight="1">
      <c r="A25" s="2"/>
      <c r="B25" s="60"/>
      <c r="C25" s="27"/>
      <c r="D25" s="61" t="s">
        <v>454</v>
      </c>
      <c r="E25" s="100"/>
      <c r="F25" s="232"/>
      <c r="G25" s="1127" t="s">
        <v>455</v>
      </c>
      <c r="I25" s="66"/>
      <c r="J25" s="66"/>
    </row>
    <row r="26" spans="1:16" s="9" customFormat="1" ht="22.5" hidden="1" customHeight="1">
      <c r="A26" s="2"/>
      <c r="B26" s="60"/>
      <c r="C26" s="27"/>
      <c r="D26" s="38"/>
      <c r="E26" s="108" t="s">
        <v>456</v>
      </c>
      <c r="F26" s="49"/>
      <c r="G26" s="1129"/>
      <c r="I26" s="66"/>
      <c r="J26" s="66"/>
    </row>
    <row r="27" spans="1:16" ht="3" customHeight="1"/>
    <row r="28" spans="1:16" ht="14.25" customHeight="1">
      <c r="D28" s="204"/>
      <c r="E28" s="203"/>
      <c r="F28" s="1"/>
      <c r="G28" s="1"/>
      <c r="H28" s="1"/>
      <c r="I28" s="1"/>
      <c r="J28" s="1"/>
      <c r="K28" s="1"/>
      <c r="L28" s="1"/>
      <c r="M28" s="1"/>
      <c r="N28" s="1"/>
      <c r="O28" s="1"/>
      <c r="P28" s="1"/>
    </row>
    <row r="29" spans="1:16" ht="14.25" customHeight="1">
      <c r="D29" s="204"/>
      <c r="E29" s="15"/>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xr:uid="{00000000-0002-0000-0B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xr:uid="{00000000-0002-0000-0B00-000001000000}">
      <formula1>900</formula1>
    </dataValidation>
  </dataValidations>
  <printOptions horizontalCentered="1" verticalCentered="1"/>
  <pageMargins left="0" right="0" top="0" bottom="0" header="0" footer="0.79"/>
  <pageSetup paperSize="9" scale="38" fitToHeight="0"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B0A06-0748-1D86-4563-6A390A863C73}">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0"/>
      <c r="AC2" s="1281"/>
      <c r="AD2" s="1279" t="e">
        <f>INDEX(PT_DIFFERENTIATION_NTAR,MATCH(A2,PT_DIFFERENTIATION_NTAR_ID,0))</f>
        <v>#N/A</v>
      </c>
      <c r="AE2" s="1280"/>
      <c r="AF2" s="1280"/>
      <c r="AG2" s="1280"/>
      <c r="AH2" s="1280"/>
      <c r="AI2" s="1280"/>
      <c r="AJ2" s="1280"/>
      <c r="AK2" s="1280"/>
      <c r="AL2" s="1281"/>
      <c r="AM2" s="758" t="s">
        <v>457</v>
      </c>
      <c r="AO2" s="66"/>
      <c r="AP2" s="66" t="str">
        <f t="shared" ref="AP2:AP15" si="0">IF(T2="","",T2)</f>
        <v>Наименование тарифа</v>
      </c>
      <c r="AQ2" s="66"/>
      <c r="AR2" s="66"/>
    </row>
    <row r="3" spans="1:44" ht="21"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0"/>
      <c r="AC3" s="1281"/>
      <c r="AD3" s="1279" t="e">
        <f>INDEX(PT_DIFFERENTIATION_TER,MATCH(B3,PT_DIFFERENTIATION_TER_ID,0))</f>
        <v>#N/A</v>
      </c>
      <c r="AE3" s="1280"/>
      <c r="AF3" s="1280"/>
      <c r="AG3" s="1280"/>
      <c r="AH3" s="1280"/>
      <c r="AI3" s="1280"/>
      <c r="AJ3" s="1280"/>
      <c r="AK3" s="1280"/>
      <c r="AL3" s="1281"/>
      <c r="AM3" s="758" t="s">
        <v>459</v>
      </c>
      <c r="AO3" s="66"/>
      <c r="AP3" s="66" t="str">
        <f t="shared" si="0"/>
        <v>Территория действия тарифа</v>
      </c>
      <c r="AQ3" s="66"/>
      <c r="AR3" s="66"/>
    </row>
    <row r="4" spans="1:44"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460</v>
      </c>
      <c r="U4" s="170"/>
      <c r="V4" s="1279"/>
      <c r="W4" s="1280"/>
      <c r="X4" s="1280"/>
      <c r="Y4" s="1280"/>
      <c r="Z4" s="1280"/>
      <c r="AA4" s="1280"/>
      <c r="AB4" s="1280"/>
      <c r="AC4" s="1281"/>
      <c r="AD4" s="1279" t="e">
        <f>INDEX(PT_DIFFERENTIATION_CS,MATCH(C4,PT_DIFFERENTIATION_CS_ID,0))</f>
        <v>#N/A</v>
      </c>
      <c r="AE4" s="1280"/>
      <c r="AF4" s="1280"/>
      <c r="AG4" s="1280"/>
      <c r="AH4" s="1280"/>
      <c r="AI4" s="1280"/>
      <c r="AJ4" s="1280"/>
      <c r="AK4" s="1280"/>
      <c r="AL4" s="1281"/>
      <c r="AM4" s="758" t="s">
        <v>461</v>
      </c>
      <c r="AO4" s="66"/>
      <c r="AP4" s="66" t="str">
        <f t="shared" si="0"/>
        <v xml:space="preserve">Наименование системы теплоснабжения </v>
      </c>
      <c r="AQ4" s="66"/>
      <c r="AR4" s="66"/>
    </row>
    <row r="5" spans="1:44" ht="21" hidden="1" customHeight="1">
      <c r="A5" s="798"/>
      <c r="B5" s="798"/>
      <c r="C5" s="798"/>
      <c r="D5" s="798"/>
      <c r="E5" s="1286"/>
      <c r="F5" s="1286"/>
      <c r="G5" s="1286"/>
      <c r="H5" s="1285">
        <v>1</v>
      </c>
      <c r="I5" s="798"/>
      <c r="J5" s="798"/>
      <c r="K5" s="798"/>
      <c r="L5" s="799"/>
      <c r="M5" s="435"/>
      <c r="N5" s="435"/>
      <c r="O5" s="435"/>
      <c r="P5" s="212"/>
      <c r="Q5" s="210"/>
      <c r="R5" s="211"/>
      <c r="S5" s="730" t="e">
        <f>INDEX(PT_DIFFERENTIATION_NUM_IST_TE,MATCH(D5,PT_DIFFERENTIATION_IST_TE_ID,0))</f>
        <v>#N/A</v>
      </c>
      <c r="T5" s="180" t="s">
        <v>462</v>
      </c>
      <c r="U5" s="170"/>
      <c r="V5" s="1279"/>
      <c r="W5" s="1280"/>
      <c r="X5" s="1280"/>
      <c r="Y5" s="1280"/>
      <c r="Z5" s="1280"/>
      <c r="AA5" s="1280"/>
      <c r="AB5" s="1280"/>
      <c r="AC5" s="1281"/>
      <c r="AD5" s="1279" t="e">
        <f>INDEX(PT_DIFFERENTIATION_IST_TE,MATCH(D5,PT_DIFFERENTIATION_IST_TE_ID,0))</f>
        <v>#N/A</v>
      </c>
      <c r="AE5" s="1280"/>
      <c r="AF5" s="1280"/>
      <c r="AG5" s="1280"/>
      <c r="AH5" s="1280"/>
      <c r="AI5" s="1280"/>
      <c r="AJ5" s="1280"/>
      <c r="AK5" s="1280"/>
      <c r="AL5" s="1281"/>
      <c r="AM5" s="758" t="s">
        <v>463</v>
      </c>
      <c r="AO5" s="66"/>
      <c r="AP5" s="66" t="str">
        <f t="shared" si="0"/>
        <v xml:space="preserve">Источник тепловой энергии  </v>
      </c>
      <c r="AQ5" s="66"/>
      <c r="AR5" s="66"/>
    </row>
    <row r="6" spans="1:44" ht="47.25" hidden="1" customHeight="1">
      <c r="A6" s="798"/>
      <c r="B6" s="798"/>
      <c r="C6" s="798"/>
      <c r="D6" s="798"/>
      <c r="E6" s="1286"/>
      <c r="F6" s="1286"/>
      <c r="G6" s="1286"/>
      <c r="H6" s="1286"/>
      <c r="I6" s="1287" t="e">
        <f>S5&amp;".1"</f>
        <v>#N/A</v>
      </c>
      <c r="J6" s="798"/>
      <c r="K6" s="798"/>
      <c r="L6" s="799" t="s">
        <v>464</v>
      </c>
      <c r="M6" s="60"/>
      <c r="P6" s="1204">
        <v>1</v>
      </c>
      <c r="Q6" s="119"/>
      <c r="R6" s="214"/>
      <c r="S6" s="730" t="e">
        <f>$I6</f>
        <v>#N/A</v>
      </c>
      <c r="T6" s="163" t="s">
        <v>465</v>
      </c>
      <c r="U6" s="170"/>
      <c r="V6" s="1273"/>
      <c r="W6" s="1274"/>
      <c r="X6" s="1274"/>
      <c r="Y6" s="1274"/>
      <c r="Z6" s="1274"/>
      <c r="AA6" s="1274"/>
      <c r="AB6" s="1274"/>
      <c r="AC6" s="1275"/>
      <c r="AD6" s="1273"/>
      <c r="AE6" s="1274"/>
      <c r="AF6" s="1274"/>
      <c r="AG6" s="1274"/>
      <c r="AH6" s="1274"/>
      <c r="AI6" s="1274"/>
      <c r="AJ6" s="1274"/>
      <c r="AK6" s="1274"/>
      <c r="AL6" s="1275"/>
      <c r="AM6" s="758" t="s">
        <v>466</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8"/>
      <c r="B7" s="798"/>
      <c r="C7" s="798"/>
      <c r="D7" s="798"/>
      <c r="E7" s="1286"/>
      <c r="F7" s="1286"/>
      <c r="G7" s="1286"/>
      <c r="H7" s="1286"/>
      <c r="I7" s="1288"/>
      <c r="J7" s="1287" t="e">
        <f>I6&amp;".1"</f>
        <v>#N/A</v>
      </c>
      <c r="K7" s="798"/>
      <c r="L7" s="799" t="s">
        <v>467</v>
      </c>
      <c r="M7" s="60"/>
      <c r="N7" s="60"/>
      <c r="P7" s="1204"/>
      <c r="Q7" s="1204">
        <v>1</v>
      </c>
      <c r="R7" s="215"/>
      <c r="S7" s="730" t="e">
        <f>$J7</f>
        <v>#N/A</v>
      </c>
      <c r="T7" s="164" t="s">
        <v>468</v>
      </c>
      <c r="U7" s="170"/>
      <c r="V7" s="1273"/>
      <c r="W7" s="1274"/>
      <c r="X7" s="1274"/>
      <c r="Y7" s="1274"/>
      <c r="Z7" s="1274"/>
      <c r="AA7" s="1274"/>
      <c r="AB7" s="1274"/>
      <c r="AC7" s="1275"/>
      <c r="AD7" s="1273"/>
      <c r="AE7" s="1274"/>
      <c r="AF7" s="1274"/>
      <c r="AG7" s="1274"/>
      <c r="AH7" s="1274"/>
      <c r="AI7" s="1274"/>
      <c r="AJ7" s="1274"/>
      <c r="AK7" s="1274"/>
      <c r="AL7" s="1275"/>
      <c r="AM7" s="758" t="s">
        <v>469</v>
      </c>
      <c r="AO7" s="66"/>
      <c r="AP7" s="66" t="str">
        <f t="shared" si="0"/>
        <v>Группа потребителей</v>
      </c>
      <c r="AQ7" s="66"/>
      <c r="AR7" s="66"/>
    </row>
    <row r="8" spans="1:44" ht="21" hidden="1" customHeight="1">
      <c r="A8" s="798"/>
      <c r="B8" s="798"/>
      <c r="C8" s="798"/>
      <c r="D8" s="798"/>
      <c r="E8" s="1286"/>
      <c r="F8" s="1286"/>
      <c r="G8" s="1286"/>
      <c r="H8" s="1286"/>
      <c r="I8" s="1288"/>
      <c r="J8" s="1288"/>
      <c r="K8" s="1287" t="e">
        <f>J7&amp;".1"</f>
        <v>#N/A</v>
      </c>
      <c r="L8" s="799" t="s">
        <v>470</v>
      </c>
      <c r="M8" s="60"/>
      <c r="N8" s="60"/>
      <c r="O8" s="60"/>
      <c r="P8" s="1204"/>
      <c r="Q8" s="1204"/>
      <c r="R8" s="215">
        <v>1</v>
      </c>
      <c r="S8" s="730" t="e">
        <f>$K8</f>
        <v>#N/A</v>
      </c>
      <c r="T8" s="794"/>
      <c r="U8" s="170"/>
      <c r="V8" s="317"/>
      <c r="W8" s="196"/>
      <c r="X8" s="317"/>
      <c r="Y8" s="757"/>
      <c r="Z8" s="1289"/>
      <c r="AA8" s="1093" t="s">
        <v>59</v>
      </c>
      <c r="AB8" s="1289"/>
      <c r="AC8" s="1093" t="s">
        <v>59</v>
      </c>
      <c r="AD8" s="317"/>
      <c r="AE8" s="196"/>
      <c r="AF8" s="317"/>
      <c r="AG8" s="757"/>
      <c r="AH8" s="1289"/>
      <c r="AI8" s="1093" t="s">
        <v>59</v>
      </c>
      <c r="AJ8" s="1289"/>
      <c r="AK8" s="1093" t="s">
        <v>59</v>
      </c>
      <c r="AL8" s="196"/>
      <c r="AM8" s="1307" t="s">
        <v>471</v>
      </c>
      <c r="AN8" s="65" t="e">
        <f ca="1">STRCHECKDATE(V9:AL9)</f>
        <v>#NAME?</v>
      </c>
      <c r="AO8" s="66"/>
      <c r="AP8" s="66" t="str">
        <f t="shared" si="0"/>
        <v/>
      </c>
      <c r="AQ8" s="66"/>
      <c r="AR8" s="66"/>
    </row>
    <row r="9" spans="1:44" ht="0.75" hidden="1" customHeight="1">
      <c r="A9" s="798"/>
      <c r="B9" s="798"/>
      <c r="C9" s="798"/>
      <c r="D9" s="798"/>
      <c r="E9" s="1286"/>
      <c r="F9" s="1286"/>
      <c r="G9" s="1286"/>
      <c r="H9" s="1286"/>
      <c r="I9" s="1288"/>
      <c r="J9" s="1288"/>
      <c r="K9" s="1287"/>
      <c r="L9" s="799"/>
      <c r="M9" s="60"/>
      <c r="N9" s="60"/>
      <c r="O9" s="60"/>
      <c r="P9" s="1204"/>
      <c r="Q9" s="1204"/>
      <c r="R9" s="215"/>
      <c r="S9" s="62"/>
      <c r="T9" s="170"/>
      <c r="U9" s="170"/>
      <c r="V9" s="196"/>
      <c r="W9" s="196"/>
      <c r="X9" s="196"/>
      <c r="Y9" s="198" t="str">
        <f>Z8&amp;"-"&amp;AB8</f>
        <v>-</v>
      </c>
      <c r="Z9" s="1290"/>
      <c r="AA9" s="1093"/>
      <c r="AB9" s="1290"/>
      <c r="AC9" s="1093"/>
      <c r="AD9" s="196"/>
      <c r="AE9" s="196"/>
      <c r="AF9" s="196"/>
      <c r="AG9" s="198" t="str">
        <f>AH8&amp;"-"&amp;AJ8</f>
        <v>-</v>
      </c>
      <c r="AH9" s="1290"/>
      <c r="AI9" s="1093"/>
      <c r="AJ9" s="1290"/>
      <c r="AK9" s="1093"/>
      <c r="AL9" s="196"/>
      <c r="AM9" s="1308"/>
      <c r="AO9" s="66"/>
      <c r="AP9" s="66" t="str">
        <f t="shared" si="0"/>
        <v/>
      </c>
      <c r="AQ9" s="66"/>
      <c r="AR9" s="66"/>
    </row>
    <row r="10" spans="1:44" ht="15" hidden="1" customHeight="1">
      <c r="A10" s="798"/>
      <c r="B10" s="798"/>
      <c r="C10" s="798"/>
      <c r="D10" s="798"/>
      <c r="E10" s="1286"/>
      <c r="F10" s="1286"/>
      <c r="G10" s="1286"/>
      <c r="H10" s="1286"/>
      <c r="I10" s="1288"/>
      <c r="J10" s="1287"/>
      <c r="K10" s="798"/>
      <c r="L10" s="799"/>
      <c r="M10" s="60"/>
      <c r="N10" s="60"/>
      <c r="P10" s="1204"/>
      <c r="Q10" s="1204"/>
      <c r="R10" s="214"/>
      <c r="S10" s="772"/>
      <c r="T10" s="166" t="s">
        <v>472</v>
      </c>
      <c r="U10" s="221"/>
      <c r="V10" s="221"/>
      <c r="W10" s="221"/>
      <c r="X10" s="221"/>
      <c r="Y10" s="221"/>
      <c r="Z10" s="221"/>
      <c r="AA10" s="221"/>
      <c r="AB10" s="221"/>
      <c r="AC10" s="221"/>
      <c r="AD10" s="221"/>
      <c r="AE10" s="221"/>
      <c r="AF10" s="221"/>
      <c r="AG10" s="221"/>
      <c r="AH10" s="221"/>
      <c r="AI10" s="221"/>
      <c r="AJ10" s="221"/>
      <c r="AK10" s="221"/>
      <c r="AL10" s="195"/>
      <c r="AM10" s="1309"/>
      <c r="AO10" s="66"/>
      <c r="AP10" s="66" t="str">
        <f t="shared" si="0"/>
        <v>Добавить вид теплоносителя (параметры теплоносителя)</v>
      </c>
      <c r="AQ10" s="66"/>
      <c r="AR10" s="66"/>
    </row>
    <row r="11" spans="1:44" ht="15" hidden="1" customHeight="1">
      <c r="A11" s="798"/>
      <c r="B11" s="798"/>
      <c r="C11" s="798"/>
      <c r="D11" s="798"/>
      <c r="E11" s="1286"/>
      <c r="F11" s="1286"/>
      <c r="G11" s="1286"/>
      <c r="H11" s="1286"/>
      <c r="I11" s="1287"/>
      <c r="J11" s="798"/>
      <c r="K11" s="798"/>
      <c r="L11" s="799"/>
      <c r="M11" s="60"/>
      <c r="P11" s="1204"/>
      <c r="Q11" s="119"/>
      <c r="R11" s="214"/>
      <c r="S11" s="772"/>
      <c r="T11" s="165" t="s">
        <v>473</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8"/>
      <c r="B12" s="798"/>
      <c r="C12" s="798"/>
      <c r="D12" s="798"/>
      <c r="E12" s="1286"/>
      <c r="F12" s="1286"/>
      <c r="G12" s="1286"/>
      <c r="H12" s="1285"/>
      <c r="I12" s="798"/>
      <c r="J12" s="798"/>
      <c r="K12" s="798"/>
      <c r="L12" s="799"/>
      <c r="M12" s="435"/>
      <c r="N12" s="435"/>
      <c r="O12" s="60"/>
      <c r="P12" s="2"/>
      <c r="Q12" s="224"/>
      <c r="R12" s="213"/>
      <c r="S12" s="772"/>
      <c r="T12" s="219" t="s">
        <v>474</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86"/>
      <c r="F13" s="1286"/>
      <c r="G13" s="1285"/>
      <c r="H13" s="142"/>
      <c r="I13" s="142"/>
      <c r="J13" s="142"/>
      <c r="K13" s="142"/>
      <c r="L13" s="357"/>
      <c r="M13" s="304"/>
      <c r="N13" s="304"/>
      <c r="P13" s="101"/>
      <c r="Q13" s="785"/>
      <c r="R13" s="101"/>
      <c r="S13" s="786"/>
      <c r="T13" s="787" t="s">
        <v>431</v>
      </c>
      <c r="U13" s="788"/>
      <c r="V13" s="788"/>
      <c r="W13" s="788"/>
      <c r="X13" s="788"/>
      <c r="Y13" s="788"/>
      <c r="Z13" s="788"/>
      <c r="AA13" s="788"/>
      <c r="AB13" s="788"/>
      <c r="AC13" s="788"/>
      <c r="AD13" s="788"/>
      <c r="AE13" s="788"/>
      <c r="AF13" s="788"/>
      <c r="AG13" s="788"/>
      <c r="AH13" s="788"/>
      <c r="AI13" s="788"/>
      <c r="AJ13" s="788"/>
      <c r="AK13" s="788"/>
      <c r="AL13" s="788"/>
      <c r="AM13" s="788"/>
      <c r="AO13" s="66"/>
      <c r="AP13" s="66" t="str">
        <f t="shared" si="0"/>
        <v>Добавить источник для дифференциации</v>
      </c>
      <c r="AQ13" s="66"/>
      <c r="AR13" s="66"/>
    </row>
    <row r="14" spans="1:44" s="65" customFormat="1" ht="0.75" hidden="1" customHeight="1">
      <c r="A14" s="142"/>
      <c r="B14" s="142"/>
      <c r="C14" s="142"/>
      <c r="D14" s="142"/>
      <c r="E14" s="1286"/>
      <c r="F14" s="1285"/>
      <c r="G14" s="142"/>
      <c r="H14" s="142"/>
      <c r="I14" s="142"/>
      <c r="J14" s="142"/>
      <c r="K14" s="142"/>
      <c r="L14" s="357"/>
      <c r="M14" s="789"/>
      <c r="N14" s="789"/>
      <c r="P14" s="101"/>
      <c r="Q14" s="785"/>
      <c r="R14" s="101"/>
      <c r="S14" s="790"/>
      <c r="T14" s="791" t="s">
        <v>432</v>
      </c>
      <c r="U14" s="324"/>
      <c r="V14" s="324"/>
      <c r="W14" s="324"/>
      <c r="X14" s="324"/>
      <c r="Y14" s="324"/>
      <c r="Z14" s="324"/>
      <c r="AA14" s="324"/>
      <c r="AB14" s="324"/>
      <c r="AC14" s="324"/>
      <c r="AD14" s="324"/>
      <c r="AE14" s="324"/>
      <c r="AF14" s="324"/>
      <c r="AG14" s="324"/>
      <c r="AH14" s="324"/>
      <c r="AI14" s="324"/>
      <c r="AJ14" s="324"/>
      <c r="AK14" s="324"/>
      <c r="AL14" s="324"/>
      <c r="AM14" s="324"/>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85"/>
      <c r="F15" s="142"/>
      <c r="G15" s="142"/>
      <c r="H15" s="142"/>
      <c r="I15" s="142"/>
      <c r="J15" s="142"/>
      <c r="K15" s="142"/>
      <c r="L15" s="357"/>
      <c r="M15" s="789"/>
      <c r="N15" s="789"/>
      <c r="P15" s="101"/>
      <c r="Q15" s="785"/>
      <c r="R15" s="101"/>
      <c r="S15" s="790"/>
      <c r="T15" s="792" t="s">
        <v>433</v>
      </c>
      <c r="U15" s="324"/>
      <c r="V15" s="324"/>
      <c r="W15" s="324"/>
      <c r="X15" s="324"/>
      <c r="Y15" s="324"/>
      <c r="Z15" s="324"/>
      <c r="AA15" s="324"/>
      <c r="AB15" s="324"/>
      <c r="AC15" s="324"/>
      <c r="AD15" s="324"/>
      <c r="AE15" s="324"/>
      <c r="AF15" s="324"/>
      <c r="AG15" s="324"/>
      <c r="AH15" s="324"/>
      <c r="AI15" s="324"/>
      <c r="AJ15" s="324"/>
      <c r="AK15" s="324"/>
      <c r="AL15" s="324"/>
      <c r="AM15" s="324"/>
      <c r="AO15" s="66"/>
      <c r="AP15" s="66" t="str">
        <f t="shared" si="0"/>
        <v>Добавить территорию для дифференциации</v>
      </c>
      <c r="AQ15" s="66"/>
      <c r="AR15" s="66"/>
    </row>
    <row r="16" spans="1:44" ht="14.25" hidden="1" customHeight="1"/>
    <row r="17" spans="1:44" ht="14.25" hidden="1" customHeight="1">
      <c r="AD17" s="378"/>
      <c r="AE17" s="378"/>
      <c r="AF17" s="378"/>
      <c r="AG17" s="797"/>
      <c r="AH17" s="1283"/>
      <c r="AI17" s="1282" t="s">
        <v>59</v>
      </c>
      <c r="AJ17" s="1283"/>
      <c r="AK17" s="1282" t="s">
        <v>59</v>
      </c>
    </row>
    <row r="18" spans="1:44" ht="14.25" hidden="1" customHeight="1">
      <c r="AD18" s="378"/>
      <c r="AE18" s="378"/>
      <c r="AF18" s="378"/>
      <c r="AG18" s="198" t="str">
        <f>AH17&amp;"-"&amp;AJ17</f>
        <v>-</v>
      </c>
      <c r="AH18" s="1282"/>
      <c r="AI18" s="1282"/>
      <c r="AJ18" s="1282"/>
      <c r="AK18" s="1282"/>
    </row>
    <row r="19" spans="1:44" ht="14.25" hidden="1" customHeight="1"/>
    <row r="20" spans="1:44" s="60" customFormat="1" ht="22.5" hidden="1" customHeight="1">
      <c r="L20" s="312"/>
      <c r="M20" s="522"/>
      <c r="N20" s="522"/>
      <c r="O20" s="800" t="s">
        <v>475</v>
      </c>
      <c r="P20" s="522"/>
      <c r="Q20" s="801"/>
      <c r="R20" s="801"/>
      <c r="S20" s="435"/>
      <c r="Z20" s="800"/>
      <c r="AB20" s="800"/>
      <c r="AH20" s="800"/>
      <c r="AJ20" s="800"/>
      <c r="AN20" s="65"/>
      <c r="AO20" s="65"/>
      <c r="AP20" s="65"/>
      <c r="AQ20" s="65"/>
      <c r="AR20" s="65"/>
    </row>
    <row r="21" spans="1:44" s="60" customFormat="1" ht="14.25" hidden="1" customHeight="1">
      <c r="L21" s="312"/>
      <c r="M21" s="522"/>
      <c r="N21" s="522"/>
      <c r="O21" s="522"/>
      <c r="P21" s="522"/>
      <c r="Q21" s="801"/>
      <c r="R21" s="801"/>
      <c r="S21" s="435"/>
      <c r="AN21" s="65"/>
      <c r="AO21" s="65"/>
      <c r="AP21" s="65"/>
      <c r="AQ21" s="65"/>
      <c r="AR21" s="65"/>
    </row>
    <row r="22" spans="1:44" s="60" customFormat="1" ht="14.25" hidden="1" customHeight="1">
      <c r="L22" s="312"/>
      <c r="M22" s="522"/>
      <c r="N22" s="522"/>
      <c r="O22" s="799" t="s">
        <v>476</v>
      </c>
      <c r="P22" s="522"/>
      <c r="Q22" s="801"/>
      <c r="R22" s="801"/>
      <c r="S22" s="435"/>
      <c r="T22" s="60" t="s">
        <v>477</v>
      </c>
      <c r="AA22" s="79" t="s">
        <v>478</v>
      </c>
      <c r="AC22" s="79" t="s">
        <v>479</v>
      </c>
      <c r="AD22" s="60" t="s">
        <v>477</v>
      </c>
      <c r="AI22" s="79" t="s">
        <v>480</v>
      </c>
      <c r="AK22" s="79" t="s">
        <v>479</v>
      </c>
      <c r="AN22" s="65"/>
      <c r="AO22" s="65"/>
      <c r="AP22" s="65"/>
      <c r="AQ22" s="65"/>
      <c r="AR22" s="65"/>
    </row>
    <row r="23" spans="1:44" ht="14.25" hidden="1" customHeight="1">
      <c r="O23" s="799"/>
    </row>
    <row r="24" spans="1:44" ht="14.25" hidden="1" customHeight="1">
      <c r="O24" s="799"/>
    </row>
    <row r="25" spans="1:44" ht="14.25" customHeight="1">
      <c r="Q25" s="27"/>
      <c r="R25" s="27"/>
      <c r="S25" s="769"/>
      <c r="T25" s="8"/>
      <c r="U25" s="8"/>
    </row>
    <row r="26" spans="1:44" ht="64.5" customHeight="1">
      <c r="Q26" s="27"/>
      <c r="R26" s="27"/>
      <c r="S26" s="131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310"/>
      <c r="U26" s="1310"/>
      <c r="V26" s="1310"/>
      <c r="W26" s="1310"/>
      <c r="X26" s="1310"/>
      <c r="Y26" s="1310"/>
      <c r="Z26" s="1310"/>
      <c r="AA26" s="1310"/>
      <c r="AB26" s="1310"/>
      <c r="AC26" s="1310"/>
      <c r="AD26" s="1310"/>
      <c r="AE26" s="1310"/>
      <c r="AF26" s="1310"/>
      <c r="AG26" s="1310"/>
      <c r="AH26" s="1310"/>
      <c r="AI26" s="1310"/>
      <c r="AJ26" s="1310"/>
      <c r="AK26" s="57"/>
    </row>
    <row r="27" spans="1:44" ht="14.25" customHeight="1">
      <c r="Q27" s="27"/>
      <c r="R27" s="27"/>
      <c r="S27" s="1170" t="str">
        <f>IF(org=0,"Не определено",org)</f>
        <v>ИМУП «ПОСЖИЛКОМСЕРВИС»</v>
      </c>
      <c r="T27" s="1170"/>
      <c r="U27" s="1170"/>
      <c r="V27" s="1170"/>
      <c r="W27" s="1170"/>
      <c r="X27" s="1170"/>
      <c r="Y27" s="1170"/>
      <c r="Z27" s="1170"/>
      <c r="AA27" s="1170"/>
      <c r="AB27" s="1170"/>
      <c r="AC27" s="1170"/>
      <c r="AD27" s="1170"/>
      <c r="AE27" s="1170"/>
      <c r="AF27" s="1170"/>
      <c r="AG27" s="1170"/>
      <c r="AH27" s="1170"/>
      <c r="AI27" s="1170"/>
      <c r="AJ27" s="1170"/>
      <c r="AK27" s="57"/>
    </row>
    <row r="28" spans="1:44" ht="14.25" hidden="1" customHeight="1">
      <c r="Q28" s="27"/>
      <c r="R28" s="27"/>
      <c r="S28" s="769"/>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9"/>
      <c r="M29" s="79"/>
      <c r="N29" s="79"/>
      <c r="O29" s="79"/>
      <c r="S29" s="1276" t="s">
        <v>40</v>
      </c>
      <c r="T29" s="1276"/>
      <c r="U29" s="802"/>
      <c r="V29" s="1278" t="str">
        <f>IF(TITLE_NAME_OR_PR_CHANGE="",IF(TITLE_NAME_OR_PR="","",TITLE_NAME_OR_PR),TITLE_NAME_OR_PR_CHANGE)</f>
        <v/>
      </c>
      <c r="W29" s="1278"/>
      <c r="X29" s="1278"/>
      <c r="Y29" s="1278"/>
      <c r="Z29" s="1278"/>
      <c r="AA29" s="1278"/>
      <c r="AB29" s="1278"/>
      <c r="AC29" s="9"/>
      <c r="AD29" s="1278" t="str">
        <f>IF(TITLE_NAME_OR_PR_CHANGE="",IF(TITLE_NAME_OR_PR="","",TITLE_NAME_OR_PR),TITLE_NAME_OR_PR_CHANGE)</f>
        <v/>
      </c>
      <c r="AE29" s="1278"/>
      <c r="AF29" s="1278"/>
      <c r="AG29" s="1278"/>
      <c r="AH29" s="1278"/>
      <c r="AI29" s="1278"/>
      <c r="AJ29" s="127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9"/>
      <c r="M30" s="79"/>
      <c r="N30" s="79"/>
      <c r="O30" s="79"/>
      <c r="S30" s="1276" t="s">
        <v>481</v>
      </c>
      <c r="T30" s="1276"/>
      <c r="U30" s="802"/>
      <c r="V30" s="1277" t="str">
        <f>IF(TITLE_DATE_CHANGE_PERIOD="",IF(TITLE_DATE_PR="","",TITLE_DATE_PR),TITLE_DATE_CHANGE_PERIOD)</f>
        <v/>
      </c>
      <c r="W30" s="1277"/>
      <c r="X30" s="1277"/>
      <c r="Y30" s="1277"/>
      <c r="Z30" s="1277"/>
      <c r="AA30" s="1277"/>
      <c r="AB30" s="1277"/>
      <c r="AC30" s="9"/>
      <c r="AD30" s="1277" t="str">
        <f>IF(TITLE_DATE_CHANGE_PERIOD="",IF(TITLE_DATE_PR="","",TITLE_DATE_PR),TITLE_DATE_CHANGE_PERIOD)</f>
        <v/>
      </c>
      <c r="AE30" s="1277"/>
      <c r="AF30" s="1277"/>
      <c r="AG30" s="1277"/>
      <c r="AH30" s="1277"/>
      <c r="AI30" s="1277"/>
      <c r="AJ30" s="127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9"/>
      <c r="M31" s="79"/>
      <c r="N31" s="79"/>
      <c r="O31" s="79"/>
      <c r="S31" s="1276" t="s">
        <v>482</v>
      </c>
      <c r="T31" s="1276"/>
      <c r="U31" s="802"/>
      <c r="V31" s="1278" t="str">
        <f>IF(TITLE_NUMBER_PR_CHANGE="",IF(TITLE_NUMBER_PR="","",TITLE_NUMBER_PR),TITLE_NUMBER_PR_CHANGE)</f>
        <v/>
      </c>
      <c r="W31" s="1278"/>
      <c r="X31" s="1278"/>
      <c r="Y31" s="1278"/>
      <c r="Z31" s="1278"/>
      <c r="AA31" s="1278"/>
      <c r="AB31" s="1278"/>
      <c r="AC31" s="9"/>
      <c r="AD31" s="1278" t="str">
        <f>IF(TITLE_NUMBER_PR_CHANGE="",IF(TITLE_NUMBER_PR="","",TITLE_NUMBER_PR),TITLE_NUMBER_PR_CHANGE)</f>
        <v/>
      </c>
      <c r="AE31" s="1278"/>
      <c r="AF31" s="1278"/>
      <c r="AG31" s="1278"/>
      <c r="AH31" s="1278"/>
      <c r="AI31" s="1278"/>
      <c r="AJ31" s="127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9"/>
      <c r="M32" s="79"/>
      <c r="N32" s="79"/>
      <c r="O32" s="79"/>
      <c r="S32" s="1276" t="s">
        <v>41</v>
      </c>
      <c r="T32" s="1276"/>
      <c r="U32" s="802"/>
      <c r="V32" s="1278" t="str">
        <f>IF(TITLE_IST_PUB_CHANGE="",IF(TITLE_IST_PUB="","",TITLE_IST_PUB),TITLE_IST_PUB_CHANGE)</f>
        <v/>
      </c>
      <c r="W32" s="1278"/>
      <c r="X32" s="1278"/>
      <c r="Y32" s="1278"/>
      <c r="Z32" s="1278"/>
      <c r="AA32" s="1278"/>
      <c r="AB32" s="1278"/>
      <c r="AC32" s="9"/>
      <c r="AD32" s="1278" t="str">
        <f>IF(TITLE_IST_PUB_CHANGE="",IF(TITLE_IST_PUB="","",TITLE_IST_PUB),TITLE_IST_PUB_CHANGE)</f>
        <v/>
      </c>
      <c r="AE32" s="1278"/>
      <c r="AF32" s="1278"/>
      <c r="AG32" s="1278"/>
      <c r="AH32" s="1278"/>
      <c r="AI32" s="1278"/>
      <c r="AJ32" s="1278"/>
      <c r="AK32" s="9"/>
      <c r="AL32" s="9"/>
      <c r="AM32" s="162"/>
      <c r="AN32" s="66"/>
      <c r="AO32" s="66"/>
      <c r="AP32" s="66"/>
      <c r="AQ32" s="66"/>
      <c r="AR32" s="66"/>
    </row>
    <row r="33" spans="1:44" ht="14.25" hidden="1" customHeight="1">
      <c r="Q33" s="27"/>
      <c r="R33" s="27"/>
      <c r="S33" s="769"/>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9"/>
      <c r="M34" s="79"/>
      <c r="N34" s="79"/>
      <c r="O34" s="79"/>
      <c r="S34" s="1276" t="s">
        <v>483</v>
      </c>
      <c r="T34" s="1276"/>
      <c r="U34" s="802"/>
      <c r="V34" s="1277" t="str">
        <f>IF(TITLE_DATE_CHANGE_PERIOD="",IF(TITLE_DATE_PR="","",TITLE_DATE_PR),TITLE_DATE_CHANGE_PERIOD)</f>
        <v/>
      </c>
      <c r="W34" s="1277"/>
      <c r="X34" s="1277"/>
      <c r="Y34" s="1277"/>
      <c r="Z34" s="1277"/>
      <c r="AA34" s="1277"/>
      <c r="AB34" s="1277"/>
      <c r="AC34" s="9"/>
      <c r="AD34" s="1277" t="str">
        <f>IF(TITLE_DATE_CHANGE_PERIOD="",IF(TITLE_DATE_PR="","",TITLE_DATE_PR),TITLE_DATE_CHANGE_PERIOD)</f>
        <v/>
      </c>
      <c r="AE34" s="1277"/>
      <c r="AF34" s="1277"/>
      <c r="AG34" s="1277"/>
      <c r="AH34" s="1277"/>
      <c r="AI34" s="1277"/>
      <c r="AJ34" s="127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9"/>
      <c r="M35" s="79"/>
      <c r="N35" s="79"/>
      <c r="O35" s="79"/>
      <c r="S35" s="1276" t="s">
        <v>484</v>
      </c>
      <c r="T35" s="1276"/>
      <c r="U35" s="802"/>
      <c r="V35" s="1278" t="str">
        <f>IF(TITLE_NUMBER_PR_CHANGE="",IF(TITLE_NUMBER_PR="","",TITLE_NUMBER_PR),TITLE_NUMBER_PR_CHANGE)</f>
        <v/>
      </c>
      <c r="W35" s="1278"/>
      <c r="X35" s="1278"/>
      <c r="Y35" s="1278"/>
      <c r="Z35" s="1278"/>
      <c r="AA35" s="1278"/>
      <c r="AB35" s="1278"/>
      <c r="AC35" s="9"/>
      <c r="AD35" s="1278" t="str">
        <f>IF(TITLE_NUMBER_PR_CHANGE="",IF(TITLE_NUMBER_PR="","",TITLE_NUMBER_PR),TITLE_NUMBER_PR_CHANGE)</f>
        <v/>
      </c>
      <c r="AE35" s="1278"/>
      <c r="AF35" s="1278"/>
      <c r="AG35" s="1278"/>
      <c r="AH35" s="1278"/>
      <c r="AI35" s="1278"/>
      <c r="AJ35" s="127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9"/>
      <c r="M36" s="79"/>
      <c r="N36" s="79"/>
      <c r="O36" s="79"/>
      <c r="S36" s="9"/>
      <c r="T36" s="9"/>
      <c r="U36" s="75"/>
      <c r="V36" s="9"/>
      <c r="W36" s="9"/>
      <c r="X36" s="9"/>
      <c r="Y36" s="9"/>
      <c r="Z36" s="9"/>
      <c r="AA36" s="9"/>
      <c r="AB36" s="9"/>
      <c r="AC36" s="65" t="s">
        <v>485</v>
      </c>
      <c r="AD36" s="9"/>
      <c r="AE36" s="9"/>
      <c r="AF36" s="9"/>
      <c r="AG36" s="9"/>
      <c r="AH36" s="9"/>
      <c r="AI36" s="9"/>
      <c r="AJ36" s="9"/>
      <c r="AK36" s="65" t="s">
        <v>485</v>
      </c>
      <c r="AN36" s="66"/>
      <c r="AO36" s="66"/>
      <c r="AP36" s="66"/>
      <c r="AQ36" s="66"/>
      <c r="AR36" s="66"/>
    </row>
    <row r="37" spans="1:44" ht="14.25" customHeight="1">
      <c r="Q37" s="27"/>
      <c r="R37" s="27"/>
      <c r="S37" s="769"/>
      <c r="T37" s="8"/>
      <c r="U37" s="741"/>
      <c r="V37" s="1296"/>
      <c r="W37" s="1296"/>
      <c r="X37" s="1296"/>
      <c r="Y37" s="1296"/>
      <c r="Z37" s="1296"/>
      <c r="AA37" s="1296"/>
      <c r="AB37" s="1296"/>
      <c r="AC37" s="1296"/>
      <c r="AD37" s="1296"/>
      <c r="AE37" s="1296"/>
      <c r="AF37" s="1296"/>
      <c r="AG37" s="1296"/>
      <c r="AH37" s="1296"/>
      <c r="AI37" s="1296"/>
      <c r="AJ37" s="1296"/>
      <c r="AK37" s="1296"/>
    </row>
    <row r="38" spans="1:44" ht="14.25" customHeight="1">
      <c r="Q38" s="27"/>
      <c r="R38" s="27"/>
      <c r="S38" s="1083" t="s">
        <v>288</v>
      </c>
      <c r="T38" s="1083"/>
      <c r="U38" s="1083"/>
      <c r="V38" s="1083"/>
      <c r="W38" s="1083"/>
      <c r="X38" s="1083"/>
      <c r="Y38" s="1083"/>
      <c r="Z38" s="1083"/>
      <c r="AA38" s="1083"/>
      <c r="AB38" s="1083"/>
      <c r="AC38" s="1083"/>
      <c r="AD38" s="1083"/>
      <c r="AE38" s="1083"/>
      <c r="AF38" s="1083"/>
      <c r="AG38" s="1083"/>
      <c r="AH38" s="1083"/>
      <c r="AI38" s="1083"/>
      <c r="AJ38" s="1083"/>
      <c r="AK38" s="1083"/>
      <c r="AL38" s="1083"/>
      <c r="AM38" s="1083" t="s">
        <v>289</v>
      </c>
    </row>
    <row r="39" spans="1:44" ht="14.25" customHeight="1">
      <c r="Q39" s="27"/>
      <c r="R39" s="27"/>
      <c r="S39" s="1297" t="s">
        <v>88</v>
      </c>
      <c r="T39" s="1168" t="s">
        <v>486</v>
      </c>
      <c r="U39" s="171"/>
      <c r="V39" s="1298" t="s">
        <v>487</v>
      </c>
      <c r="W39" s="1299"/>
      <c r="X39" s="1299"/>
      <c r="Y39" s="1299"/>
      <c r="Z39" s="1299"/>
      <c r="AA39" s="1299"/>
      <c r="AB39" s="1300"/>
      <c r="AC39" s="1301" t="s">
        <v>488</v>
      </c>
      <c r="AD39" s="1298" t="s">
        <v>487</v>
      </c>
      <c r="AE39" s="1299"/>
      <c r="AF39" s="1299"/>
      <c r="AG39" s="1299"/>
      <c r="AH39" s="1299"/>
      <c r="AI39" s="1299"/>
      <c r="AJ39" s="1300"/>
      <c r="AK39" s="1301" t="s">
        <v>489</v>
      </c>
      <c r="AL39" s="1304" t="s">
        <v>490</v>
      </c>
      <c r="AM39" s="1083"/>
    </row>
    <row r="40" spans="1:44" ht="33.75" customHeight="1">
      <c r="Q40" s="27"/>
      <c r="R40" s="27"/>
      <c r="S40" s="1297"/>
      <c r="T40" s="1168"/>
      <c r="U40" s="626"/>
      <c r="V40" s="1137" t="s">
        <v>491</v>
      </c>
      <c r="W40" s="1293" t="s">
        <v>492</v>
      </c>
      <c r="X40" s="1065" t="s">
        <v>493</v>
      </c>
      <c r="Y40" s="1064"/>
      <c r="Z40" s="1065" t="s">
        <v>494</v>
      </c>
      <c r="AA40" s="1070"/>
      <c r="AB40" s="1064"/>
      <c r="AC40" s="1302"/>
      <c r="AD40" s="1137" t="s">
        <v>491</v>
      </c>
      <c r="AE40" s="1293" t="s">
        <v>492</v>
      </c>
      <c r="AF40" s="1065" t="s">
        <v>493</v>
      </c>
      <c r="AG40" s="1064"/>
      <c r="AH40" s="1065" t="s">
        <v>494</v>
      </c>
      <c r="AI40" s="1070"/>
      <c r="AJ40" s="1064"/>
      <c r="AK40" s="1302"/>
      <c r="AL40" s="1305"/>
      <c r="AM40" s="1083"/>
    </row>
    <row r="41" spans="1:44" ht="33.75" customHeight="1">
      <c r="A41" s="79"/>
      <c r="B41" s="79" t="s">
        <v>137</v>
      </c>
      <c r="C41" s="79" t="s">
        <v>138</v>
      </c>
      <c r="D41" s="79" t="s">
        <v>139</v>
      </c>
      <c r="E41" s="799" t="s">
        <v>495</v>
      </c>
      <c r="F41" s="799" t="s">
        <v>496</v>
      </c>
      <c r="G41" s="799" t="s">
        <v>497</v>
      </c>
      <c r="H41" s="799" t="s">
        <v>498</v>
      </c>
      <c r="I41" s="799" t="s">
        <v>499</v>
      </c>
      <c r="J41" s="799" t="s">
        <v>500</v>
      </c>
      <c r="K41" s="799" t="s">
        <v>501</v>
      </c>
      <c r="L41" s="799" t="s">
        <v>476</v>
      </c>
      <c r="Q41" s="27"/>
      <c r="R41" s="27"/>
      <c r="S41" s="1297"/>
      <c r="T41" s="1168"/>
      <c r="U41" s="172"/>
      <c r="V41" s="1193"/>
      <c r="W41" s="1294"/>
      <c r="X41" s="37" t="s">
        <v>502</v>
      </c>
      <c r="Y41" s="37" t="s">
        <v>503</v>
      </c>
      <c r="Z41" s="37" t="s">
        <v>504</v>
      </c>
      <c r="AA41" s="1174" t="s">
        <v>505</v>
      </c>
      <c r="AB41" s="1188"/>
      <c r="AC41" s="1303"/>
      <c r="AD41" s="1193"/>
      <c r="AE41" s="1294"/>
      <c r="AF41" s="37" t="s">
        <v>502</v>
      </c>
      <c r="AG41" s="37" t="s">
        <v>503</v>
      </c>
      <c r="AH41" s="37" t="s">
        <v>504</v>
      </c>
      <c r="AI41" s="1174" t="s">
        <v>505</v>
      </c>
      <c r="AJ41" s="1188"/>
      <c r="AK41" s="1303"/>
      <c r="AL41" s="1306"/>
      <c r="AM41" s="1083"/>
    </row>
    <row r="42" spans="1:44" s="209" customFormat="1" ht="11.25" hidden="1" customHeight="1">
      <c r="A42" s="79"/>
      <c r="B42" s="79"/>
      <c r="C42" s="79"/>
      <c r="D42" s="79"/>
      <c r="E42" s="79"/>
      <c r="F42" s="79"/>
      <c r="G42" s="79"/>
      <c r="H42" s="79"/>
      <c r="I42" s="79"/>
      <c r="J42" s="79"/>
      <c r="K42" s="79"/>
      <c r="L42" s="799"/>
      <c r="M42" s="522"/>
      <c r="N42" s="522"/>
      <c r="O42" s="522"/>
      <c r="P42" s="743"/>
      <c r="Q42" s="744"/>
      <c r="R42" s="752">
        <v>1</v>
      </c>
      <c r="S42" s="771" t="s">
        <v>110</v>
      </c>
      <c r="T42" s="753" t="s">
        <v>111</v>
      </c>
      <c r="U42" s="742" t="str">
        <f ca="1">OFFSET(U42,0,-1)</f>
        <v>2</v>
      </c>
      <c r="V42" s="754">
        <f ca="1">OFFSET(V42,0,-1)+1</f>
        <v>3</v>
      </c>
      <c r="W42" s="754"/>
      <c r="X42" s="754">
        <f ca="1">OFFSET(X42,0,-1)+1</f>
        <v>1</v>
      </c>
      <c r="Y42" s="754">
        <f ca="1">OFFSET(Y42,0,-1)+1</f>
        <v>2</v>
      </c>
      <c r="Z42" s="754">
        <f ca="1">OFFSET(Z42,0,-1)+1</f>
        <v>3</v>
      </c>
      <c r="AA42" s="1295">
        <f ca="1">OFFSET(AA42,0,-1)+1</f>
        <v>4</v>
      </c>
      <c r="AB42" s="1295"/>
      <c r="AC42" s="754">
        <f ca="1">OFFSET(AC42,0,-2)+1</f>
        <v>5</v>
      </c>
      <c r="AD42" s="754">
        <f ca="1">OFFSET(AD42,0,-1)+1</f>
        <v>6</v>
      </c>
      <c r="AE42" s="754"/>
      <c r="AF42" s="754">
        <f ca="1">OFFSET(AF42,0,-1)+1</f>
        <v>1</v>
      </c>
      <c r="AG42" s="754">
        <f ca="1">OFFSET(AG42,0,-1)+1</f>
        <v>2</v>
      </c>
      <c r="AH42" s="754">
        <f ca="1">OFFSET(AH42,0,-1)+1</f>
        <v>3</v>
      </c>
      <c r="AI42" s="1295">
        <f ca="1">OFFSET(AI42,0,-1)+1</f>
        <v>4</v>
      </c>
      <c r="AJ42" s="1295"/>
      <c r="AK42" s="754">
        <f ca="1">OFFSET(AK42,0,-2)+1</f>
        <v>5</v>
      </c>
      <c r="AL42" s="742">
        <f ca="1">OFFSET(AL42,0,-1)</f>
        <v>5</v>
      </c>
      <c r="AM42" s="754">
        <f ca="1">OFFSET(AM42,0,-1)+1</f>
        <v>6</v>
      </c>
      <c r="AN42" s="65"/>
      <c r="AO42" s="65"/>
      <c r="AP42" s="65"/>
      <c r="AQ42" s="65"/>
      <c r="AR42" s="65"/>
    </row>
    <row r="43" spans="1:44" ht="23.25" customHeight="1">
      <c r="A43" s="798" t="s">
        <v>158</v>
      </c>
      <c r="B43" s="798"/>
      <c r="C43" s="798"/>
      <c r="D43" s="798"/>
      <c r="E43" s="1285">
        <v>1</v>
      </c>
      <c r="F43" s="798"/>
      <c r="G43" s="798"/>
      <c r="H43" s="798"/>
      <c r="I43" s="798"/>
      <c r="J43" s="798"/>
      <c r="K43" s="798"/>
      <c r="L43" s="799"/>
      <c r="M43" s="435"/>
      <c r="N43" s="435"/>
      <c r="O43" s="435"/>
      <c r="Q43" s="2"/>
      <c r="R43" s="213"/>
      <c r="S43" s="730">
        <f>INDEX(PT_DIFFERENTIATION_NUM_NTAR,MATCH(A43,PT_DIFFERENTIATION_NTAR_ID,0))</f>
        <v>0</v>
      </c>
      <c r="T43" s="64" t="s">
        <v>125</v>
      </c>
      <c r="U43" s="170"/>
      <c r="V43" s="1279"/>
      <c r="W43" s="1280"/>
      <c r="X43" s="1280"/>
      <c r="Y43" s="1280"/>
      <c r="Z43" s="1280"/>
      <c r="AA43" s="1280"/>
      <c r="AB43" s="1280"/>
      <c r="AC43" s="1281"/>
      <c r="AD43" s="1279" t="str">
        <f>INDEX(PT_DIFFERENTIATION_NTAR,MATCH(A43,PT_DIFFERENTIATION_NTAR_ID,0))</f>
        <v/>
      </c>
      <c r="AE43" s="1280"/>
      <c r="AF43" s="1280"/>
      <c r="AG43" s="1280"/>
      <c r="AH43" s="1280"/>
      <c r="AI43" s="1280"/>
      <c r="AJ43" s="1280"/>
      <c r="AK43" s="1280"/>
      <c r="AL43" s="1281"/>
      <c r="AM43" s="7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3.25" customHeight="1">
      <c r="A44" s="798" t="s">
        <v>158</v>
      </c>
      <c r="B44" s="798" t="s">
        <v>159</v>
      </c>
      <c r="C44" s="798"/>
      <c r="D44" s="798"/>
      <c r="E44" s="1286"/>
      <c r="F44" s="1285">
        <v>1</v>
      </c>
      <c r="G44" s="798"/>
      <c r="H44" s="798"/>
      <c r="I44" s="798"/>
      <c r="J44" s="798"/>
      <c r="K44" s="798"/>
      <c r="L44" s="799"/>
      <c r="M44" s="435"/>
      <c r="N44" s="435"/>
      <c r="O44" s="435"/>
      <c r="P44" s="56"/>
      <c r="Q44" s="210"/>
      <c r="R44" s="211"/>
      <c r="S44" s="730" t="str">
        <f>INDEX(PT_DIFFERENTIATION_NUM_TER,MATCH(B44,PT_DIFFERENTIATION_TER_ID,0))</f>
        <v>.</v>
      </c>
      <c r="T44" s="178" t="s">
        <v>458</v>
      </c>
      <c r="U44" s="170"/>
      <c r="V44" s="1279"/>
      <c r="W44" s="1280"/>
      <c r="X44" s="1280"/>
      <c r="Y44" s="1280"/>
      <c r="Z44" s="1280"/>
      <c r="AA44" s="1280"/>
      <c r="AB44" s="1280"/>
      <c r="AC44" s="1281"/>
      <c r="AD44" s="1279" t="str">
        <f>INDEX(PT_DIFFERENTIATION_TER,MATCH(B44,PT_DIFFERENTIATION_TER_ID,0))</f>
        <v/>
      </c>
      <c r="AE44" s="1280"/>
      <c r="AF44" s="1280"/>
      <c r="AG44" s="1280"/>
      <c r="AH44" s="1280"/>
      <c r="AI44" s="1280"/>
      <c r="AJ44" s="1280"/>
      <c r="AK44" s="1280"/>
      <c r="AL44" s="1281"/>
      <c r="AM44" s="758" t="s">
        <v>459</v>
      </c>
      <c r="AO44" s="66"/>
      <c r="AP44" s="66" t="str">
        <f t="shared" si="1"/>
        <v>Территория действия тарифа</v>
      </c>
      <c r="AQ44" s="66"/>
      <c r="AR44" s="66"/>
    </row>
    <row r="45" spans="1:44" ht="23.25" customHeight="1">
      <c r="A45" s="798" t="s">
        <v>158</v>
      </c>
      <c r="B45" s="798" t="s">
        <v>159</v>
      </c>
      <c r="C45" s="798" t="s">
        <v>160</v>
      </c>
      <c r="D45" s="798"/>
      <c r="E45" s="1286"/>
      <c r="F45" s="1286"/>
      <c r="G45" s="1285">
        <v>1</v>
      </c>
      <c r="H45" s="798"/>
      <c r="I45" s="798"/>
      <c r="J45" s="798"/>
      <c r="K45" s="798"/>
      <c r="L45" s="799"/>
      <c r="M45" s="435"/>
      <c r="N45" s="435"/>
      <c r="O45" s="435"/>
      <c r="P45" s="212"/>
      <c r="Q45" s="210"/>
      <c r="R45" s="211"/>
      <c r="S45" s="730" t="str">
        <f>INDEX(PT_DIFFERENTIATION_NUM_CS,MATCH(C45,PT_DIFFERENTIATION_CS_ID,0))</f>
        <v>..</v>
      </c>
      <c r="T45" s="179" t="s">
        <v>460</v>
      </c>
      <c r="U45" s="170"/>
      <c r="V45" s="1279"/>
      <c r="W45" s="1280"/>
      <c r="X45" s="1280"/>
      <c r="Y45" s="1280"/>
      <c r="Z45" s="1280"/>
      <c r="AA45" s="1280"/>
      <c r="AB45" s="1280"/>
      <c r="AC45" s="1281"/>
      <c r="AD45" s="1279" t="str">
        <f>INDEX(PT_DIFFERENTIATION_CS,MATCH(C45,PT_DIFFERENTIATION_CS_ID,0))</f>
        <v/>
      </c>
      <c r="AE45" s="1280"/>
      <c r="AF45" s="1280"/>
      <c r="AG45" s="1280"/>
      <c r="AH45" s="1280"/>
      <c r="AI45" s="1280"/>
      <c r="AJ45" s="1280"/>
      <c r="AK45" s="1280"/>
      <c r="AL45" s="1281"/>
      <c r="AM45" s="758" t="s">
        <v>461</v>
      </c>
      <c r="AO45" s="66"/>
      <c r="AP45" s="66" t="str">
        <f t="shared" si="1"/>
        <v xml:space="preserve">Наименование системы теплоснабжения </v>
      </c>
      <c r="AQ45" s="66"/>
      <c r="AR45" s="66"/>
    </row>
    <row r="46" spans="1:44" ht="23.25" customHeight="1">
      <c r="A46" s="798" t="s">
        <v>158</v>
      </c>
      <c r="B46" s="798" t="s">
        <v>159</v>
      </c>
      <c r="C46" s="798" t="s">
        <v>160</v>
      </c>
      <c r="D46" s="798" t="s">
        <v>161</v>
      </c>
      <c r="E46" s="1286"/>
      <c r="F46" s="1286"/>
      <c r="G46" s="1286"/>
      <c r="H46" s="1285">
        <v>1</v>
      </c>
      <c r="I46" s="798"/>
      <c r="J46" s="798"/>
      <c r="K46" s="798"/>
      <c r="L46" s="799"/>
      <c r="M46" s="435"/>
      <c r="N46" s="435"/>
      <c r="O46" s="435"/>
      <c r="P46" s="212"/>
      <c r="Q46" s="210"/>
      <c r="R46" s="211"/>
      <c r="S46" s="730" t="str">
        <f>INDEX(PT_DIFFERENTIATION_NUM_IST_TE,MATCH(D46,PT_DIFFERENTIATION_IST_TE_ID,0))</f>
        <v>...</v>
      </c>
      <c r="T46" s="180" t="s">
        <v>462</v>
      </c>
      <c r="U46" s="170"/>
      <c r="V46" s="1279"/>
      <c r="W46" s="1280"/>
      <c r="X46" s="1280"/>
      <c r="Y46" s="1280"/>
      <c r="Z46" s="1280"/>
      <c r="AA46" s="1280"/>
      <c r="AB46" s="1280"/>
      <c r="AC46" s="1281"/>
      <c r="AD46" s="1279" t="str">
        <f>INDEX(PT_DIFFERENTIATION_IST_TE,MATCH(D46,PT_DIFFERENTIATION_IST_TE_ID,0))</f>
        <v/>
      </c>
      <c r="AE46" s="1280"/>
      <c r="AF46" s="1280"/>
      <c r="AG46" s="1280"/>
      <c r="AH46" s="1280"/>
      <c r="AI46" s="1280"/>
      <c r="AJ46" s="1280"/>
      <c r="AK46" s="1280"/>
      <c r="AL46" s="1281"/>
      <c r="AM46" s="758" t="s">
        <v>463</v>
      </c>
      <c r="AO46" s="66"/>
      <c r="AP46" s="66" t="str">
        <f t="shared" si="1"/>
        <v xml:space="preserve">Источник тепловой энергии  </v>
      </c>
      <c r="AQ46" s="66"/>
      <c r="AR46" s="66"/>
    </row>
    <row r="47" spans="1:44" ht="47.25" customHeight="1">
      <c r="A47" s="798" t="s">
        <v>158</v>
      </c>
      <c r="B47" s="798" t="s">
        <v>159</v>
      </c>
      <c r="C47" s="798" t="s">
        <v>160</v>
      </c>
      <c r="D47" s="798" t="s">
        <v>161</v>
      </c>
      <c r="E47" s="1286"/>
      <c r="F47" s="1286"/>
      <c r="G47" s="1286"/>
      <c r="H47" s="1286"/>
      <c r="I47" s="1287" t="str">
        <f>S46&amp;".1"</f>
        <v>....1</v>
      </c>
      <c r="J47" s="798"/>
      <c r="K47" s="798"/>
      <c r="L47" s="799" t="s">
        <v>464</v>
      </c>
      <c r="P47" s="1204">
        <v>1</v>
      </c>
      <c r="Q47" s="119"/>
      <c r="R47" s="214"/>
      <c r="S47" s="730" t="str">
        <f>$I47</f>
        <v>....1</v>
      </c>
      <c r="T47" s="163" t="s">
        <v>465</v>
      </c>
      <c r="U47" s="170"/>
      <c r="V47" s="1273"/>
      <c r="W47" s="1274"/>
      <c r="X47" s="1274"/>
      <c r="Y47" s="1274"/>
      <c r="Z47" s="1274"/>
      <c r="AA47" s="1274"/>
      <c r="AB47" s="1274"/>
      <c r="AC47" s="1275"/>
      <c r="AD47" s="1273"/>
      <c r="AE47" s="1274"/>
      <c r="AF47" s="1274"/>
      <c r="AG47" s="1274"/>
      <c r="AH47" s="1274"/>
      <c r="AI47" s="1274"/>
      <c r="AJ47" s="1274"/>
      <c r="AK47" s="1274"/>
      <c r="AL47" s="1275"/>
      <c r="AM47" s="758" t="s">
        <v>466</v>
      </c>
      <c r="AO47" s="66"/>
      <c r="AP47" s="66" t="str">
        <f t="shared" si="1"/>
        <v>Схема подключения теплопотребляющей установки к коллектору источника тепловой энергии</v>
      </c>
      <c r="AQ47" s="66"/>
      <c r="AR47" s="66"/>
    </row>
    <row r="48" spans="1:44" ht="23.25" customHeight="1">
      <c r="A48" s="798" t="s">
        <v>158</v>
      </c>
      <c r="B48" s="798" t="s">
        <v>159</v>
      </c>
      <c r="C48" s="798" t="s">
        <v>160</v>
      </c>
      <c r="D48" s="798" t="s">
        <v>161</v>
      </c>
      <c r="E48" s="1286"/>
      <c r="F48" s="1286"/>
      <c r="G48" s="1286"/>
      <c r="H48" s="1286"/>
      <c r="I48" s="1288"/>
      <c r="J48" s="1287" t="str">
        <f>I47&amp;".1"</f>
        <v>....1.1</v>
      </c>
      <c r="K48" s="798"/>
      <c r="L48" s="799" t="s">
        <v>467</v>
      </c>
      <c r="P48" s="1204"/>
      <c r="Q48" s="1204">
        <v>1</v>
      </c>
      <c r="R48" s="215"/>
      <c r="S48" s="730" t="str">
        <f>$J48</f>
        <v>....1.1</v>
      </c>
      <c r="T48" s="164" t="s">
        <v>468</v>
      </c>
      <c r="U48" s="170"/>
      <c r="V48" s="1273"/>
      <c r="W48" s="1274"/>
      <c r="X48" s="1274"/>
      <c r="Y48" s="1274"/>
      <c r="Z48" s="1274"/>
      <c r="AA48" s="1274"/>
      <c r="AB48" s="1274"/>
      <c r="AC48" s="1275"/>
      <c r="AD48" s="1273"/>
      <c r="AE48" s="1274"/>
      <c r="AF48" s="1274"/>
      <c r="AG48" s="1274"/>
      <c r="AH48" s="1274"/>
      <c r="AI48" s="1274"/>
      <c r="AJ48" s="1274"/>
      <c r="AK48" s="1274"/>
      <c r="AL48" s="1275"/>
      <c r="AM48" s="758" t="s">
        <v>469</v>
      </c>
      <c r="AO48" s="66"/>
      <c r="AP48" s="66" t="str">
        <f t="shared" si="1"/>
        <v>Группа потребителей</v>
      </c>
      <c r="AQ48" s="66"/>
      <c r="AR48" s="66"/>
    </row>
    <row r="49" spans="1:44" ht="23.25" customHeight="1">
      <c r="A49" s="798" t="s">
        <v>158</v>
      </c>
      <c r="B49" s="798" t="s">
        <v>159</v>
      </c>
      <c r="C49" s="798" t="s">
        <v>160</v>
      </c>
      <c r="D49" s="798" t="s">
        <v>161</v>
      </c>
      <c r="E49" s="1286"/>
      <c r="F49" s="1286"/>
      <c r="G49" s="1286"/>
      <c r="H49" s="1286"/>
      <c r="I49" s="1288"/>
      <c r="J49" s="1288"/>
      <c r="K49" s="1287" t="str">
        <f>J48&amp;".1"</f>
        <v>....1.1.1</v>
      </c>
      <c r="L49" s="799" t="s">
        <v>470</v>
      </c>
      <c r="P49" s="1204"/>
      <c r="Q49" s="1204"/>
      <c r="R49" s="215">
        <v>1</v>
      </c>
      <c r="S49" s="730" t="str">
        <f>$K49</f>
        <v>....1.1.1</v>
      </c>
      <c r="T49" s="794"/>
      <c r="U49" s="170"/>
      <c r="V49" s="317"/>
      <c r="W49" s="196"/>
      <c r="X49" s="317"/>
      <c r="Y49" s="757"/>
      <c r="Z49" s="1289"/>
      <c r="AA49" s="1093" t="s">
        <v>59</v>
      </c>
      <c r="AB49" s="1289"/>
      <c r="AC49" s="1093" t="s">
        <v>59</v>
      </c>
      <c r="AD49" s="317"/>
      <c r="AE49" s="196"/>
      <c r="AF49" s="317"/>
      <c r="AG49" s="757"/>
      <c r="AH49" s="1289"/>
      <c r="AI49" s="1093" t="s">
        <v>59</v>
      </c>
      <c r="AJ49" s="1291"/>
      <c r="AK49" s="1093" t="s">
        <v>59</v>
      </c>
      <c r="AL49" s="795"/>
      <c r="AM49" s="1307" t="s">
        <v>471</v>
      </c>
      <c r="AN49" s="65" t="e">
        <f ca="1">STRCHECKDATE(V50:AL50)</f>
        <v>#NAME?</v>
      </c>
      <c r="AO49" s="66"/>
      <c r="AP49" s="66" t="str">
        <f t="shared" si="1"/>
        <v/>
      </c>
      <c r="AQ49" s="66"/>
      <c r="AR49" s="66"/>
    </row>
    <row r="50" spans="1:44" ht="0.75" customHeight="1">
      <c r="A50" s="798" t="s">
        <v>158</v>
      </c>
      <c r="B50" s="798" t="s">
        <v>159</v>
      </c>
      <c r="C50" s="798" t="s">
        <v>160</v>
      </c>
      <c r="D50" s="798" t="s">
        <v>161</v>
      </c>
      <c r="E50" s="1286"/>
      <c r="F50" s="1286"/>
      <c r="G50" s="1286"/>
      <c r="H50" s="1286"/>
      <c r="I50" s="1288"/>
      <c r="J50" s="1288"/>
      <c r="K50" s="1287"/>
      <c r="L50" s="799"/>
      <c r="P50" s="1204"/>
      <c r="Q50" s="1204"/>
      <c r="R50" s="215"/>
      <c r="S50" s="62"/>
      <c r="T50" s="170"/>
      <c r="U50" s="170"/>
      <c r="V50" s="196"/>
      <c r="W50" s="196"/>
      <c r="X50" s="196"/>
      <c r="Y50" s="198" t="str">
        <f>Z49&amp;"-"&amp;AB49</f>
        <v>-</v>
      </c>
      <c r="Z50" s="1290"/>
      <c r="AA50" s="1093"/>
      <c r="AB50" s="1290"/>
      <c r="AC50" s="1093"/>
      <c r="AD50" s="196"/>
      <c r="AE50" s="196"/>
      <c r="AF50" s="196"/>
      <c r="AG50" s="198" t="str">
        <f>AH49&amp;"-"&amp;AJ49</f>
        <v>-</v>
      </c>
      <c r="AH50" s="1290"/>
      <c r="AI50" s="1093"/>
      <c r="AJ50" s="1292"/>
      <c r="AK50" s="1093"/>
      <c r="AL50" s="796"/>
      <c r="AM50" s="1308"/>
      <c r="AO50" s="66"/>
      <c r="AP50" s="66" t="str">
        <f t="shared" si="1"/>
        <v/>
      </c>
      <c r="AQ50" s="66"/>
      <c r="AR50" s="66"/>
    </row>
    <row r="51" spans="1:44" ht="11.25" customHeight="1">
      <c r="A51" s="798" t="s">
        <v>158</v>
      </c>
      <c r="B51" s="798" t="s">
        <v>159</v>
      </c>
      <c r="C51" s="798" t="s">
        <v>160</v>
      </c>
      <c r="D51" s="798" t="s">
        <v>161</v>
      </c>
      <c r="E51" s="1286"/>
      <c r="F51" s="1286"/>
      <c r="G51" s="1286"/>
      <c r="H51" s="1286"/>
      <c r="I51" s="1288"/>
      <c r="J51" s="1287"/>
      <c r="K51" s="798"/>
      <c r="L51" s="799"/>
      <c r="P51" s="1204"/>
      <c r="Q51" s="1204"/>
      <c r="R51" s="214"/>
      <c r="S51" s="772"/>
      <c r="T51" s="166" t="s">
        <v>472</v>
      </c>
      <c r="U51" s="221"/>
      <c r="V51" s="221"/>
      <c r="W51" s="221"/>
      <c r="X51" s="221"/>
      <c r="Y51" s="221"/>
      <c r="Z51" s="221"/>
      <c r="AA51" s="221"/>
      <c r="AB51" s="221"/>
      <c r="AC51" s="221"/>
      <c r="AD51" s="221"/>
      <c r="AE51" s="221"/>
      <c r="AF51" s="221"/>
      <c r="AG51" s="221"/>
      <c r="AH51" s="221"/>
      <c r="AI51" s="221"/>
      <c r="AJ51" s="221"/>
      <c r="AK51" s="221"/>
      <c r="AL51" s="195"/>
      <c r="AM51" s="1309"/>
      <c r="AO51" s="66"/>
      <c r="AP51" s="66" t="str">
        <f t="shared" si="1"/>
        <v>Добавить вид теплоносителя (параметры теплоносителя)</v>
      </c>
      <c r="AQ51" s="66"/>
      <c r="AR51" s="66"/>
    </row>
    <row r="52" spans="1:44" ht="11.25" customHeight="1">
      <c r="A52" s="798" t="s">
        <v>158</v>
      </c>
      <c r="B52" s="798" t="s">
        <v>159</v>
      </c>
      <c r="C52" s="798" t="s">
        <v>160</v>
      </c>
      <c r="D52" s="798" t="s">
        <v>161</v>
      </c>
      <c r="E52" s="1286"/>
      <c r="F52" s="1286"/>
      <c r="G52" s="1286"/>
      <c r="H52" s="1286"/>
      <c r="I52" s="1287"/>
      <c r="J52" s="798"/>
      <c r="K52" s="798"/>
      <c r="L52" s="799"/>
      <c r="P52" s="1204"/>
      <c r="Q52" s="119"/>
      <c r="R52" s="214"/>
      <c r="S52" s="772"/>
      <c r="T52" s="165" t="s">
        <v>473</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8" t="s">
        <v>158</v>
      </c>
      <c r="B53" s="798" t="s">
        <v>159</v>
      </c>
      <c r="C53" s="798" t="s">
        <v>160</v>
      </c>
      <c r="D53" s="798" t="s">
        <v>161</v>
      </c>
      <c r="E53" s="1286"/>
      <c r="F53" s="1286"/>
      <c r="G53" s="1286"/>
      <c r="H53" s="1285"/>
      <c r="I53" s="798"/>
      <c r="J53" s="798"/>
      <c r="K53" s="798"/>
      <c r="L53" s="799"/>
      <c r="M53" s="435"/>
      <c r="N53" s="435"/>
      <c r="O53" s="60"/>
      <c r="P53" s="2"/>
      <c r="Q53" s="224"/>
      <c r="R53" s="213"/>
      <c r="S53" s="772"/>
      <c r="T53" s="219" t="s">
        <v>474</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158</v>
      </c>
      <c r="B54" s="142" t="s">
        <v>159</v>
      </c>
      <c r="C54" s="142" t="s">
        <v>160</v>
      </c>
      <c r="D54" s="142"/>
      <c r="E54" s="1286"/>
      <c r="F54" s="1286"/>
      <c r="G54" s="1285"/>
      <c r="H54" s="142"/>
      <c r="I54" s="142"/>
      <c r="J54" s="142"/>
      <c r="K54" s="142"/>
      <c r="L54" s="357"/>
      <c r="M54" s="304"/>
      <c r="N54" s="304"/>
      <c r="P54" s="101"/>
      <c r="Q54" s="785"/>
      <c r="R54" s="101"/>
      <c r="S54" s="790"/>
      <c r="T54" s="792" t="s">
        <v>431</v>
      </c>
      <c r="U54" s="324"/>
      <c r="V54" s="324"/>
      <c r="W54" s="324"/>
      <c r="X54" s="324"/>
      <c r="Y54" s="324"/>
      <c r="Z54" s="324"/>
      <c r="AA54" s="324"/>
      <c r="AB54" s="324"/>
      <c r="AC54" s="324"/>
      <c r="AD54" s="324"/>
      <c r="AE54" s="324"/>
      <c r="AF54" s="324"/>
      <c r="AG54" s="324"/>
      <c r="AH54" s="324"/>
      <c r="AI54" s="324"/>
      <c r="AJ54" s="324"/>
      <c r="AK54" s="324"/>
      <c r="AL54" s="324"/>
      <c r="AM54" s="324"/>
      <c r="AO54" s="66"/>
      <c r="AP54" s="66" t="str">
        <f t="shared" si="1"/>
        <v>Добавить источник для дифференциации</v>
      </c>
      <c r="AQ54" s="66"/>
      <c r="AR54" s="66"/>
    </row>
    <row r="55" spans="1:44" s="65" customFormat="1" ht="0.75" customHeight="1">
      <c r="A55" s="142" t="s">
        <v>158</v>
      </c>
      <c r="B55" s="142" t="s">
        <v>159</v>
      </c>
      <c r="C55" s="142"/>
      <c r="D55" s="142"/>
      <c r="E55" s="1286"/>
      <c r="F55" s="1285"/>
      <c r="G55" s="142"/>
      <c r="H55" s="142"/>
      <c r="I55" s="142"/>
      <c r="J55" s="142"/>
      <c r="K55" s="142"/>
      <c r="L55" s="357"/>
      <c r="M55" s="789"/>
      <c r="N55" s="789"/>
      <c r="P55" s="101"/>
      <c r="Q55" s="785"/>
      <c r="R55" s="101"/>
      <c r="S55" s="790"/>
      <c r="T55" s="792" t="s">
        <v>432</v>
      </c>
      <c r="U55" s="324"/>
      <c r="V55" s="324"/>
      <c r="W55" s="324"/>
      <c r="X55" s="324"/>
      <c r="Y55" s="324"/>
      <c r="Z55" s="324"/>
      <c r="AA55" s="324"/>
      <c r="AB55" s="324"/>
      <c r="AC55" s="324"/>
      <c r="AD55" s="324"/>
      <c r="AE55" s="324"/>
      <c r="AF55" s="324"/>
      <c r="AG55" s="324"/>
      <c r="AH55" s="324"/>
      <c r="AI55" s="324"/>
      <c r="AJ55" s="324"/>
      <c r="AK55" s="324"/>
      <c r="AL55" s="324"/>
      <c r="AM55" s="324"/>
      <c r="AO55" s="66"/>
      <c r="AP55" s="66" t="str">
        <f t="shared" si="1"/>
        <v>Добавить централизованную систему для дифференциации</v>
      </c>
      <c r="AQ55" s="66"/>
      <c r="AR55" s="66"/>
    </row>
    <row r="56" spans="1:44" s="65" customFormat="1" ht="0.75" customHeight="1">
      <c r="A56" s="142" t="s">
        <v>158</v>
      </c>
      <c r="B56" s="142"/>
      <c r="C56" s="142"/>
      <c r="D56" s="142"/>
      <c r="E56" s="1285"/>
      <c r="F56" s="142"/>
      <c r="G56" s="142"/>
      <c r="H56" s="142"/>
      <c r="I56" s="142"/>
      <c r="J56" s="142"/>
      <c r="K56" s="142"/>
      <c r="L56" s="357"/>
      <c r="M56" s="789"/>
      <c r="N56" s="789"/>
      <c r="P56" s="101"/>
      <c r="Q56" s="785"/>
      <c r="R56" s="101"/>
      <c r="S56" s="790"/>
      <c r="T56" s="792" t="s">
        <v>433</v>
      </c>
      <c r="U56" s="324"/>
      <c r="V56" s="324"/>
      <c r="W56" s="324"/>
      <c r="X56" s="324"/>
      <c r="Y56" s="324"/>
      <c r="Z56" s="324"/>
      <c r="AA56" s="324"/>
      <c r="AB56" s="324"/>
      <c r="AC56" s="324"/>
      <c r="AD56" s="324"/>
      <c r="AE56" s="324"/>
      <c r="AF56" s="324"/>
      <c r="AG56" s="324"/>
      <c r="AH56" s="324"/>
      <c r="AI56" s="324"/>
      <c r="AJ56" s="324"/>
      <c r="AK56" s="324"/>
      <c r="AL56" s="324"/>
      <c r="AM56" s="324"/>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7"/>
      <c r="M57" s="789"/>
      <c r="N57" s="789"/>
      <c r="P57" s="101"/>
      <c r="Q57" s="785"/>
      <c r="R57" s="101"/>
      <c r="S57" s="790"/>
      <c r="T57" s="792" t="s">
        <v>434</v>
      </c>
      <c r="U57" s="324"/>
      <c r="V57" s="324"/>
      <c r="W57" s="324"/>
      <c r="X57" s="324"/>
      <c r="Y57" s="324"/>
      <c r="Z57" s="324"/>
      <c r="AA57" s="324"/>
      <c r="AB57" s="324"/>
      <c r="AC57" s="324"/>
      <c r="AD57" s="324"/>
      <c r="AE57" s="324"/>
      <c r="AF57" s="324"/>
      <c r="AG57" s="324"/>
      <c r="AH57" s="324"/>
      <c r="AI57" s="324"/>
      <c r="AJ57" s="324"/>
      <c r="AK57" s="324"/>
      <c r="AL57" s="324"/>
      <c r="AM57" s="324"/>
      <c r="AO57" s="66"/>
      <c r="AP57" s="66" t="str">
        <f t="shared" si="1"/>
        <v>Добавить наименование тарифа</v>
      </c>
      <c r="AQ57" s="66"/>
      <c r="AR57" s="66"/>
    </row>
    <row r="58" spans="1:44" ht="11.25" hidden="1" customHeight="1">
      <c r="M58" s="60"/>
      <c r="N58" s="60"/>
      <c r="O58" s="60"/>
      <c r="P58" s="9"/>
      <c r="Q58" s="9"/>
      <c r="R58" s="9"/>
      <c r="S58" s="9"/>
      <c r="AN58" s="9"/>
      <c r="AO58" s="9"/>
      <c r="AP58" s="9"/>
      <c r="AQ58" s="9"/>
      <c r="AR58" s="9"/>
    </row>
    <row r="59" spans="1:44" ht="27" hidden="1" customHeight="1">
      <c r="O59" s="60"/>
      <c r="S59" s="204" t="s">
        <v>506</v>
      </c>
      <c r="T59" s="1284" t="s">
        <v>507</v>
      </c>
      <c r="U59" s="1284"/>
      <c r="V59" s="1284"/>
      <c r="W59" s="1284"/>
      <c r="X59" s="1284"/>
      <c r="Y59" s="1284"/>
      <c r="Z59" s="1284"/>
      <c r="AA59" s="1284"/>
      <c r="AB59" s="1284"/>
      <c r="AC59" s="1284"/>
      <c r="AD59" s="1284"/>
      <c r="AE59" s="1284"/>
      <c r="AF59" s="1284"/>
      <c r="AG59" s="1284"/>
      <c r="AH59" s="1284"/>
      <c r="AI59" s="1284"/>
      <c r="AJ59" s="1284"/>
      <c r="AK59" s="1284"/>
      <c r="AL59" s="1284"/>
      <c r="AM59" s="1284"/>
    </row>
    <row r="60" spans="1:44" ht="64.5" hidden="1" customHeight="1">
      <c r="O60" s="60"/>
      <c r="T60" s="1284" t="s">
        <v>508</v>
      </c>
      <c r="U60" s="1284"/>
      <c r="V60" s="1284"/>
      <c r="W60" s="1284"/>
      <c r="X60" s="1284"/>
      <c r="Y60" s="1284"/>
      <c r="Z60" s="1284"/>
      <c r="AA60" s="1284"/>
      <c r="AB60" s="1284"/>
      <c r="AC60" s="1284"/>
      <c r="AD60" s="1284"/>
      <c r="AE60" s="1284"/>
      <c r="AF60" s="1284"/>
      <c r="AG60" s="1284"/>
      <c r="AH60" s="1284"/>
      <c r="AI60" s="1284"/>
      <c r="AJ60" s="1284"/>
      <c r="AK60" s="1284"/>
      <c r="AL60" s="1284"/>
      <c r="AM60" s="1284"/>
    </row>
    <row r="61" spans="1:44" ht="14.25" hidden="1" customHeight="1">
      <c r="O61" s="60"/>
    </row>
    <row r="62" spans="1:44" ht="18" hidden="1" customHeight="1">
      <c r="O62" s="60"/>
      <c r="S62" s="204" t="s">
        <v>506</v>
      </c>
      <c r="T62" s="1284" t="s">
        <v>509</v>
      </c>
      <c r="U62" s="1284"/>
      <c r="V62" s="1284"/>
      <c r="W62" s="1284"/>
      <c r="X62" s="1284"/>
      <c r="Y62" s="1284"/>
      <c r="Z62" s="1284"/>
      <c r="AA62" s="1284"/>
      <c r="AB62" s="1284"/>
      <c r="AC62" s="1284"/>
      <c r="AD62" s="1284"/>
      <c r="AE62" s="1284"/>
      <c r="AF62" s="1284"/>
      <c r="AG62" s="1284"/>
      <c r="AH62" s="1284"/>
      <c r="AI62" s="1284"/>
      <c r="AJ62" s="1284"/>
      <c r="AK62" s="1284"/>
      <c r="AL62" s="1284"/>
      <c r="AM62" s="1284"/>
    </row>
    <row r="63" spans="1:44" ht="18" hidden="1" customHeight="1">
      <c r="O63" s="60"/>
      <c r="T63" s="1284" t="s">
        <v>510</v>
      </c>
      <c r="U63" s="1284"/>
      <c r="V63" s="1284"/>
      <c r="W63" s="1284"/>
      <c r="X63" s="1284"/>
      <c r="Y63" s="1284"/>
      <c r="Z63" s="1284"/>
      <c r="AA63" s="1284"/>
      <c r="AB63" s="1284"/>
      <c r="AC63" s="1284"/>
      <c r="AD63" s="1284"/>
      <c r="AE63" s="1284"/>
      <c r="AF63" s="1284"/>
      <c r="AG63" s="1284"/>
      <c r="AH63" s="1284"/>
      <c r="AI63" s="1284"/>
      <c r="AJ63" s="1284"/>
      <c r="AK63" s="1284"/>
      <c r="AL63" s="1284"/>
      <c r="AM63" s="1284"/>
    </row>
    <row r="64" spans="1:44" ht="27.75" hidden="1" customHeight="1">
      <c r="O64" s="60"/>
      <c r="S64" s="204"/>
      <c r="T64" s="1284" t="s">
        <v>511</v>
      </c>
      <c r="U64" s="1284"/>
      <c r="V64" s="1284"/>
      <c r="W64" s="1284"/>
      <c r="X64" s="1284"/>
      <c r="Y64" s="1284"/>
      <c r="Z64" s="1284"/>
      <c r="AA64" s="1284"/>
      <c r="AB64" s="1284"/>
      <c r="AC64" s="1284"/>
      <c r="AD64" s="1284"/>
      <c r="AE64" s="1284"/>
      <c r="AF64" s="1284"/>
      <c r="AG64" s="1284"/>
      <c r="AH64" s="1284"/>
      <c r="AI64" s="1284"/>
      <c r="AJ64" s="1284"/>
      <c r="AK64" s="1284"/>
      <c r="AL64" s="1284"/>
      <c r="AM64" s="1284"/>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C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C00-000001000000}">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0C00-000002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C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C00-000004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C00-000005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C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C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98A36F-5185-54BC-DD3B-B3380B81189D}">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0"/>
      <c r="AC2" s="1281"/>
      <c r="AD2" s="1279" t="e">
        <f>INDEX(PT_DIFFERENTIATION_NTAR,MATCH(A2,PT_DIFFERENTIATION_NTAR_ID,0))</f>
        <v>#N/A</v>
      </c>
      <c r="AE2" s="1280"/>
      <c r="AF2" s="1280"/>
      <c r="AG2" s="1280"/>
      <c r="AH2" s="1280"/>
      <c r="AI2" s="1280"/>
      <c r="AJ2" s="1280"/>
      <c r="AK2" s="1280"/>
      <c r="AL2" s="1281"/>
      <c r="AM2" s="758" t="s">
        <v>457</v>
      </c>
      <c r="AO2" s="66"/>
      <c r="AP2" s="66" t="str">
        <f t="shared" ref="AP2:AP15" si="0">IF(T2="","",T2)</f>
        <v>Наименование тарифа</v>
      </c>
      <c r="AQ2" s="66"/>
      <c r="AR2" s="66"/>
    </row>
    <row r="3" spans="1:44" ht="21"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0"/>
      <c r="AC3" s="1281"/>
      <c r="AD3" s="1279" t="e">
        <f>INDEX(PT_DIFFERENTIATION_TER,MATCH(B3,PT_DIFFERENTIATION_TER_ID,0))</f>
        <v>#N/A</v>
      </c>
      <c r="AE3" s="1280"/>
      <c r="AF3" s="1280"/>
      <c r="AG3" s="1280"/>
      <c r="AH3" s="1280"/>
      <c r="AI3" s="1280"/>
      <c r="AJ3" s="1280"/>
      <c r="AK3" s="1280"/>
      <c r="AL3" s="1281"/>
      <c r="AM3" s="758" t="s">
        <v>459</v>
      </c>
      <c r="AO3" s="66"/>
      <c r="AP3" s="66" t="str">
        <f t="shared" si="0"/>
        <v>Территория действия тарифа</v>
      </c>
      <c r="AQ3" s="66"/>
      <c r="AR3" s="66"/>
    </row>
    <row r="4" spans="1:44"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460</v>
      </c>
      <c r="U4" s="170"/>
      <c r="V4" s="1279"/>
      <c r="W4" s="1280"/>
      <c r="X4" s="1280"/>
      <c r="Y4" s="1280"/>
      <c r="Z4" s="1280"/>
      <c r="AA4" s="1280"/>
      <c r="AB4" s="1280"/>
      <c r="AC4" s="1281"/>
      <c r="AD4" s="1279" t="e">
        <f>INDEX(PT_DIFFERENTIATION_CS,MATCH(C4,PT_DIFFERENTIATION_CS_ID,0))</f>
        <v>#N/A</v>
      </c>
      <c r="AE4" s="1280"/>
      <c r="AF4" s="1280"/>
      <c r="AG4" s="1280"/>
      <c r="AH4" s="1280"/>
      <c r="AI4" s="1280"/>
      <c r="AJ4" s="1280"/>
      <c r="AK4" s="1280"/>
      <c r="AL4" s="1281"/>
      <c r="AM4" s="758" t="s">
        <v>461</v>
      </c>
      <c r="AO4" s="66"/>
      <c r="AP4" s="66" t="str">
        <f t="shared" si="0"/>
        <v xml:space="preserve">Наименование системы теплоснабжения </v>
      </c>
      <c r="AQ4" s="66"/>
      <c r="AR4" s="66"/>
    </row>
    <row r="5" spans="1:44" ht="21" hidden="1" customHeight="1">
      <c r="A5" s="798"/>
      <c r="B5" s="798"/>
      <c r="C5" s="798"/>
      <c r="D5" s="798"/>
      <c r="E5" s="1286"/>
      <c r="F5" s="1286"/>
      <c r="G5" s="1286"/>
      <c r="H5" s="1285">
        <v>1</v>
      </c>
      <c r="I5" s="798"/>
      <c r="J5" s="798"/>
      <c r="K5" s="798"/>
      <c r="L5" s="799"/>
      <c r="M5" s="435"/>
      <c r="N5" s="435"/>
      <c r="O5" s="435"/>
      <c r="P5" s="212"/>
      <c r="Q5" s="210"/>
      <c r="R5" s="211"/>
      <c r="S5" s="730" t="e">
        <f>INDEX(PT_DIFFERENTIATION_NUM_IST_TE,MATCH(D5,PT_DIFFERENTIATION_IST_TE_ID,0))</f>
        <v>#N/A</v>
      </c>
      <c r="T5" s="180" t="s">
        <v>462</v>
      </c>
      <c r="U5" s="170"/>
      <c r="V5" s="1279"/>
      <c r="W5" s="1280"/>
      <c r="X5" s="1280"/>
      <c r="Y5" s="1280"/>
      <c r="Z5" s="1280"/>
      <c r="AA5" s="1280"/>
      <c r="AB5" s="1280"/>
      <c r="AC5" s="1281"/>
      <c r="AD5" s="1279" t="e">
        <f>INDEX(PT_DIFFERENTIATION_IST_TE,MATCH(D5,PT_DIFFERENTIATION_IST_TE_ID,0))</f>
        <v>#N/A</v>
      </c>
      <c r="AE5" s="1280"/>
      <c r="AF5" s="1280"/>
      <c r="AG5" s="1280"/>
      <c r="AH5" s="1280"/>
      <c r="AI5" s="1280"/>
      <c r="AJ5" s="1280"/>
      <c r="AK5" s="1280"/>
      <c r="AL5" s="1281"/>
      <c r="AM5" s="758" t="s">
        <v>463</v>
      </c>
      <c r="AO5" s="66"/>
      <c r="AP5" s="66" t="str">
        <f t="shared" si="0"/>
        <v xml:space="preserve">Источник тепловой энергии  </v>
      </c>
      <c r="AQ5" s="66"/>
      <c r="AR5" s="66"/>
    </row>
    <row r="6" spans="1:44" ht="47.25" hidden="1" customHeight="1">
      <c r="A6" s="798"/>
      <c r="B6" s="798"/>
      <c r="C6" s="798"/>
      <c r="D6" s="798"/>
      <c r="E6" s="1286"/>
      <c r="F6" s="1286"/>
      <c r="G6" s="1286"/>
      <c r="H6" s="1286"/>
      <c r="I6" s="1287" t="e">
        <f>S5&amp;".1"</f>
        <v>#N/A</v>
      </c>
      <c r="J6" s="798"/>
      <c r="K6" s="798"/>
      <c r="L6" s="799" t="s">
        <v>464</v>
      </c>
      <c r="M6" s="60"/>
      <c r="P6" s="1204">
        <v>1</v>
      </c>
      <c r="Q6" s="119"/>
      <c r="R6" s="214"/>
      <c r="S6" s="730" t="e">
        <f>$I6</f>
        <v>#N/A</v>
      </c>
      <c r="T6" s="163" t="s">
        <v>465</v>
      </c>
      <c r="U6" s="170"/>
      <c r="V6" s="1273"/>
      <c r="W6" s="1274"/>
      <c r="X6" s="1274"/>
      <c r="Y6" s="1274"/>
      <c r="Z6" s="1274"/>
      <c r="AA6" s="1274"/>
      <c r="AB6" s="1274"/>
      <c r="AC6" s="1275"/>
      <c r="AD6" s="1273"/>
      <c r="AE6" s="1274"/>
      <c r="AF6" s="1274"/>
      <c r="AG6" s="1274"/>
      <c r="AH6" s="1274"/>
      <c r="AI6" s="1274"/>
      <c r="AJ6" s="1274"/>
      <c r="AK6" s="1274"/>
      <c r="AL6" s="1275"/>
      <c r="AM6" s="758" t="s">
        <v>466</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8"/>
      <c r="B7" s="798"/>
      <c r="C7" s="798"/>
      <c r="D7" s="798"/>
      <c r="E7" s="1286"/>
      <c r="F7" s="1286"/>
      <c r="G7" s="1286"/>
      <c r="H7" s="1286"/>
      <c r="I7" s="1288"/>
      <c r="J7" s="1287" t="e">
        <f>I6&amp;".1"</f>
        <v>#N/A</v>
      </c>
      <c r="K7" s="798"/>
      <c r="L7" s="799" t="s">
        <v>467</v>
      </c>
      <c r="M7" s="60"/>
      <c r="N7" s="60"/>
      <c r="P7" s="1204"/>
      <c r="Q7" s="1204">
        <v>1</v>
      </c>
      <c r="R7" s="215"/>
      <c r="S7" s="730" t="e">
        <f>$J7</f>
        <v>#N/A</v>
      </c>
      <c r="T7" s="164" t="s">
        <v>468</v>
      </c>
      <c r="U7" s="170"/>
      <c r="V7" s="1273"/>
      <c r="W7" s="1274"/>
      <c r="X7" s="1274"/>
      <c r="Y7" s="1274"/>
      <c r="Z7" s="1274"/>
      <c r="AA7" s="1274"/>
      <c r="AB7" s="1274"/>
      <c r="AC7" s="1275"/>
      <c r="AD7" s="1273"/>
      <c r="AE7" s="1274"/>
      <c r="AF7" s="1274"/>
      <c r="AG7" s="1274"/>
      <c r="AH7" s="1274"/>
      <c r="AI7" s="1274"/>
      <c r="AJ7" s="1274"/>
      <c r="AK7" s="1274"/>
      <c r="AL7" s="1275"/>
      <c r="AM7" s="758" t="s">
        <v>469</v>
      </c>
      <c r="AO7" s="66"/>
      <c r="AP7" s="66" t="str">
        <f t="shared" si="0"/>
        <v>Группа потребителей</v>
      </c>
      <c r="AQ7" s="66"/>
      <c r="AR7" s="66"/>
    </row>
    <row r="8" spans="1:44" ht="21" hidden="1" customHeight="1">
      <c r="A8" s="798"/>
      <c r="B8" s="798"/>
      <c r="C8" s="798"/>
      <c r="D8" s="798"/>
      <c r="E8" s="1286"/>
      <c r="F8" s="1286"/>
      <c r="G8" s="1286"/>
      <c r="H8" s="1286"/>
      <c r="I8" s="1288"/>
      <c r="J8" s="1288"/>
      <c r="K8" s="1287" t="e">
        <f>J7&amp;".1"</f>
        <v>#N/A</v>
      </c>
      <c r="L8" s="799" t="s">
        <v>470</v>
      </c>
      <c r="M8" s="60"/>
      <c r="N8" s="60"/>
      <c r="O8" s="60"/>
      <c r="P8" s="1204"/>
      <c r="Q8" s="1204"/>
      <c r="R8" s="215">
        <v>1</v>
      </c>
      <c r="S8" s="730" t="e">
        <f>$K8</f>
        <v>#N/A</v>
      </c>
      <c r="T8" s="794"/>
      <c r="U8" s="170"/>
      <c r="V8" s="317"/>
      <c r="W8" s="196"/>
      <c r="X8" s="317"/>
      <c r="Y8" s="757"/>
      <c r="Z8" s="1289"/>
      <c r="AA8" s="1093" t="s">
        <v>59</v>
      </c>
      <c r="AB8" s="1289"/>
      <c r="AC8" s="1093" t="s">
        <v>59</v>
      </c>
      <c r="AD8" s="317"/>
      <c r="AE8" s="196"/>
      <c r="AF8" s="317"/>
      <c r="AG8" s="757"/>
      <c r="AH8" s="1289"/>
      <c r="AI8" s="1093" t="s">
        <v>59</v>
      </c>
      <c r="AJ8" s="1289"/>
      <c r="AK8" s="1093" t="s">
        <v>59</v>
      </c>
      <c r="AL8" s="196"/>
      <c r="AM8" s="1307" t="s">
        <v>471</v>
      </c>
      <c r="AN8" s="65" t="e">
        <f ca="1">STRCHECKDATE(V9:AL9)</f>
        <v>#NAME?</v>
      </c>
      <c r="AO8" s="66"/>
      <c r="AP8" s="66" t="str">
        <f t="shared" si="0"/>
        <v/>
      </c>
      <c r="AQ8" s="66"/>
      <c r="AR8" s="66"/>
    </row>
    <row r="9" spans="1:44" ht="0.75" hidden="1" customHeight="1">
      <c r="A9" s="798"/>
      <c r="B9" s="798"/>
      <c r="C9" s="798"/>
      <c r="D9" s="798"/>
      <c r="E9" s="1286"/>
      <c r="F9" s="1286"/>
      <c r="G9" s="1286"/>
      <c r="H9" s="1286"/>
      <c r="I9" s="1288"/>
      <c r="J9" s="1288"/>
      <c r="K9" s="1287"/>
      <c r="L9" s="799"/>
      <c r="M9" s="60"/>
      <c r="N9" s="60"/>
      <c r="O9" s="60"/>
      <c r="P9" s="1204"/>
      <c r="Q9" s="1204"/>
      <c r="R9" s="215"/>
      <c r="S9" s="62"/>
      <c r="T9" s="170"/>
      <c r="U9" s="170"/>
      <c r="V9" s="196"/>
      <c r="W9" s="196"/>
      <c r="X9" s="196"/>
      <c r="Y9" s="198" t="str">
        <f>Z8&amp;"-"&amp;AB8</f>
        <v>-</v>
      </c>
      <c r="Z9" s="1290"/>
      <c r="AA9" s="1093"/>
      <c r="AB9" s="1290"/>
      <c r="AC9" s="1093"/>
      <c r="AD9" s="196"/>
      <c r="AE9" s="196"/>
      <c r="AF9" s="196"/>
      <c r="AG9" s="198" t="str">
        <f>AH8&amp;"-"&amp;AJ8</f>
        <v>-</v>
      </c>
      <c r="AH9" s="1290"/>
      <c r="AI9" s="1093"/>
      <c r="AJ9" s="1290"/>
      <c r="AK9" s="1093"/>
      <c r="AL9" s="196"/>
      <c r="AM9" s="1308"/>
      <c r="AO9" s="66"/>
      <c r="AP9" s="66" t="str">
        <f t="shared" si="0"/>
        <v/>
      </c>
      <c r="AQ9" s="66"/>
      <c r="AR9" s="66"/>
    </row>
    <row r="10" spans="1:44" ht="15" hidden="1" customHeight="1">
      <c r="A10" s="798"/>
      <c r="B10" s="798"/>
      <c r="C10" s="798"/>
      <c r="D10" s="798"/>
      <c r="E10" s="1286"/>
      <c r="F10" s="1286"/>
      <c r="G10" s="1286"/>
      <c r="H10" s="1286"/>
      <c r="I10" s="1288"/>
      <c r="J10" s="1287"/>
      <c r="K10" s="798"/>
      <c r="L10" s="799"/>
      <c r="M10" s="60"/>
      <c r="N10" s="60"/>
      <c r="P10" s="1204"/>
      <c r="Q10" s="1204"/>
      <c r="R10" s="214"/>
      <c r="S10" s="772"/>
      <c r="T10" s="166" t="s">
        <v>472</v>
      </c>
      <c r="U10" s="221"/>
      <c r="V10" s="221"/>
      <c r="W10" s="221"/>
      <c r="X10" s="221"/>
      <c r="Y10" s="221"/>
      <c r="Z10" s="221"/>
      <c r="AA10" s="221"/>
      <c r="AB10" s="221"/>
      <c r="AC10" s="221"/>
      <c r="AD10" s="221"/>
      <c r="AE10" s="221"/>
      <c r="AF10" s="221"/>
      <c r="AG10" s="221"/>
      <c r="AH10" s="221"/>
      <c r="AI10" s="221"/>
      <c r="AJ10" s="221"/>
      <c r="AK10" s="221"/>
      <c r="AL10" s="195"/>
      <c r="AM10" s="1309"/>
      <c r="AO10" s="66"/>
      <c r="AP10" s="66" t="str">
        <f t="shared" si="0"/>
        <v>Добавить вид теплоносителя (параметры теплоносителя)</v>
      </c>
      <c r="AQ10" s="66"/>
      <c r="AR10" s="66"/>
    </row>
    <row r="11" spans="1:44" ht="15" hidden="1" customHeight="1">
      <c r="A11" s="798"/>
      <c r="B11" s="798"/>
      <c r="C11" s="798"/>
      <c r="D11" s="798"/>
      <c r="E11" s="1286"/>
      <c r="F11" s="1286"/>
      <c r="G11" s="1286"/>
      <c r="H11" s="1286"/>
      <c r="I11" s="1287"/>
      <c r="J11" s="798"/>
      <c r="K11" s="798"/>
      <c r="L11" s="799"/>
      <c r="M11" s="60"/>
      <c r="P11" s="1204"/>
      <c r="Q11" s="119"/>
      <c r="R11" s="214"/>
      <c r="S11" s="772"/>
      <c r="T11" s="165" t="s">
        <v>473</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8"/>
      <c r="B12" s="798"/>
      <c r="C12" s="798"/>
      <c r="D12" s="798"/>
      <c r="E12" s="1286"/>
      <c r="F12" s="1286"/>
      <c r="G12" s="1286"/>
      <c r="H12" s="1285"/>
      <c r="I12" s="798"/>
      <c r="J12" s="798"/>
      <c r="K12" s="798"/>
      <c r="L12" s="799"/>
      <c r="M12" s="435"/>
      <c r="N12" s="435"/>
      <c r="O12" s="60"/>
      <c r="P12" s="2"/>
      <c r="Q12" s="224"/>
      <c r="R12" s="213"/>
      <c r="S12" s="772"/>
      <c r="T12" s="219" t="s">
        <v>474</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86"/>
      <c r="F13" s="1286"/>
      <c r="G13" s="1285"/>
      <c r="H13" s="142"/>
      <c r="I13" s="142"/>
      <c r="J13" s="142"/>
      <c r="K13" s="142"/>
      <c r="L13" s="357"/>
      <c r="M13" s="304"/>
      <c r="N13" s="304"/>
      <c r="P13" s="101"/>
      <c r="Q13" s="785"/>
      <c r="R13" s="101"/>
      <c r="S13" s="786"/>
      <c r="T13" s="787" t="s">
        <v>431</v>
      </c>
      <c r="U13" s="788"/>
      <c r="V13" s="788"/>
      <c r="W13" s="788"/>
      <c r="X13" s="788"/>
      <c r="Y13" s="788"/>
      <c r="Z13" s="788"/>
      <c r="AA13" s="788"/>
      <c r="AB13" s="788"/>
      <c r="AC13" s="788"/>
      <c r="AD13" s="788"/>
      <c r="AE13" s="788"/>
      <c r="AF13" s="788"/>
      <c r="AG13" s="788"/>
      <c r="AH13" s="788"/>
      <c r="AI13" s="788"/>
      <c r="AJ13" s="788"/>
      <c r="AK13" s="788"/>
      <c r="AL13" s="788"/>
      <c r="AM13" s="788"/>
      <c r="AO13" s="66"/>
      <c r="AP13" s="66" t="str">
        <f t="shared" si="0"/>
        <v>Добавить источник для дифференциации</v>
      </c>
      <c r="AQ13" s="66"/>
      <c r="AR13" s="66"/>
    </row>
    <row r="14" spans="1:44" s="65" customFormat="1" ht="0.75" hidden="1" customHeight="1">
      <c r="A14" s="142"/>
      <c r="B14" s="142"/>
      <c r="C14" s="142"/>
      <c r="D14" s="142"/>
      <c r="E14" s="1286"/>
      <c r="F14" s="1285"/>
      <c r="G14" s="142"/>
      <c r="H14" s="142"/>
      <c r="I14" s="142"/>
      <c r="J14" s="142"/>
      <c r="K14" s="142"/>
      <c r="L14" s="357"/>
      <c r="M14" s="789"/>
      <c r="N14" s="789"/>
      <c r="P14" s="101"/>
      <c r="Q14" s="785"/>
      <c r="R14" s="101"/>
      <c r="S14" s="790"/>
      <c r="T14" s="791" t="s">
        <v>432</v>
      </c>
      <c r="U14" s="324"/>
      <c r="V14" s="324"/>
      <c r="W14" s="324"/>
      <c r="X14" s="324"/>
      <c r="Y14" s="324"/>
      <c r="Z14" s="324"/>
      <c r="AA14" s="324"/>
      <c r="AB14" s="324"/>
      <c r="AC14" s="324"/>
      <c r="AD14" s="324"/>
      <c r="AE14" s="324"/>
      <c r="AF14" s="324"/>
      <c r="AG14" s="324"/>
      <c r="AH14" s="324"/>
      <c r="AI14" s="324"/>
      <c r="AJ14" s="324"/>
      <c r="AK14" s="324"/>
      <c r="AL14" s="324"/>
      <c r="AM14" s="324"/>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85"/>
      <c r="F15" s="142"/>
      <c r="G15" s="142"/>
      <c r="H15" s="142"/>
      <c r="I15" s="142"/>
      <c r="J15" s="142"/>
      <c r="K15" s="142"/>
      <c r="L15" s="357"/>
      <c r="M15" s="789"/>
      <c r="N15" s="789"/>
      <c r="P15" s="101"/>
      <c r="Q15" s="785"/>
      <c r="R15" s="101"/>
      <c r="S15" s="790"/>
      <c r="T15" s="792" t="s">
        <v>433</v>
      </c>
      <c r="U15" s="324"/>
      <c r="V15" s="324"/>
      <c r="W15" s="324"/>
      <c r="X15" s="324"/>
      <c r="Y15" s="324"/>
      <c r="Z15" s="324"/>
      <c r="AA15" s="324"/>
      <c r="AB15" s="324"/>
      <c r="AC15" s="324"/>
      <c r="AD15" s="324"/>
      <c r="AE15" s="324"/>
      <c r="AF15" s="324"/>
      <c r="AG15" s="324"/>
      <c r="AH15" s="324"/>
      <c r="AI15" s="324"/>
      <c r="AJ15" s="324"/>
      <c r="AK15" s="324"/>
      <c r="AL15" s="324"/>
      <c r="AM15" s="324"/>
      <c r="AO15" s="66"/>
      <c r="AP15" s="66" t="str">
        <f t="shared" si="0"/>
        <v>Добавить территорию для дифференциации</v>
      </c>
      <c r="AQ15" s="66"/>
      <c r="AR15" s="66"/>
    </row>
    <row r="16" spans="1:44" ht="14.25" hidden="1" customHeight="1"/>
    <row r="17" spans="1:44" ht="14.25" hidden="1" customHeight="1">
      <c r="AD17" s="378"/>
      <c r="AE17" s="378"/>
      <c r="AF17" s="378"/>
      <c r="AG17" s="797"/>
      <c r="AH17" s="1283"/>
      <c r="AI17" s="1282" t="s">
        <v>59</v>
      </c>
      <c r="AJ17" s="1283"/>
      <c r="AK17" s="1282" t="s">
        <v>59</v>
      </c>
    </row>
    <row r="18" spans="1:44" ht="14.25" hidden="1" customHeight="1">
      <c r="AD18" s="378"/>
      <c r="AE18" s="378"/>
      <c r="AF18" s="378"/>
      <c r="AG18" s="198" t="str">
        <f>AH17&amp;"-"&amp;AJ17</f>
        <v>-</v>
      </c>
      <c r="AH18" s="1282"/>
      <c r="AI18" s="1282"/>
      <c r="AJ18" s="1282"/>
      <c r="AK18" s="1282"/>
    </row>
    <row r="19" spans="1:44" ht="14.25" hidden="1" customHeight="1"/>
    <row r="20" spans="1:44" s="60" customFormat="1" ht="22.5" hidden="1" customHeight="1">
      <c r="L20" s="312"/>
      <c r="M20" s="522"/>
      <c r="N20" s="522"/>
      <c r="O20" s="800" t="s">
        <v>475</v>
      </c>
      <c r="P20" s="522"/>
      <c r="Q20" s="801"/>
      <c r="R20" s="801"/>
      <c r="S20" s="435"/>
      <c r="Z20" s="800"/>
      <c r="AB20" s="800"/>
      <c r="AH20" s="800"/>
      <c r="AJ20" s="800"/>
      <c r="AN20" s="65"/>
      <c r="AO20" s="65"/>
      <c r="AP20" s="65"/>
      <c r="AQ20" s="65"/>
      <c r="AR20" s="65"/>
    </row>
    <row r="21" spans="1:44" s="60" customFormat="1" ht="14.25" hidden="1" customHeight="1">
      <c r="L21" s="312"/>
      <c r="M21" s="522"/>
      <c r="N21" s="522"/>
      <c r="O21" s="522"/>
      <c r="P21" s="522"/>
      <c r="Q21" s="801"/>
      <c r="R21" s="801"/>
      <c r="S21" s="435"/>
      <c r="AN21" s="65"/>
      <c r="AO21" s="65"/>
      <c r="AP21" s="65"/>
      <c r="AQ21" s="65"/>
      <c r="AR21" s="65"/>
    </row>
    <row r="22" spans="1:44" s="60" customFormat="1" ht="14.25" hidden="1" customHeight="1">
      <c r="L22" s="312"/>
      <c r="M22" s="522"/>
      <c r="N22" s="522"/>
      <c r="O22" s="799" t="s">
        <v>476</v>
      </c>
      <c r="P22" s="522"/>
      <c r="Q22" s="801"/>
      <c r="R22" s="801"/>
      <c r="S22" s="435"/>
      <c r="T22" s="60" t="s">
        <v>477</v>
      </c>
      <c r="AA22" s="79" t="s">
        <v>478</v>
      </c>
      <c r="AC22" s="79" t="s">
        <v>479</v>
      </c>
      <c r="AD22" s="60" t="s">
        <v>477</v>
      </c>
      <c r="AI22" s="79" t="s">
        <v>480</v>
      </c>
      <c r="AK22" s="79" t="s">
        <v>479</v>
      </c>
      <c r="AN22" s="65"/>
      <c r="AO22" s="65"/>
      <c r="AP22" s="65"/>
      <c r="AQ22" s="65"/>
      <c r="AR22" s="65"/>
    </row>
    <row r="23" spans="1:44" ht="14.25" hidden="1" customHeight="1">
      <c r="O23" s="799"/>
    </row>
    <row r="24" spans="1:44" ht="14.25" hidden="1" customHeight="1">
      <c r="O24" s="799"/>
    </row>
    <row r="25" spans="1:44" ht="14.25" customHeight="1">
      <c r="Q25" s="27"/>
      <c r="R25" s="27"/>
      <c r="S25" s="769"/>
      <c r="T25" s="8"/>
      <c r="U25" s="8"/>
    </row>
    <row r="26" spans="1:44" ht="64.5" customHeight="1">
      <c r="Q26" s="27"/>
      <c r="R26" s="27"/>
      <c r="S26" s="131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310"/>
      <c r="U26" s="1310"/>
      <c r="V26" s="1310"/>
      <c r="W26" s="1310"/>
      <c r="X26" s="1310"/>
      <c r="Y26" s="1310"/>
      <c r="Z26" s="1310"/>
      <c r="AA26" s="1310"/>
      <c r="AB26" s="1310"/>
      <c r="AC26" s="1310"/>
      <c r="AD26" s="1310"/>
      <c r="AE26" s="1310"/>
      <c r="AF26" s="1310"/>
      <c r="AG26" s="1310"/>
      <c r="AH26" s="1310"/>
      <c r="AI26" s="1310"/>
      <c r="AJ26" s="1310"/>
      <c r="AK26" s="57"/>
    </row>
    <row r="27" spans="1:44" ht="14.25" customHeight="1">
      <c r="Q27" s="27"/>
      <c r="R27" s="27"/>
      <c r="S27" s="1170" t="str">
        <f>IF(org=0,"Не определено",org)</f>
        <v>ИМУП «ПОСЖИЛКОМСЕРВИС»</v>
      </c>
      <c r="T27" s="1170"/>
      <c r="U27" s="1170"/>
      <c r="V27" s="1170"/>
      <c r="W27" s="1170"/>
      <c r="X27" s="1170"/>
      <c r="Y27" s="1170"/>
      <c r="Z27" s="1170"/>
      <c r="AA27" s="1170"/>
      <c r="AB27" s="1170"/>
      <c r="AC27" s="1170"/>
      <c r="AD27" s="1170"/>
      <c r="AE27" s="1170"/>
      <c r="AF27" s="1170"/>
      <c r="AG27" s="1170"/>
      <c r="AH27" s="1170"/>
      <c r="AI27" s="1170"/>
      <c r="AJ27" s="1170"/>
      <c r="AK27" s="57"/>
    </row>
    <row r="28" spans="1:44" ht="14.25" hidden="1" customHeight="1">
      <c r="Q28" s="27"/>
      <c r="R28" s="27"/>
      <c r="S28" s="769"/>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9"/>
      <c r="M29" s="79"/>
      <c r="N29" s="79"/>
      <c r="O29" s="79"/>
      <c r="S29" s="1276" t="s">
        <v>40</v>
      </c>
      <c r="T29" s="1276"/>
      <c r="U29" s="802"/>
      <c r="V29" s="1278" t="str">
        <f>IF(TITLE_NAME_OR_PR_CHANGE="",IF(TITLE_NAME_OR_PR="","",TITLE_NAME_OR_PR),TITLE_NAME_OR_PR_CHANGE)</f>
        <v/>
      </c>
      <c r="W29" s="1278"/>
      <c r="X29" s="1278"/>
      <c r="Y29" s="1278"/>
      <c r="Z29" s="1278"/>
      <c r="AA29" s="1278"/>
      <c r="AB29" s="1278"/>
      <c r="AC29" s="9"/>
      <c r="AD29" s="1278" t="str">
        <f>IF(TITLE_NAME_OR_PR_CHANGE="",IF(TITLE_NAME_OR_PR="","",TITLE_NAME_OR_PR),TITLE_NAME_OR_PR_CHANGE)</f>
        <v/>
      </c>
      <c r="AE29" s="1278"/>
      <c r="AF29" s="1278"/>
      <c r="AG29" s="1278"/>
      <c r="AH29" s="1278"/>
      <c r="AI29" s="1278"/>
      <c r="AJ29" s="127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9"/>
      <c r="M30" s="79"/>
      <c r="N30" s="79"/>
      <c r="O30" s="79"/>
      <c r="S30" s="1276" t="s">
        <v>481</v>
      </c>
      <c r="T30" s="1276"/>
      <c r="U30" s="802"/>
      <c r="V30" s="1277" t="str">
        <f>IF(TITLE_DATE_CHANGE_PERIOD="",IF(TITLE_DATE_PR="","",TITLE_DATE_PR),TITLE_DATE_CHANGE_PERIOD)</f>
        <v/>
      </c>
      <c r="W30" s="1277"/>
      <c r="X30" s="1277"/>
      <c r="Y30" s="1277"/>
      <c r="Z30" s="1277"/>
      <c r="AA30" s="1277"/>
      <c r="AB30" s="1277"/>
      <c r="AC30" s="9"/>
      <c r="AD30" s="1277" t="str">
        <f>IF(TITLE_DATE_CHANGE_PERIOD="",IF(TITLE_DATE_PR="","",TITLE_DATE_PR),TITLE_DATE_CHANGE_PERIOD)</f>
        <v/>
      </c>
      <c r="AE30" s="1277"/>
      <c r="AF30" s="1277"/>
      <c r="AG30" s="1277"/>
      <c r="AH30" s="1277"/>
      <c r="AI30" s="1277"/>
      <c r="AJ30" s="127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9"/>
      <c r="M31" s="79"/>
      <c r="N31" s="79"/>
      <c r="O31" s="79"/>
      <c r="S31" s="1276" t="s">
        <v>482</v>
      </c>
      <c r="T31" s="1276"/>
      <c r="U31" s="802"/>
      <c r="V31" s="1278" t="str">
        <f>IF(TITLE_NUMBER_PR_CHANGE="",IF(TITLE_NUMBER_PR="","",TITLE_NUMBER_PR),TITLE_NUMBER_PR_CHANGE)</f>
        <v/>
      </c>
      <c r="W31" s="1278"/>
      <c r="X31" s="1278"/>
      <c r="Y31" s="1278"/>
      <c r="Z31" s="1278"/>
      <c r="AA31" s="1278"/>
      <c r="AB31" s="1278"/>
      <c r="AC31" s="9"/>
      <c r="AD31" s="1278" t="str">
        <f>IF(TITLE_NUMBER_PR_CHANGE="",IF(TITLE_NUMBER_PR="","",TITLE_NUMBER_PR),TITLE_NUMBER_PR_CHANGE)</f>
        <v/>
      </c>
      <c r="AE31" s="1278"/>
      <c r="AF31" s="1278"/>
      <c r="AG31" s="1278"/>
      <c r="AH31" s="1278"/>
      <c r="AI31" s="1278"/>
      <c r="AJ31" s="127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9"/>
      <c r="M32" s="79"/>
      <c r="N32" s="79"/>
      <c r="O32" s="79"/>
      <c r="S32" s="1276" t="s">
        <v>41</v>
      </c>
      <c r="T32" s="1276"/>
      <c r="U32" s="802"/>
      <c r="V32" s="1278" t="str">
        <f>IF(TITLE_IST_PUB_CHANGE="",IF(TITLE_IST_PUB="","",TITLE_IST_PUB),TITLE_IST_PUB_CHANGE)</f>
        <v/>
      </c>
      <c r="W32" s="1278"/>
      <c r="X32" s="1278"/>
      <c r="Y32" s="1278"/>
      <c r="Z32" s="1278"/>
      <c r="AA32" s="1278"/>
      <c r="AB32" s="1278"/>
      <c r="AC32" s="9"/>
      <c r="AD32" s="1278" t="str">
        <f>IF(TITLE_IST_PUB_CHANGE="",IF(TITLE_IST_PUB="","",TITLE_IST_PUB),TITLE_IST_PUB_CHANGE)</f>
        <v/>
      </c>
      <c r="AE32" s="1278"/>
      <c r="AF32" s="1278"/>
      <c r="AG32" s="1278"/>
      <c r="AH32" s="1278"/>
      <c r="AI32" s="1278"/>
      <c r="AJ32" s="1278"/>
      <c r="AK32" s="9"/>
      <c r="AL32" s="9"/>
      <c r="AM32" s="162"/>
      <c r="AN32" s="66"/>
      <c r="AO32" s="66"/>
      <c r="AP32" s="66"/>
      <c r="AQ32" s="66"/>
      <c r="AR32" s="66"/>
    </row>
    <row r="33" spans="1:44" ht="14.25" hidden="1" customHeight="1">
      <c r="Q33" s="27"/>
      <c r="R33" s="27"/>
      <c r="S33" s="769"/>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9"/>
      <c r="M34" s="79"/>
      <c r="N34" s="79"/>
      <c r="O34" s="79"/>
      <c r="S34" s="1276" t="s">
        <v>483</v>
      </c>
      <c r="T34" s="1276"/>
      <c r="U34" s="802"/>
      <c r="V34" s="1277" t="str">
        <f>IF(TITLE_DATE_CHANGE_PERIOD="",IF(TITLE_DATE_PR="","",TITLE_DATE_PR),TITLE_DATE_CHANGE_PERIOD)</f>
        <v/>
      </c>
      <c r="W34" s="1277"/>
      <c r="X34" s="1277"/>
      <c r="Y34" s="1277"/>
      <c r="Z34" s="1277"/>
      <c r="AA34" s="1277"/>
      <c r="AB34" s="1277"/>
      <c r="AC34" s="9"/>
      <c r="AD34" s="1277" t="str">
        <f>IF(TITLE_DATE_CHANGE_PERIOD="",IF(TITLE_DATE_PR="","",TITLE_DATE_PR),TITLE_DATE_CHANGE_PERIOD)</f>
        <v/>
      </c>
      <c r="AE34" s="1277"/>
      <c r="AF34" s="1277"/>
      <c r="AG34" s="1277"/>
      <c r="AH34" s="1277"/>
      <c r="AI34" s="1277"/>
      <c r="AJ34" s="127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9"/>
      <c r="M35" s="79"/>
      <c r="N35" s="79"/>
      <c r="O35" s="79"/>
      <c r="S35" s="1276" t="s">
        <v>484</v>
      </c>
      <c r="T35" s="1276"/>
      <c r="U35" s="802"/>
      <c r="V35" s="1278" t="str">
        <f>IF(TITLE_NUMBER_PR_CHANGE="",IF(TITLE_NUMBER_PR="","",TITLE_NUMBER_PR),TITLE_NUMBER_PR_CHANGE)</f>
        <v/>
      </c>
      <c r="W35" s="1278"/>
      <c r="X35" s="1278"/>
      <c r="Y35" s="1278"/>
      <c r="Z35" s="1278"/>
      <c r="AA35" s="1278"/>
      <c r="AB35" s="1278"/>
      <c r="AC35" s="9"/>
      <c r="AD35" s="1278" t="str">
        <f>IF(TITLE_NUMBER_PR_CHANGE="",IF(TITLE_NUMBER_PR="","",TITLE_NUMBER_PR),TITLE_NUMBER_PR_CHANGE)</f>
        <v/>
      </c>
      <c r="AE35" s="1278"/>
      <c r="AF35" s="1278"/>
      <c r="AG35" s="1278"/>
      <c r="AH35" s="1278"/>
      <c r="AI35" s="1278"/>
      <c r="AJ35" s="127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9"/>
      <c r="M36" s="79"/>
      <c r="N36" s="79"/>
      <c r="O36" s="79"/>
      <c r="S36" s="9"/>
      <c r="T36" s="9"/>
      <c r="U36" s="75"/>
      <c r="V36" s="9"/>
      <c r="W36" s="9"/>
      <c r="X36" s="9"/>
      <c r="Y36" s="9"/>
      <c r="Z36" s="9"/>
      <c r="AA36" s="9"/>
      <c r="AB36" s="9"/>
      <c r="AC36" s="65" t="s">
        <v>485</v>
      </c>
      <c r="AD36" s="9"/>
      <c r="AE36" s="9"/>
      <c r="AF36" s="9"/>
      <c r="AG36" s="9"/>
      <c r="AH36" s="9"/>
      <c r="AI36" s="9"/>
      <c r="AJ36" s="9"/>
      <c r="AK36" s="65" t="s">
        <v>485</v>
      </c>
      <c r="AN36" s="66"/>
      <c r="AO36" s="66"/>
      <c r="AP36" s="66"/>
      <c r="AQ36" s="66"/>
      <c r="AR36" s="66"/>
    </row>
    <row r="37" spans="1:44" ht="14.25" customHeight="1">
      <c r="Q37" s="27"/>
      <c r="R37" s="27"/>
      <c r="S37" s="769"/>
      <c r="T37" s="8"/>
      <c r="U37" s="741"/>
      <c r="V37" s="1296"/>
      <c r="W37" s="1296"/>
      <c r="X37" s="1296"/>
      <c r="Y37" s="1296"/>
      <c r="Z37" s="1296"/>
      <c r="AA37" s="1296"/>
      <c r="AB37" s="1296"/>
      <c r="AC37" s="1296"/>
      <c r="AD37" s="1296"/>
      <c r="AE37" s="1296"/>
      <c r="AF37" s="1296"/>
      <c r="AG37" s="1296"/>
      <c r="AH37" s="1296"/>
      <c r="AI37" s="1296"/>
      <c r="AJ37" s="1296"/>
      <c r="AK37" s="1296"/>
    </row>
    <row r="38" spans="1:44" ht="14.25" customHeight="1">
      <c r="Q38" s="27"/>
      <c r="R38" s="27"/>
      <c r="S38" s="1083" t="s">
        <v>288</v>
      </c>
      <c r="T38" s="1083"/>
      <c r="U38" s="1083"/>
      <c r="V38" s="1083"/>
      <c r="W38" s="1083"/>
      <c r="X38" s="1083"/>
      <c r="Y38" s="1083"/>
      <c r="Z38" s="1083"/>
      <c r="AA38" s="1083"/>
      <c r="AB38" s="1083"/>
      <c r="AC38" s="1083"/>
      <c r="AD38" s="1083"/>
      <c r="AE38" s="1083"/>
      <c r="AF38" s="1083"/>
      <c r="AG38" s="1083"/>
      <c r="AH38" s="1083"/>
      <c r="AI38" s="1083"/>
      <c r="AJ38" s="1083"/>
      <c r="AK38" s="1083"/>
      <c r="AL38" s="1083"/>
      <c r="AM38" s="1083" t="s">
        <v>289</v>
      </c>
    </row>
    <row r="39" spans="1:44" ht="14.25" customHeight="1">
      <c r="Q39" s="27"/>
      <c r="R39" s="27"/>
      <c r="S39" s="1297" t="s">
        <v>88</v>
      </c>
      <c r="T39" s="1168" t="s">
        <v>486</v>
      </c>
      <c r="U39" s="171"/>
      <c r="V39" s="1298" t="s">
        <v>487</v>
      </c>
      <c r="W39" s="1299"/>
      <c r="X39" s="1299"/>
      <c r="Y39" s="1299"/>
      <c r="Z39" s="1299"/>
      <c r="AA39" s="1299"/>
      <c r="AB39" s="1300"/>
      <c r="AC39" s="1301" t="s">
        <v>488</v>
      </c>
      <c r="AD39" s="1298" t="s">
        <v>487</v>
      </c>
      <c r="AE39" s="1299"/>
      <c r="AF39" s="1299"/>
      <c r="AG39" s="1299"/>
      <c r="AH39" s="1299"/>
      <c r="AI39" s="1299"/>
      <c r="AJ39" s="1300"/>
      <c r="AK39" s="1301" t="s">
        <v>489</v>
      </c>
      <c r="AL39" s="1304" t="s">
        <v>490</v>
      </c>
      <c r="AM39" s="1083"/>
    </row>
    <row r="40" spans="1:44" ht="33.75" customHeight="1">
      <c r="Q40" s="27"/>
      <c r="R40" s="27"/>
      <c r="S40" s="1297"/>
      <c r="T40" s="1168"/>
      <c r="U40" s="626"/>
      <c r="V40" s="1137" t="s">
        <v>491</v>
      </c>
      <c r="W40" s="1293" t="s">
        <v>492</v>
      </c>
      <c r="X40" s="1065" t="s">
        <v>493</v>
      </c>
      <c r="Y40" s="1064"/>
      <c r="Z40" s="1065" t="s">
        <v>512</v>
      </c>
      <c r="AA40" s="1070"/>
      <c r="AB40" s="1064"/>
      <c r="AC40" s="1302"/>
      <c r="AD40" s="1137" t="s">
        <v>491</v>
      </c>
      <c r="AE40" s="1293" t="s">
        <v>492</v>
      </c>
      <c r="AF40" s="1065" t="s">
        <v>493</v>
      </c>
      <c r="AG40" s="1064"/>
      <c r="AH40" s="1065" t="s">
        <v>494</v>
      </c>
      <c r="AI40" s="1070"/>
      <c r="AJ40" s="1064"/>
      <c r="AK40" s="1302"/>
      <c r="AL40" s="1305"/>
      <c r="AM40" s="1083"/>
    </row>
    <row r="41" spans="1:44" ht="33.75" customHeight="1">
      <c r="A41" s="79"/>
      <c r="B41" s="79" t="s">
        <v>137</v>
      </c>
      <c r="C41" s="79" t="s">
        <v>138</v>
      </c>
      <c r="D41" s="79" t="s">
        <v>139</v>
      </c>
      <c r="E41" s="799" t="s">
        <v>495</v>
      </c>
      <c r="F41" s="799" t="s">
        <v>496</v>
      </c>
      <c r="G41" s="799" t="s">
        <v>497</v>
      </c>
      <c r="H41" s="799" t="s">
        <v>498</v>
      </c>
      <c r="I41" s="799" t="s">
        <v>499</v>
      </c>
      <c r="J41" s="799" t="s">
        <v>500</v>
      </c>
      <c r="K41" s="799" t="s">
        <v>501</v>
      </c>
      <c r="L41" s="799" t="s">
        <v>476</v>
      </c>
      <c r="Q41" s="27"/>
      <c r="R41" s="27"/>
      <c r="S41" s="1297"/>
      <c r="T41" s="1168"/>
      <c r="U41" s="172"/>
      <c r="V41" s="1193"/>
      <c r="W41" s="1294"/>
      <c r="X41" s="37" t="s">
        <v>502</v>
      </c>
      <c r="Y41" s="37" t="s">
        <v>503</v>
      </c>
      <c r="Z41" s="37" t="s">
        <v>504</v>
      </c>
      <c r="AA41" s="1174" t="s">
        <v>505</v>
      </c>
      <c r="AB41" s="1188"/>
      <c r="AC41" s="1303"/>
      <c r="AD41" s="1193"/>
      <c r="AE41" s="1294"/>
      <c r="AF41" s="37" t="s">
        <v>502</v>
      </c>
      <c r="AG41" s="37" t="s">
        <v>503</v>
      </c>
      <c r="AH41" s="37" t="s">
        <v>504</v>
      </c>
      <c r="AI41" s="1174" t="s">
        <v>505</v>
      </c>
      <c r="AJ41" s="1188"/>
      <c r="AK41" s="1303"/>
      <c r="AL41" s="1306"/>
      <c r="AM41" s="1083"/>
    </row>
    <row r="42" spans="1:44" s="209" customFormat="1" ht="11.25" hidden="1" customHeight="1">
      <c r="A42" s="79"/>
      <c r="B42" s="79"/>
      <c r="C42" s="79"/>
      <c r="D42" s="79"/>
      <c r="E42" s="79"/>
      <c r="F42" s="79"/>
      <c r="G42" s="79"/>
      <c r="H42" s="79"/>
      <c r="I42" s="79"/>
      <c r="J42" s="79"/>
      <c r="K42" s="79"/>
      <c r="L42" s="799"/>
      <c r="M42" s="522"/>
      <c r="N42" s="522"/>
      <c r="O42" s="522"/>
      <c r="P42" s="743"/>
      <c r="Q42" s="744"/>
      <c r="R42" s="752">
        <v>1</v>
      </c>
      <c r="S42" s="771" t="s">
        <v>110</v>
      </c>
      <c r="T42" s="753" t="s">
        <v>111</v>
      </c>
      <c r="U42" s="742" t="str">
        <f ca="1">OFFSET(U42,0,-1)</f>
        <v>2</v>
      </c>
      <c r="V42" s="754">
        <f ca="1">OFFSET(V42,0,-1)+1</f>
        <v>3</v>
      </c>
      <c r="W42" s="754"/>
      <c r="X42" s="754">
        <f ca="1">OFFSET(X42,0,-1)+1</f>
        <v>1</v>
      </c>
      <c r="Y42" s="754">
        <f ca="1">OFFSET(Y42,0,-1)+1</f>
        <v>2</v>
      </c>
      <c r="Z42" s="754">
        <f ca="1">OFFSET(Z42,0,-1)+1</f>
        <v>3</v>
      </c>
      <c r="AA42" s="1295">
        <f ca="1">OFFSET(AA42,0,-1)+1</f>
        <v>4</v>
      </c>
      <c r="AB42" s="1295"/>
      <c r="AC42" s="754">
        <f ca="1">OFFSET(AC42,0,-2)+1</f>
        <v>5</v>
      </c>
      <c r="AD42" s="754">
        <f ca="1">OFFSET(AD42,0,-1)+1</f>
        <v>6</v>
      </c>
      <c r="AE42" s="754"/>
      <c r="AF42" s="754">
        <f ca="1">OFFSET(AF42,0,-1)+1</f>
        <v>1</v>
      </c>
      <c r="AG42" s="754">
        <f ca="1">OFFSET(AG42,0,-1)+1</f>
        <v>2</v>
      </c>
      <c r="AH42" s="754">
        <f ca="1">OFFSET(AH42,0,-1)+1</f>
        <v>3</v>
      </c>
      <c r="AI42" s="1295">
        <f ca="1">OFFSET(AI42,0,-1)+1</f>
        <v>4</v>
      </c>
      <c r="AJ42" s="1295"/>
      <c r="AK42" s="754">
        <f ca="1">OFFSET(AK42,0,-2)+1</f>
        <v>5</v>
      </c>
      <c r="AL42" s="742">
        <f ca="1">OFFSET(AL42,0,-1)</f>
        <v>5</v>
      </c>
      <c r="AM42" s="754">
        <f ca="1">OFFSET(AM42,0,-1)+1</f>
        <v>6</v>
      </c>
      <c r="AN42" s="65"/>
      <c r="AO42" s="65"/>
      <c r="AP42" s="65"/>
      <c r="AQ42" s="65"/>
      <c r="AR42" s="65"/>
    </row>
    <row r="43" spans="1:44" ht="21" customHeight="1">
      <c r="A43" s="798" t="s">
        <v>164</v>
      </c>
      <c r="B43" s="798"/>
      <c r="C43" s="798"/>
      <c r="D43" s="798"/>
      <c r="E43" s="1285">
        <v>1</v>
      </c>
      <c r="F43" s="798"/>
      <c r="G43" s="798"/>
      <c r="H43" s="798"/>
      <c r="I43" s="798"/>
      <c r="J43" s="798"/>
      <c r="K43" s="798"/>
      <c r="L43" s="799"/>
      <c r="M43" s="435"/>
      <c r="N43" s="435"/>
      <c r="O43" s="435"/>
      <c r="Q43" s="2"/>
      <c r="R43" s="213"/>
      <c r="S43" s="730">
        <f>INDEX(PT_DIFFERENTIATION_NUM_NTAR,MATCH(A43,PT_DIFFERENTIATION_NTAR_ID,0))</f>
        <v>0</v>
      </c>
      <c r="T43" s="64" t="s">
        <v>125</v>
      </c>
      <c r="U43" s="170"/>
      <c r="V43" s="1279"/>
      <c r="W43" s="1280"/>
      <c r="X43" s="1280"/>
      <c r="Y43" s="1280"/>
      <c r="Z43" s="1280"/>
      <c r="AA43" s="1280"/>
      <c r="AB43" s="1280"/>
      <c r="AC43" s="1281"/>
      <c r="AD43" s="1279" t="str">
        <f>INDEX(PT_DIFFERENTIATION_NTAR,MATCH(A43,PT_DIFFERENTIATION_NTAR_ID,0))</f>
        <v/>
      </c>
      <c r="AE43" s="1280"/>
      <c r="AF43" s="1280"/>
      <c r="AG43" s="1280"/>
      <c r="AH43" s="1280"/>
      <c r="AI43" s="1280"/>
      <c r="AJ43" s="1280"/>
      <c r="AK43" s="1280"/>
      <c r="AL43" s="1281"/>
      <c r="AM43" s="7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8" t="s">
        <v>164</v>
      </c>
      <c r="B44" s="798" t="s">
        <v>165</v>
      </c>
      <c r="C44" s="798"/>
      <c r="D44" s="798"/>
      <c r="E44" s="1286"/>
      <c r="F44" s="1285">
        <v>1</v>
      </c>
      <c r="G44" s="798"/>
      <c r="H44" s="798"/>
      <c r="I44" s="798"/>
      <c r="J44" s="798"/>
      <c r="K44" s="798"/>
      <c r="L44" s="799"/>
      <c r="M44" s="435"/>
      <c r="N44" s="435"/>
      <c r="O44" s="435"/>
      <c r="P44" s="56"/>
      <c r="Q44" s="210"/>
      <c r="R44" s="211"/>
      <c r="S44" s="730" t="str">
        <f>INDEX(PT_DIFFERENTIATION_NUM_TER,MATCH(B44,PT_DIFFERENTIATION_TER_ID,0))</f>
        <v>.</v>
      </c>
      <c r="T44" s="178" t="s">
        <v>458</v>
      </c>
      <c r="U44" s="170"/>
      <c r="V44" s="1279"/>
      <c r="W44" s="1280"/>
      <c r="X44" s="1280"/>
      <c r="Y44" s="1280"/>
      <c r="Z44" s="1280"/>
      <c r="AA44" s="1280"/>
      <c r="AB44" s="1280"/>
      <c r="AC44" s="1281"/>
      <c r="AD44" s="1279" t="str">
        <f>INDEX(PT_DIFFERENTIATION_TER,MATCH(B44,PT_DIFFERENTIATION_TER_ID,0))</f>
        <v/>
      </c>
      <c r="AE44" s="1280"/>
      <c r="AF44" s="1280"/>
      <c r="AG44" s="1280"/>
      <c r="AH44" s="1280"/>
      <c r="AI44" s="1280"/>
      <c r="AJ44" s="1280"/>
      <c r="AK44" s="1280"/>
      <c r="AL44" s="1281"/>
      <c r="AM44" s="758" t="s">
        <v>459</v>
      </c>
      <c r="AO44" s="66"/>
      <c r="AP44" s="66" t="str">
        <f t="shared" si="1"/>
        <v>Территория действия тарифа</v>
      </c>
      <c r="AQ44" s="66"/>
      <c r="AR44" s="66"/>
    </row>
    <row r="45" spans="1:44" ht="23.25" customHeight="1">
      <c r="A45" s="798" t="s">
        <v>164</v>
      </c>
      <c r="B45" s="798" t="s">
        <v>165</v>
      </c>
      <c r="C45" s="798" t="s">
        <v>166</v>
      </c>
      <c r="D45" s="798"/>
      <c r="E45" s="1286"/>
      <c r="F45" s="1286"/>
      <c r="G45" s="1285">
        <v>1</v>
      </c>
      <c r="H45" s="798"/>
      <c r="I45" s="798"/>
      <c r="J45" s="798"/>
      <c r="K45" s="798"/>
      <c r="L45" s="799"/>
      <c r="M45" s="435"/>
      <c r="N45" s="435"/>
      <c r="O45" s="435"/>
      <c r="P45" s="212"/>
      <c r="Q45" s="210"/>
      <c r="R45" s="211"/>
      <c r="S45" s="730" t="str">
        <f>INDEX(PT_DIFFERENTIATION_NUM_CS,MATCH(C45,PT_DIFFERENTIATION_CS_ID,0))</f>
        <v>..</v>
      </c>
      <c r="T45" s="179" t="s">
        <v>460</v>
      </c>
      <c r="U45" s="170"/>
      <c r="V45" s="1279"/>
      <c r="W45" s="1280"/>
      <c r="X45" s="1280"/>
      <c r="Y45" s="1280"/>
      <c r="Z45" s="1280"/>
      <c r="AA45" s="1280"/>
      <c r="AB45" s="1280"/>
      <c r="AC45" s="1281"/>
      <c r="AD45" s="1279" t="str">
        <f>INDEX(PT_DIFFERENTIATION_CS,MATCH(C45,PT_DIFFERENTIATION_CS_ID,0))</f>
        <v/>
      </c>
      <c r="AE45" s="1280"/>
      <c r="AF45" s="1280"/>
      <c r="AG45" s="1280"/>
      <c r="AH45" s="1280"/>
      <c r="AI45" s="1280"/>
      <c r="AJ45" s="1280"/>
      <c r="AK45" s="1280"/>
      <c r="AL45" s="1281"/>
      <c r="AM45" s="758" t="s">
        <v>461</v>
      </c>
      <c r="AO45" s="66"/>
      <c r="AP45" s="66" t="str">
        <f t="shared" si="1"/>
        <v xml:space="preserve">Наименование системы теплоснабжения </v>
      </c>
      <c r="AQ45" s="66"/>
      <c r="AR45" s="66"/>
    </row>
    <row r="46" spans="1:44" ht="21" customHeight="1">
      <c r="A46" s="798" t="s">
        <v>164</v>
      </c>
      <c r="B46" s="798" t="s">
        <v>165</v>
      </c>
      <c r="C46" s="798" t="s">
        <v>166</v>
      </c>
      <c r="D46" s="798" t="s">
        <v>167</v>
      </c>
      <c r="E46" s="1286"/>
      <c r="F46" s="1286"/>
      <c r="G46" s="1286"/>
      <c r="H46" s="1285">
        <v>1</v>
      </c>
      <c r="I46" s="798"/>
      <c r="J46" s="798"/>
      <c r="K46" s="798"/>
      <c r="L46" s="799"/>
      <c r="M46" s="435"/>
      <c r="N46" s="435"/>
      <c r="O46" s="435"/>
      <c r="P46" s="212"/>
      <c r="Q46" s="210"/>
      <c r="R46" s="211"/>
      <c r="S46" s="730" t="str">
        <f>INDEX(PT_DIFFERENTIATION_NUM_IST_TE,MATCH(D46,PT_DIFFERENTIATION_IST_TE_ID,0))</f>
        <v>...</v>
      </c>
      <c r="T46" s="180" t="s">
        <v>462</v>
      </c>
      <c r="U46" s="170"/>
      <c r="V46" s="1279"/>
      <c r="W46" s="1280"/>
      <c r="X46" s="1280"/>
      <c r="Y46" s="1280"/>
      <c r="Z46" s="1280"/>
      <c r="AA46" s="1280"/>
      <c r="AB46" s="1280"/>
      <c r="AC46" s="1281"/>
      <c r="AD46" s="1279" t="str">
        <f>INDEX(PT_DIFFERENTIATION_IST_TE,MATCH(D46,PT_DIFFERENTIATION_IST_TE_ID,0))</f>
        <v/>
      </c>
      <c r="AE46" s="1280"/>
      <c r="AF46" s="1280"/>
      <c r="AG46" s="1280"/>
      <c r="AH46" s="1280"/>
      <c r="AI46" s="1280"/>
      <c r="AJ46" s="1280"/>
      <c r="AK46" s="1280"/>
      <c r="AL46" s="1281"/>
      <c r="AM46" s="758" t="s">
        <v>463</v>
      </c>
      <c r="AO46" s="66"/>
      <c r="AP46" s="66" t="str">
        <f t="shared" si="1"/>
        <v xml:space="preserve">Источник тепловой энергии  </v>
      </c>
      <c r="AQ46" s="66"/>
      <c r="AR46" s="66"/>
    </row>
    <row r="47" spans="1:44" ht="47.25" customHeight="1">
      <c r="A47" s="798" t="s">
        <v>164</v>
      </c>
      <c r="B47" s="798" t="s">
        <v>165</v>
      </c>
      <c r="C47" s="798" t="s">
        <v>166</v>
      </c>
      <c r="D47" s="798" t="s">
        <v>167</v>
      </c>
      <c r="E47" s="1286"/>
      <c r="F47" s="1286"/>
      <c r="G47" s="1286"/>
      <c r="H47" s="1286"/>
      <c r="I47" s="1287" t="str">
        <f>S46&amp;".1"</f>
        <v>....1</v>
      </c>
      <c r="J47" s="798"/>
      <c r="K47" s="798"/>
      <c r="L47" s="799" t="s">
        <v>464</v>
      </c>
      <c r="P47" s="1204">
        <v>1</v>
      </c>
      <c r="Q47" s="119"/>
      <c r="R47" s="214"/>
      <c r="S47" s="730" t="str">
        <f>$I47</f>
        <v>....1</v>
      </c>
      <c r="T47" s="163" t="s">
        <v>465</v>
      </c>
      <c r="U47" s="170"/>
      <c r="V47" s="1273"/>
      <c r="W47" s="1274"/>
      <c r="X47" s="1274"/>
      <c r="Y47" s="1274"/>
      <c r="Z47" s="1274"/>
      <c r="AA47" s="1274"/>
      <c r="AB47" s="1274"/>
      <c r="AC47" s="1275"/>
      <c r="AD47" s="1273"/>
      <c r="AE47" s="1274"/>
      <c r="AF47" s="1274"/>
      <c r="AG47" s="1274"/>
      <c r="AH47" s="1274"/>
      <c r="AI47" s="1274"/>
      <c r="AJ47" s="1274"/>
      <c r="AK47" s="1274"/>
      <c r="AL47" s="1275"/>
      <c r="AM47" s="758" t="s">
        <v>466</v>
      </c>
      <c r="AO47" s="66"/>
      <c r="AP47" s="66" t="str">
        <f t="shared" si="1"/>
        <v>Схема подключения теплопотребляющей установки к коллектору источника тепловой энергии</v>
      </c>
      <c r="AQ47" s="66"/>
      <c r="AR47" s="66"/>
    </row>
    <row r="48" spans="1:44" ht="21" customHeight="1">
      <c r="A48" s="798" t="s">
        <v>164</v>
      </c>
      <c r="B48" s="798" t="s">
        <v>165</v>
      </c>
      <c r="C48" s="798" t="s">
        <v>166</v>
      </c>
      <c r="D48" s="798" t="s">
        <v>167</v>
      </c>
      <c r="E48" s="1286"/>
      <c r="F48" s="1286"/>
      <c r="G48" s="1286"/>
      <c r="H48" s="1286"/>
      <c r="I48" s="1288"/>
      <c r="J48" s="1287" t="str">
        <f>I47&amp;".1"</f>
        <v>....1.1</v>
      </c>
      <c r="K48" s="798"/>
      <c r="L48" s="799" t="s">
        <v>467</v>
      </c>
      <c r="P48" s="1204"/>
      <c r="Q48" s="1204">
        <v>1</v>
      </c>
      <c r="R48" s="215"/>
      <c r="S48" s="730" t="str">
        <f>$J48</f>
        <v>....1.1</v>
      </c>
      <c r="T48" s="164" t="s">
        <v>468</v>
      </c>
      <c r="U48" s="170"/>
      <c r="V48" s="1273"/>
      <c r="W48" s="1274"/>
      <c r="X48" s="1274"/>
      <c r="Y48" s="1274"/>
      <c r="Z48" s="1274"/>
      <c r="AA48" s="1274"/>
      <c r="AB48" s="1274"/>
      <c r="AC48" s="1275"/>
      <c r="AD48" s="1273"/>
      <c r="AE48" s="1274"/>
      <c r="AF48" s="1274"/>
      <c r="AG48" s="1274"/>
      <c r="AH48" s="1274"/>
      <c r="AI48" s="1274"/>
      <c r="AJ48" s="1274"/>
      <c r="AK48" s="1274"/>
      <c r="AL48" s="1275"/>
      <c r="AM48" s="758" t="s">
        <v>469</v>
      </c>
      <c r="AO48" s="66"/>
      <c r="AP48" s="66" t="str">
        <f t="shared" si="1"/>
        <v>Группа потребителей</v>
      </c>
      <c r="AQ48" s="66"/>
      <c r="AR48" s="66"/>
    </row>
    <row r="49" spans="1:44" ht="21" customHeight="1">
      <c r="A49" s="798" t="s">
        <v>164</v>
      </c>
      <c r="B49" s="798" t="s">
        <v>165</v>
      </c>
      <c r="C49" s="798" t="s">
        <v>166</v>
      </c>
      <c r="D49" s="798" t="s">
        <v>167</v>
      </c>
      <c r="E49" s="1286"/>
      <c r="F49" s="1286"/>
      <c r="G49" s="1286"/>
      <c r="H49" s="1286"/>
      <c r="I49" s="1288"/>
      <c r="J49" s="1288"/>
      <c r="K49" s="1287" t="str">
        <f>J48&amp;".1"</f>
        <v>....1.1.1</v>
      </c>
      <c r="L49" s="799" t="s">
        <v>470</v>
      </c>
      <c r="P49" s="1204"/>
      <c r="Q49" s="1204"/>
      <c r="R49" s="215">
        <v>1</v>
      </c>
      <c r="S49" s="730" t="str">
        <f>$K49</f>
        <v>....1.1.1</v>
      </c>
      <c r="T49" s="794"/>
      <c r="U49" s="170"/>
      <c r="V49" s="317"/>
      <c r="W49" s="196"/>
      <c r="X49" s="317"/>
      <c r="Y49" s="757"/>
      <c r="Z49" s="1289"/>
      <c r="AA49" s="1093" t="s">
        <v>59</v>
      </c>
      <c r="AB49" s="1289"/>
      <c r="AC49" s="1093" t="s">
        <v>59</v>
      </c>
      <c r="AD49" s="317"/>
      <c r="AE49" s="196"/>
      <c r="AF49" s="317"/>
      <c r="AG49" s="757"/>
      <c r="AH49" s="1289"/>
      <c r="AI49" s="1093" t="s">
        <v>59</v>
      </c>
      <c r="AJ49" s="1291"/>
      <c r="AK49" s="1093" t="s">
        <v>59</v>
      </c>
      <c r="AL49" s="795"/>
      <c r="AM49" s="1307" t="s">
        <v>471</v>
      </c>
      <c r="AN49" s="65" t="e">
        <f ca="1">STRCHECKDATE(V50:AL50)</f>
        <v>#NAME?</v>
      </c>
      <c r="AO49" s="66"/>
      <c r="AP49" s="66" t="str">
        <f t="shared" si="1"/>
        <v/>
      </c>
      <c r="AQ49" s="66"/>
      <c r="AR49" s="66"/>
    </row>
    <row r="50" spans="1:44" ht="0.75" customHeight="1">
      <c r="A50" s="798" t="s">
        <v>164</v>
      </c>
      <c r="B50" s="798" t="s">
        <v>165</v>
      </c>
      <c r="C50" s="798" t="s">
        <v>166</v>
      </c>
      <c r="D50" s="798" t="s">
        <v>167</v>
      </c>
      <c r="E50" s="1286"/>
      <c r="F50" s="1286"/>
      <c r="G50" s="1286"/>
      <c r="H50" s="1286"/>
      <c r="I50" s="1288"/>
      <c r="J50" s="1288"/>
      <c r="K50" s="1287"/>
      <c r="L50" s="799"/>
      <c r="P50" s="1204"/>
      <c r="Q50" s="1204"/>
      <c r="R50" s="215"/>
      <c r="S50" s="62"/>
      <c r="T50" s="170"/>
      <c r="U50" s="170"/>
      <c r="V50" s="196"/>
      <c r="W50" s="196"/>
      <c r="X50" s="196"/>
      <c r="Y50" s="198" t="str">
        <f>Z49&amp;"-"&amp;AB49</f>
        <v>-</v>
      </c>
      <c r="Z50" s="1290"/>
      <c r="AA50" s="1093"/>
      <c r="AB50" s="1290"/>
      <c r="AC50" s="1093"/>
      <c r="AD50" s="196"/>
      <c r="AE50" s="196"/>
      <c r="AF50" s="196"/>
      <c r="AG50" s="198" t="str">
        <f>AH49&amp;"-"&amp;AJ49</f>
        <v>-</v>
      </c>
      <c r="AH50" s="1290"/>
      <c r="AI50" s="1093"/>
      <c r="AJ50" s="1292"/>
      <c r="AK50" s="1093"/>
      <c r="AL50" s="796"/>
      <c r="AM50" s="1308"/>
      <c r="AO50" s="66"/>
      <c r="AP50" s="66" t="str">
        <f t="shared" si="1"/>
        <v/>
      </c>
      <c r="AQ50" s="66"/>
      <c r="AR50" s="66"/>
    </row>
    <row r="51" spans="1:44" ht="11.25" customHeight="1">
      <c r="A51" s="798" t="s">
        <v>164</v>
      </c>
      <c r="B51" s="798" t="s">
        <v>165</v>
      </c>
      <c r="C51" s="798" t="s">
        <v>166</v>
      </c>
      <c r="D51" s="798" t="s">
        <v>167</v>
      </c>
      <c r="E51" s="1286"/>
      <c r="F51" s="1286"/>
      <c r="G51" s="1286"/>
      <c r="H51" s="1286"/>
      <c r="I51" s="1288"/>
      <c r="J51" s="1287"/>
      <c r="K51" s="798"/>
      <c r="L51" s="799"/>
      <c r="P51" s="1204"/>
      <c r="Q51" s="1204"/>
      <c r="R51" s="214"/>
      <c r="S51" s="772"/>
      <c r="T51" s="166" t="s">
        <v>472</v>
      </c>
      <c r="U51" s="221"/>
      <c r="V51" s="221"/>
      <c r="W51" s="221"/>
      <c r="X51" s="221"/>
      <c r="Y51" s="221"/>
      <c r="Z51" s="221"/>
      <c r="AA51" s="221"/>
      <c r="AB51" s="221"/>
      <c r="AC51" s="221"/>
      <c r="AD51" s="221"/>
      <c r="AE51" s="221"/>
      <c r="AF51" s="221"/>
      <c r="AG51" s="221"/>
      <c r="AH51" s="221"/>
      <c r="AI51" s="221"/>
      <c r="AJ51" s="221"/>
      <c r="AK51" s="221"/>
      <c r="AL51" s="195"/>
      <c r="AM51" s="1309"/>
      <c r="AO51" s="66"/>
      <c r="AP51" s="66" t="str">
        <f t="shared" si="1"/>
        <v>Добавить вид теплоносителя (параметры теплоносителя)</v>
      </c>
      <c r="AQ51" s="66"/>
      <c r="AR51" s="66"/>
    </row>
    <row r="52" spans="1:44" ht="11.25" customHeight="1">
      <c r="A52" s="798" t="s">
        <v>164</v>
      </c>
      <c r="B52" s="798" t="s">
        <v>165</v>
      </c>
      <c r="C52" s="798" t="s">
        <v>166</v>
      </c>
      <c r="D52" s="798" t="s">
        <v>167</v>
      </c>
      <c r="E52" s="1286"/>
      <c r="F52" s="1286"/>
      <c r="G52" s="1286"/>
      <c r="H52" s="1286"/>
      <c r="I52" s="1287"/>
      <c r="J52" s="798"/>
      <c r="K52" s="798"/>
      <c r="L52" s="799"/>
      <c r="P52" s="1204"/>
      <c r="Q52" s="119"/>
      <c r="R52" s="214"/>
      <c r="S52" s="772"/>
      <c r="T52" s="165" t="s">
        <v>473</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8" t="s">
        <v>164</v>
      </c>
      <c r="B53" s="798" t="s">
        <v>165</v>
      </c>
      <c r="C53" s="798" t="s">
        <v>166</v>
      </c>
      <c r="D53" s="798" t="s">
        <v>167</v>
      </c>
      <c r="E53" s="1286"/>
      <c r="F53" s="1286"/>
      <c r="G53" s="1286"/>
      <c r="H53" s="1285"/>
      <c r="I53" s="798"/>
      <c r="J53" s="798"/>
      <c r="K53" s="798"/>
      <c r="L53" s="799"/>
      <c r="M53" s="435"/>
      <c r="N53" s="435"/>
      <c r="O53" s="60"/>
      <c r="P53" s="2"/>
      <c r="Q53" s="224"/>
      <c r="R53" s="213"/>
      <c r="S53" s="772"/>
      <c r="T53" s="219" t="s">
        <v>474</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164</v>
      </c>
      <c r="B54" s="142" t="s">
        <v>165</v>
      </c>
      <c r="C54" s="142" t="s">
        <v>166</v>
      </c>
      <c r="D54" s="142"/>
      <c r="E54" s="1286"/>
      <c r="F54" s="1286"/>
      <c r="G54" s="1285"/>
      <c r="H54" s="142"/>
      <c r="I54" s="142"/>
      <c r="J54" s="142"/>
      <c r="K54" s="142"/>
      <c r="L54" s="357"/>
      <c r="M54" s="304"/>
      <c r="N54" s="304"/>
      <c r="P54" s="101"/>
      <c r="Q54" s="785"/>
      <c r="R54" s="101"/>
      <c r="S54" s="790"/>
      <c r="T54" s="792" t="s">
        <v>431</v>
      </c>
      <c r="U54" s="324"/>
      <c r="V54" s="324"/>
      <c r="W54" s="324"/>
      <c r="X54" s="324"/>
      <c r="Y54" s="324"/>
      <c r="Z54" s="324"/>
      <c r="AA54" s="324"/>
      <c r="AB54" s="324"/>
      <c r="AC54" s="324"/>
      <c r="AD54" s="324"/>
      <c r="AE54" s="324"/>
      <c r="AF54" s="324"/>
      <c r="AG54" s="324"/>
      <c r="AH54" s="324"/>
      <c r="AI54" s="324"/>
      <c r="AJ54" s="324"/>
      <c r="AK54" s="324"/>
      <c r="AL54" s="324"/>
      <c r="AM54" s="324"/>
      <c r="AO54" s="66"/>
      <c r="AP54" s="66" t="str">
        <f t="shared" si="1"/>
        <v>Добавить источник для дифференциации</v>
      </c>
      <c r="AQ54" s="66"/>
      <c r="AR54" s="66"/>
    </row>
    <row r="55" spans="1:44" s="65" customFormat="1" ht="0.75" customHeight="1">
      <c r="A55" s="142" t="s">
        <v>164</v>
      </c>
      <c r="B55" s="142" t="s">
        <v>165</v>
      </c>
      <c r="C55" s="142"/>
      <c r="D55" s="142"/>
      <c r="E55" s="1286"/>
      <c r="F55" s="1285"/>
      <c r="G55" s="142"/>
      <c r="H55" s="142"/>
      <c r="I55" s="142"/>
      <c r="J55" s="142"/>
      <c r="K55" s="142"/>
      <c r="L55" s="357"/>
      <c r="M55" s="789"/>
      <c r="N55" s="789"/>
      <c r="P55" s="101"/>
      <c r="Q55" s="785"/>
      <c r="R55" s="101"/>
      <c r="S55" s="790"/>
      <c r="T55" s="792" t="s">
        <v>432</v>
      </c>
      <c r="U55" s="324"/>
      <c r="V55" s="324"/>
      <c r="W55" s="324"/>
      <c r="X55" s="324"/>
      <c r="Y55" s="324"/>
      <c r="Z55" s="324"/>
      <c r="AA55" s="324"/>
      <c r="AB55" s="324"/>
      <c r="AC55" s="324"/>
      <c r="AD55" s="324"/>
      <c r="AE55" s="324"/>
      <c r="AF55" s="324"/>
      <c r="AG55" s="324"/>
      <c r="AH55" s="324"/>
      <c r="AI55" s="324"/>
      <c r="AJ55" s="324"/>
      <c r="AK55" s="324"/>
      <c r="AL55" s="324"/>
      <c r="AM55" s="324"/>
      <c r="AO55" s="66"/>
      <c r="AP55" s="66" t="str">
        <f t="shared" si="1"/>
        <v>Добавить централизованную систему для дифференциации</v>
      </c>
      <c r="AQ55" s="66"/>
      <c r="AR55" s="66"/>
    </row>
    <row r="56" spans="1:44" s="65" customFormat="1" ht="0.75" customHeight="1">
      <c r="A56" s="142" t="s">
        <v>164</v>
      </c>
      <c r="B56" s="142"/>
      <c r="C56" s="142"/>
      <c r="D56" s="142"/>
      <c r="E56" s="1285"/>
      <c r="F56" s="142"/>
      <c r="G56" s="142"/>
      <c r="H56" s="142"/>
      <c r="I56" s="142"/>
      <c r="J56" s="142"/>
      <c r="K56" s="142"/>
      <c r="L56" s="357"/>
      <c r="M56" s="789"/>
      <c r="N56" s="789"/>
      <c r="P56" s="101"/>
      <c r="Q56" s="785"/>
      <c r="R56" s="101"/>
      <c r="S56" s="790"/>
      <c r="T56" s="792" t="s">
        <v>433</v>
      </c>
      <c r="U56" s="324"/>
      <c r="V56" s="324"/>
      <c r="W56" s="324"/>
      <c r="X56" s="324"/>
      <c r="Y56" s="324"/>
      <c r="Z56" s="324"/>
      <c r="AA56" s="324"/>
      <c r="AB56" s="324"/>
      <c r="AC56" s="324"/>
      <c r="AD56" s="324"/>
      <c r="AE56" s="324"/>
      <c r="AF56" s="324"/>
      <c r="AG56" s="324"/>
      <c r="AH56" s="324"/>
      <c r="AI56" s="324"/>
      <c r="AJ56" s="324"/>
      <c r="AK56" s="324"/>
      <c r="AL56" s="324"/>
      <c r="AM56" s="324"/>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7"/>
      <c r="M57" s="789"/>
      <c r="N57" s="789"/>
      <c r="P57" s="101"/>
      <c r="Q57" s="785"/>
      <c r="R57" s="101"/>
      <c r="S57" s="790"/>
      <c r="T57" s="792" t="s">
        <v>434</v>
      </c>
      <c r="U57" s="324"/>
      <c r="V57" s="324"/>
      <c r="W57" s="324"/>
      <c r="X57" s="324"/>
      <c r="Y57" s="324"/>
      <c r="Z57" s="324"/>
      <c r="AA57" s="324"/>
      <c r="AB57" s="324"/>
      <c r="AC57" s="324"/>
      <c r="AD57" s="324"/>
      <c r="AE57" s="324"/>
      <c r="AF57" s="324"/>
      <c r="AG57" s="324"/>
      <c r="AH57" s="324"/>
      <c r="AI57" s="324"/>
      <c r="AJ57" s="324"/>
      <c r="AK57" s="324"/>
      <c r="AL57" s="324"/>
      <c r="AM57" s="324"/>
      <c r="AO57" s="66"/>
      <c r="AP57" s="66" t="str">
        <f t="shared" si="1"/>
        <v>Добавить наименование тарифа</v>
      </c>
      <c r="AQ57" s="66"/>
      <c r="AR57" s="66"/>
    </row>
    <row r="58" spans="1:44" ht="11.25" hidden="1" customHeight="1">
      <c r="M58" s="60"/>
      <c r="N58" s="60"/>
      <c r="O58" s="60"/>
      <c r="P58" s="9"/>
      <c r="Q58" s="9"/>
      <c r="R58" s="9"/>
      <c r="S58" s="9"/>
      <c r="AN58" s="9"/>
      <c r="AO58" s="9"/>
      <c r="AP58" s="9"/>
      <c r="AQ58" s="9"/>
      <c r="AR58" s="9"/>
    </row>
    <row r="59" spans="1:44" ht="27" hidden="1" customHeight="1">
      <c r="O59" s="60"/>
      <c r="S59" s="204" t="s">
        <v>506</v>
      </c>
      <c r="T59" s="1284" t="s">
        <v>513</v>
      </c>
      <c r="U59" s="1284"/>
      <c r="V59" s="1284"/>
      <c r="W59" s="1284"/>
      <c r="X59" s="1284"/>
      <c r="Y59" s="1284"/>
      <c r="Z59" s="1284"/>
      <c r="AA59" s="1284"/>
      <c r="AB59" s="1284"/>
      <c r="AC59" s="1284"/>
      <c r="AD59" s="1284"/>
      <c r="AE59" s="1284"/>
      <c r="AF59" s="1284"/>
      <c r="AG59" s="1284"/>
      <c r="AH59" s="1284"/>
      <c r="AI59" s="1284"/>
      <c r="AJ59" s="1284"/>
      <c r="AK59" s="1284"/>
      <c r="AL59" s="1284"/>
      <c r="AM59" s="1284"/>
    </row>
    <row r="60" spans="1:44" ht="62.25" hidden="1" customHeight="1">
      <c r="O60" s="60"/>
      <c r="T60" s="1284" t="s">
        <v>508</v>
      </c>
      <c r="U60" s="1284"/>
      <c r="V60" s="1284"/>
      <c r="W60" s="1284"/>
      <c r="X60" s="1284"/>
      <c r="Y60" s="1284"/>
      <c r="Z60" s="1284"/>
      <c r="AA60" s="1284"/>
      <c r="AB60" s="1284"/>
      <c r="AC60" s="1284"/>
      <c r="AD60" s="1284"/>
      <c r="AE60" s="1284"/>
      <c r="AF60" s="1284"/>
      <c r="AG60" s="1284"/>
      <c r="AH60" s="1284"/>
      <c r="AI60" s="1284"/>
      <c r="AJ60" s="1284"/>
      <c r="AK60" s="1284"/>
      <c r="AL60" s="1284"/>
      <c r="AM60" s="1284"/>
    </row>
    <row r="61" spans="1:44" ht="14.25" hidden="1" customHeight="1">
      <c r="O61" s="60"/>
    </row>
    <row r="62" spans="1:44" ht="18" hidden="1" customHeight="1">
      <c r="O62" s="60"/>
      <c r="S62" s="204" t="s">
        <v>506</v>
      </c>
      <c r="T62" s="1284" t="s">
        <v>509</v>
      </c>
      <c r="U62" s="1284"/>
      <c r="V62" s="1284"/>
      <c r="W62" s="1284"/>
      <c r="X62" s="1284"/>
      <c r="Y62" s="1284"/>
      <c r="Z62" s="1284"/>
      <c r="AA62" s="1284"/>
      <c r="AB62" s="1284"/>
      <c r="AC62" s="1284"/>
      <c r="AD62" s="1284"/>
      <c r="AE62" s="1284"/>
      <c r="AF62" s="1284"/>
      <c r="AG62" s="1284"/>
      <c r="AH62" s="1284"/>
      <c r="AI62" s="1284"/>
      <c r="AJ62" s="1284"/>
      <c r="AK62" s="1284"/>
      <c r="AL62" s="1284"/>
      <c r="AM62" s="1284"/>
    </row>
    <row r="63" spans="1:44" ht="18" hidden="1" customHeight="1">
      <c r="O63" s="60"/>
      <c r="T63" s="1284" t="s">
        <v>510</v>
      </c>
      <c r="U63" s="1284"/>
      <c r="V63" s="1284"/>
      <c r="W63" s="1284"/>
      <c r="X63" s="1284"/>
      <c r="Y63" s="1284"/>
      <c r="Z63" s="1284"/>
      <c r="AA63" s="1284"/>
      <c r="AB63" s="1284"/>
      <c r="AC63" s="1284"/>
      <c r="AD63" s="1284"/>
      <c r="AE63" s="1284"/>
      <c r="AF63" s="1284"/>
      <c r="AG63" s="1284"/>
      <c r="AH63" s="1284"/>
      <c r="AI63" s="1284"/>
      <c r="AJ63" s="1284"/>
      <c r="AK63" s="1284"/>
      <c r="AL63" s="1284"/>
      <c r="AM63" s="1284"/>
    </row>
    <row r="64" spans="1:44" ht="27.75" hidden="1" customHeight="1">
      <c r="O64" s="60"/>
      <c r="S64" s="204"/>
      <c r="T64" s="1284" t="s">
        <v>511</v>
      </c>
      <c r="U64" s="1284"/>
      <c r="V64" s="1284"/>
      <c r="W64" s="1284"/>
      <c r="X64" s="1284"/>
      <c r="Y64" s="1284"/>
      <c r="Z64" s="1284"/>
      <c r="AA64" s="1284"/>
      <c r="AB64" s="1284"/>
      <c r="AC64" s="1284"/>
      <c r="AD64" s="1284"/>
      <c r="AE64" s="1284"/>
      <c r="AF64" s="1284"/>
      <c r="AG64" s="1284"/>
      <c r="AH64" s="1284"/>
      <c r="AI64" s="1284"/>
      <c r="AJ64" s="1284"/>
      <c r="AK64" s="1284"/>
      <c r="AL64" s="1284"/>
      <c r="AM64" s="1284"/>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D00-000000000000}">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D00-000001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D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D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D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D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D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D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CA808-239C-3F65-13FC-B79529EB4391}">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2" style="9" customWidth="1"/>
    <col min="21" max="22" width="0.140625" style="9" customWidth="1"/>
    <col min="23" max="23" width="24.7109375" style="9" hidden="1" customWidth="1"/>
    <col min="24" max="25" width="0.14062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0.140625" style="9" customWidth="1"/>
    <col min="31" max="31" width="24.7109375" style="9" customWidth="1"/>
    <col min="32" max="33" width="0.14062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0"/>
      <c r="AC2" s="1281"/>
      <c r="AD2" s="1279" t="e">
        <f>INDEX(PT_DIFFERENTIATION_NTAR,MATCH(A2,PT_DIFFERENTIATION_NTAR_ID,0))</f>
        <v>#N/A</v>
      </c>
      <c r="AE2" s="1280"/>
      <c r="AF2" s="1280"/>
      <c r="AG2" s="1280"/>
      <c r="AH2" s="1280"/>
      <c r="AI2" s="1280"/>
      <c r="AJ2" s="1280"/>
      <c r="AK2" s="1280"/>
      <c r="AL2" s="1281"/>
      <c r="AM2" s="758" t="s">
        <v>457</v>
      </c>
      <c r="AO2" s="66"/>
      <c r="AP2" s="66" t="str">
        <f t="shared" ref="AP2:AP15" si="0">IF(T2="","",T2)</f>
        <v>Наименование тарифа</v>
      </c>
      <c r="AQ2" s="66"/>
      <c r="AR2" s="66"/>
    </row>
    <row r="3" spans="1:44" ht="21"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0"/>
      <c r="AC3" s="1281"/>
      <c r="AD3" s="1279" t="e">
        <f>INDEX(PT_DIFFERENTIATION_TER,MATCH(B3,PT_DIFFERENTIATION_TER_ID,0))</f>
        <v>#N/A</v>
      </c>
      <c r="AE3" s="1280"/>
      <c r="AF3" s="1280"/>
      <c r="AG3" s="1280"/>
      <c r="AH3" s="1280"/>
      <c r="AI3" s="1280"/>
      <c r="AJ3" s="1280"/>
      <c r="AK3" s="1280"/>
      <c r="AL3" s="1281"/>
      <c r="AM3" s="758" t="s">
        <v>459</v>
      </c>
      <c r="AO3" s="66"/>
      <c r="AP3" s="66" t="str">
        <f t="shared" si="0"/>
        <v>Территория действия тарифа</v>
      </c>
      <c r="AQ3" s="66"/>
      <c r="AR3" s="66"/>
    </row>
    <row r="4" spans="1:44"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460</v>
      </c>
      <c r="U4" s="170"/>
      <c r="V4" s="1279"/>
      <c r="W4" s="1280"/>
      <c r="X4" s="1280"/>
      <c r="Y4" s="1280"/>
      <c r="Z4" s="1280"/>
      <c r="AA4" s="1280"/>
      <c r="AB4" s="1280"/>
      <c r="AC4" s="1281"/>
      <c r="AD4" s="1279" t="e">
        <f>INDEX(PT_DIFFERENTIATION_CS,MATCH(C4,PT_DIFFERENTIATION_CS_ID,0))</f>
        <v>#N/A</v>
      </c>
      <c r="AE4" s="1280"/>
      <c r="AF4" s="1280"/>
      <c r="AG4" s="1280"/>
      <c r="AH4" s="1280"/>
      <c r="AI4" s="1280"/>
      <c r="AJ4" s="1280"/>
      <c r="AK4" s="1280"/>
      <c r="AL4" s="1281"/>
      <c r="AM4" s="758" t="s">
        <v>461</v>
      </c>
      <c r="AO4" s="66"/>
      <c r="AP4" s="66" t="str">
        <f t="shared" si="0"/>
        <v xml:space="preserve">Наименование системы теплоснабжения </v>
      </c>
      <c r="AQ4" s="66"/>
      <c r="AR4" s="66"/>
    </row>
    <row r="5" spans="1:44" ht="21" hidden="1" customHeight="1">
      <c r="A5" s="798"/>
      <c r="B5" s="798"/>
      <c r="C5" s="798"/>
      <c r="D5" s="798"/>
      <c r="E5" s="1286"/>
      <c r="F5" s="1286"/>
      <c r="G5" s="1286"/>
      <c r="H5" s="1285">
        <v>1</v>
      </c>
      <c r="I5" s="798"/>
      <c r="J5" s="798"/>
      <c r="K5" s="798"/>
      <c r="L5" s="799"/>
      <c r="M5" s="435"/>
      <c r="N5" s="435"/>
      <c r="O5" s="435"/>
      <c r="P5" s="212"/>
      <c r="Q5" s="210"/>
      <c r="R5" s="211"/>
      <c r="S5" s="730" t="e">
        <f>INDEX(PT_DIFFERENTIATION_NUM_IST_TE,MATCH(D5,PT_DIFFERENTIATION_IST_TE_ID,0))</f>
        <v>#N/A</v>
      </c>
      <c r="T5" s="180" t="s">
        <v>462</v>
      </c>
      <c r="U5" s="170"/>
      <c r="V5" s="1279"/>
      <c r="W5" s="1280"/>
      <c r="X5" s="1280"/>
      <c r="Y5" s="1280"/>
      <c r="Z5" s="1280"/>
      <c r="AA5" s="1280"/>
      <c r="AB5" s="1280"/>
      <c r="AC5" s="1281"/>
      <c r="AD5" s="1279" t="e">
        <f>INDEX(PT_DIFFERENTIATION_IST_TE,MATCH(D5,PT_DIFFERENTIATION_IST_TE_ID,0))</f>
        <v>#N/A</v>
      </c>
      <c r="AE5" s="1280"/>
      <c r="AF5" s="1280"/>
      <c r="AG5" s="1280"/>
      <c r="AH5" s="1280"/>
      <c r="AI5" s="1280"/>
      <c r="AJ5" s="1280"/>
      <c r="AK5" s="1280"/>
      <c r="AL5" s="1281"/>
      <c r="AM5" s="758" t="s">
        <v>463</v>
      </c>
      <c r="AO5" s="66"/>
      <c r="AP5" s="66" t="str">
        <f t="shared" si="0"/>
        <v xml:space="preserve">Источник тепловой энергии  </v>
      </c>
      <c r="AQ5" s="66"/>
      <c r="AR5" s="66"/>
    </row>
    <row r="6" spans="1:44" ht="47.25" hidden="1" customHeight="1">
      <c r="A6" s="798"/>
      <c r="B6" s="798"/>
      <c r="C6" s="798"/>
      <c r="D6" s="798"/>
      <c r="E6" s="1286"/>
      <c r="F6" s="1286"/>
      <c r="G6" s="1286"/>
      <c r="H6" s="1286"/>
      <c r="I6" s="1287" t="e">
        <f>S5&amp;".1"</f>
        <v>#N/A</v>
      </c>
      <c r="J6" s="798"/>
      <c r="K6" s="798"/>
      <c r="L6" s="799" t="s">
        <v>464</v>
      </c>
      <c r="M6" s="60"/>
      <c r="P6" s="1204">
        <v>1</v>
      </c>
      <c r="Q6" s="119"/>
      <c r="R6" s="214"/>
      <c r="S6" s="730" t="e">
        <f>$I6</f>
        <v>#N/A</v>
      </c>
      <c r="T6" s="163" t="s">
        <v>465</v>
      </c>
      <c r="U6" s="170"/>
      <c r="V6" s="1273"/>
      <c r="W6" s="1274"/>
      <c r="X6" s="1274"/>
      <c r="Y6" s="1274"/>
      <c r="Z6" s="1274"/>
      <c r="AA6" s="1274"/>
      <c r="AB6" s="1274"/>
      <c r="AC6" s="1275"/>
      <c r="AD6" s="1273"/>
      <c r="AE6" s="1274"/>
      <c r="AF6" s="1274"/>
      <c r="AG6" s="1274"/>
      <c r="AH6" s="1274"/>
      <c r="AI6" s="1274"/>
      <c r="AJ6" s="1274"/>
      <c r="AK6" s="1274"/>
      <c r="AL6" s="1275"/>
      <c r="AM6" s="758" t="s">
        <v>466</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8"/>
      <c r="B7" s="798"/>
      <c r="C7" s="798"/>
      <c r="D7" s="798"/>
      <c r="E7" s="1286"/>
      <c r="F7" s="1286"/>
      <c r="G7" s="1286"/>
      <c r="H7" s="1286"/>
      <c r="I7" s="1288"/>
      <c r="J7" s="1287" t="e">
        <f>I6&amp;".1"</f>
        <v>#N/A</v>
      </c>
      <c r="K7" s="798"/>
      <c r="L7" s="799" t="s">
        <v>467</v>
      </c>
      <c r="M7" s="60"/>
      <c r="N7" s="60"/>
      <c r="P7" s="1204"/>
      <c r="Q7" s="1204">
        <v>1</v>
      </c>
      <c r="R7" s="215"/>
      <c r="S7" s="730" t="e">
        <f>$J7</f>
        <v>#N/A</v>
      </c>
      <c r="T7" s="164" t="s">
        <v>468</v>
      </c>
      <c r="U7" s="170"/>
      <c r="V7" s="1273"/>
      <c r="W7" s="1274"/>
      <c r="X7" s="1274"/>
      <c r="Y7" s="1274"/>
      <c r="Z7" s="1274"/>
      <c r="AA7" s="1274"/>
      <c r="AB7" s="1274"/>
      <c r="AC7" s="1275"/>
      <c r="AD7" s="1273"/>
      <c r="AE7" s="1274"/>
      <c r="AF7" s="1274"/>
      <c r="AG7" s="1274"/>
      <c r="AH7" s="1274"/>
      <c r="AI7" s="1274"/>
      <c r="AJ7" s="1274"/>
      <c r="AK7" s="1274"/>
      <c r="AL7" s="1275"/>
      <c r="AM7" s="758" t="s">
        <v>469</v>
      </c>
      <c r="AO7" s="66"/>
      <c r="AP7" s="66" t="str">
        <f t="shared" si="0"/>
        <v>Группа потребителей</v>
      </c>
      <c r="AQ7" s="66"/>
      <c r="AR7" s="66"/>
    </row>
    <row r="8" spans="1:44" ht="21" hidden="1" customHeight="1">
      <c r="A8" s="798"/>
      <c r="B8" s="798"/>
      <c r="C8" s="798"/>
      <c r="D8" s="798"/>
      <c r="E8" s="1286"/>
      <c r="F8" s="1286"/>
      <c r="G8" s="1286"/>
      <c r="H8" s="1286"/>
      <c r="I8" s="1288"/>
      <c r="J8" s="1288"/>
      <c r="K8" s="1287" t="e">
        <f>J7&amp;".1"</f>
        <v>#N/A</v>
      </c>
      <c r="L8" s="799" t="s">
        <v>470</v>
      </c>
      <c r="M8" s="60"/>
      <c r="N8" s="60"/>
      <c r="O8" s="60"/>
      <c r="P8" s="1204"/>
      <c r="Q8" s="1204"/>
      <c r="R8" s="215">
        <v>1</v>
      </c>
      <c r="S8" s="730" t="e">
        <f>$K8</f>
        <v>#N/A</v>
      </c>
      <c r="T8" s="794"/>
      <c r="U8" s="170"/>
      <c r="V8" s="196"/>
      <c r="W8" s="317"/>
      <c r="X8" s="196"/>
      <c r="Y8" s="231"/>
      <c r="Z8" s="1289"/>
      <c r="AA8" s="1093" t="s">
        <v>59</v>
      </c>
      <c r="AB8" s="1289"/>
      <c r="AC8" s="1093" t="s">
        <v>59</v>
      </c>
      <c r="AD8" s="196"/>
      <c r="AE8" s="317"/>
      <c r="AF8" s="196"/>
      <c r="AG8" s="231"/>
      <c r="AH8" s="1289"/>
      <c r="AI8" s="1093" t="s">
        <v>59</v>
      </c>
      <c r="AJ8" s="1289"/>
      <c r="AK8" s="1093" t="s">
        <v>59</v>
      </c>
      <c r="AL8" s="196"/>
      <c r="AM8" s="1307" t="s">
        <v>471</v>
      </c>
      <c r="AN8" s="65" t="e">
        <f ca="1">STRCHECKDATE(V9:AL9)</f>
        <v>#NAME?</v>
      </c>
      <c r="AO8" s="66"/>
      <c r="AP8" s="66" t="str">
        <f t="shared" si="0"/>
        <v/>
      </c>
      <c r="AQ8" s="66"/>
      <c r="AR8" s="66"/>
    </row>
    <row r="9" spans="1:44" ht="0.75" hidden="1" customHeight="1">
      <c r="A9" s="798"/>
      <c r="B9" s="798"/>
      <c r="C9" s="798"/>
      <c r="D9" s="798"/>
      <c r="E9" s="1286"/>
      <c r="F9" s="1286"/>
      <c r="G9" s="1286"/>
      <c r="H9" s="1286"/>
      <c r="I9" s="1288"/>
      <c r="J9" s="1288"/>
      <c r="K9" s="1287"/>
      <c r="L9" s="799"/>
      <c r="M9" s="60"/>
      <c r="N9" s="60"/>
      <c r="O9" s="60"/>
      <c r="P9" s="1204"/>
      <c r="Q9" s="1204"/>
      <c r="R9" s="215"/>
      <c r="S9" s="62"/>
      <c r="T9" s="170"/>
      <c r="U9" s="170"/>
      <c r="V9" s="196"/>
      <c r="W9" s="196"/>
      <c r="X9" s="196"/>
      <c r="Y9" s="198" t="str">
        <f>Z8&amp;"-"&amp;AB8</f>
        <v>-</v>
      </c>
      <c r="Z9" s="1290"/>
      <c r="AA9" s="1093"/>
      <c r="AB9" s="1290"/>
      <c r="AC9" s="1093"/>
      <c r="AD9" s="196"/>
      <c r="AE9" s="196"/>
      <c r="AF9" s="196"/>
      <c r="AG9" s="198" t="str">
        <f>AH8&amp;"-"&amp;AJ8</f>
        <v>-</v>
      </c>
      <c r="AH9" s="1290"/>
      <c r="AI9" s="1093"/>
      <c r="AJ9" s="1290"/>
      <c r="AK9" s="1093"/>
      <c r="AL9" s="196"/>
      <c r="AM9" s="1308"/>
      <c r="AO9" s="66"/>
      <c r="AP9" s="66" t="str">
        <f t="shared" si="0"/>
        <v/>
      </c>
      <c r="AQ9" s="66"/>
      <c r="AR9" s="66"/>
    </row>
    <row r="10" spans="1:44" ht="15" hidden="1" customHeight="1">
      <c r="A10" s="798"/>
      <c r="B10" s="798"/>
      <c r="C10" s="798"/>
      <c r="D10" s="798"/>
      <c r="E10" s="1286"/>
      <c r="F10" s="1286"/>
      <c r="G10" s="1286"/>
      <c r="H10" s="1286"/>
      <c r="I10" s="1288"/>
      <c r="J10" s="1287"/>
      <c r="K10" s="798"/>
      <c r="L10" s="799"/>
      <c r="M10" s="60"/>
      <c r="N10" s="60"/>
      <c r="P10" s="1204"/>
      <c r="Q10" s="1204"/>
      <c r="R10" s="214"/>
      <c r="S10" s="772"/>
      <c r="T10" s="166" t="s">
        <v>472</v>
      </c>
      <c r="U10" s="221"/>
      <c r="V10" s="221"/>
      <c r="W10" s="221"/>
      <c r="X10" s="221"/>
      <c r="Y10" s="221"/>
      <c r="Z10" s="221"/>
      <c r="AA10" s="221"/>
      <c r="AB10" s="221"/>
      <c r="AC10" s="221"/>
      <c r="AD10" s="221"/>
      <c r="AE10" s="221"/>
      <c r="AF10" s="221"/>
      <c r="AG10" s="221"/>
      <c r="AH10" s="221"/>
      <c r="AI10" s="221"/>
      <c r="AJ10" s="221"/>
      <c r="AK10" s="221"/>
      <c r="AL10" s="195"/>
      <c r="AM10" s="1309"/>
      <c r="AO10" s="66"/>
      <c r="AP10" s="66" t="str">
        <f t="shared" si="0"/>
        <v>Добавить вид теплоносителя (параметры теплоносителя)</v>
      </c>
      <c r="AQ10" s="66"/>
      <c r="AR10" s="66"/>
    </row>
    <row r="11" spans="1:44" ht="15" hidden="1" customHeight="1">
      <c r="A11" s="798"/>
      <c r="B11" s="798"/>
      <c r="C11" s="798"/>
      <c r="D11" s="798"/>
      <c r="E11" s="1286"/>
      <c r="F11" s="1286"/>
      <c r="G11" s="1286"/>
      <c r="H11" s="1286"/>
      <c r="I11" s="1287"/>
      <c r="J11" s="798"/>
      <c r="K11" s="798"/>
      <c r="L11" s="799"/>
      <c r="M11" s="60"/>
      <c r="P11" s="1204"/>
      <c r="Q11" s="119"/>
      <c r="R11" s="214"/>
      <c r="S11" s="772"/>
      <c r="T11" s="165" t="s">
        <v>473</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8"/>
      <c r="B12" s="798"/>
      <c r="C12" s="798"/>
      <c r="D12" s="798"/>
      <c r="E12" s="1286"/>
      <c r="F12" s="1286"/>
      <c r="G12" s="1286"/>
      <c r="H12" s="1285"/>
      <c r="I12" s="798"/>
      <c r="J12" s="798"/>
      <c r="K12" s="798"/>
      <c r="L12" s="799"/>
      <c r="M12" s="435"/>
      <c r="N12" s="435"/>
      <c r="O12" s="60"/>
      <c r="P12" s="2"/>
      <c r="Q12" s="224"/>
      <c r="R12" s="213"/>
      <c r="S12" s="772"/>
      <c r="T12" s="219" t="s">
        <v>474</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86"/>
      <c r="F13" s="1286"/>
      <c r="G13" s="1285"/>
      <c r="H13" s="142"/>
      <c r="I13" s="142"/>
      <c r="J13" s="142"/>
      <c r="K13" s="142"/>
      <c r="L13" s="357"/>
      <c r="M13" s="304"/>
      <c r="N13" s="304"/>
      <c r="P13" s="101"/>
      <c r="Q13" s="785"/>
      <c r="R13" s="101"/>
      <c r="S13" s="786"/>
      <c r="T13" s="787" t="s">
        <v>431</v>
      </c>
      <c r="U13" s="788"/>
      <c r="V13" s="788"/>
      <c r="W13" s="788"/>
      <c r="X13" s="788"/>
      <c r="Y13" s="788"/>
      <c r="Z13" s="788"/>
      <c r="AA13" s="788"/>
      <c r="AB13" s="788"/>
      <c r="AC13" s="788"/>
      <c r="AD13" s="788"/>
      <c r="AE13" s="788"/>
      <c r="AF13" s="788"/>
      <c r="AG13" s="788"/>
      <c r="AH13" s="788"/>
      <c r="AI13" s="788"/>
      <c r="AJ13" s="788"/>
      <c r="AK13" s="788"/>
      <c r="AL13" s="788"/>
      <c r="AM13" s="788"/>
      <c r="AO13" s="66"/>
      <c r="AP13" s="66" t="str">
        <f t="shared" si="0"/>
        <v>Добавить источник для дифференциации</v>
      </c>
      <c r="AQ13" s="66"/>
      <c r="AR13" s="66"/>
    </row>
    <row r="14" spans="1:44" s="65" customFormat="1" ht="0.75" hidden="1" customHeight="1">
      <c r="A14" s="142"/>
      <c r="B14" s="142"/>
      <c r="C14" s="142"/>
      <c r="D14" s="142"/>
      <c r="E14" s="1286"/>
      <c r="F14" s="1285"/>
      <c r="G14" s="142"/>
      <c r="H14" s="142"/>
      <c r="I14" s="142"/>
      <c r="J14" s="142"/>
      <c r="K14" s="142"/>
      <c r="L14" s="357"/>
      <c r="M14" s="789"/>
      <c r="N14" s="789"/>
      <c r="P14" s="101"/>
      <c r="Q14" s="785"/>
      <c r="R14" s="101"/>
      <c r="S14" s="790"/>
      <c r="T14" s="791" t="s">
        <v>432</v>
      </c>
      <c r="U14" s="324"/>
      <c r="V14" s="324"/>
      <c r="W14" s="324"/>
      <c r="X14" s="324"/>
      <c r="Y14" s="324"/>
      <c r="Z14" s="324"/>
      <c r="AA14" s="324"/>
      <c r="AB14" s="324"/>
      <c r="AC14" s="324"/>
      <c r="AD14" s="324"/>
      <c r="AE14" s="324"/>
      <c r="AF14" s="324"/>
      <c r="AG14" s="324"/>
      <c r="AH14" s="324"/>
      <c r="AI14" s="324"/>
      <c r="AJ14" s="324"/>
      <c r="AK14" s="324"/>
      <c r="AL14" s="324"/>
      <c r="AM14" s="324"/>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85"/>
      <c r="F15" s="142"/>
      <c r="G15" s="142"/>
      <c r="H15" s="142"/>
      <c r="I15" s="142"/>
      <c r="J15" s="142"/>
      <c r="K15" s="142"/>
      <c r="L15" s="357"/>
      <c r="M15" s="789"/>
      <c r="N15" s="789"/>
      <c r="P15" s="101"/>
      <c r="Q15" s="785"/>
      <c r="R15" s="101"/>
      <c r="S15" s="790"/>
      <c r="T15" s="792" t="s">
        <v>433</v>
      </c>
      <c r="U15" s="324"/>
      <c r="V15" s="324"/>
      <c r="W15" s="324"/>
      <c r="X15" s="324"/>
      <c r="Y15" s="324"/>
      <c r="Z15" s="324"/>
      <c r="AA15" s="324"/>
      <c r="AB15" s="324"/>
      <c r="AC15" s="324"/>
      <c r="AD15" s="324"/>
      <c r="AE15" s="324"/>
      <c r="AF15" s="324"/>
      <c r="AG15" s="324"/>
      <c r="AH15" s="324"/>
      <c r="AI15" s="324"/>
      <c r="AJ15" s="324"/>
      <c r="AK15" s="324"/>
      <c r="AL15" s="324"/>
      <c r="AM15" s="324"/>
      <c r="AO15" s="66"/>
      <c r="AP15" s="66" t="str">
        <f t="shared" si="0"/>
        <v>Добавить территорию для дифференциации</v>
      </c>
      <c r="AQ15" s="66"/>
      <c r="AR15" s="66"/>
    </row>
    <row r="16" spans="1:44" ht="14.25" hidden="1" customHeight="1"/>
    <row r="17" spans="1:44" ht="14.25" hidden="1" customHeight="1">
      <c r="AD17" s="378"/>
      <c r="AE17" s="378"/>
      <c r="AF17" s="378"/>
      <c r="AG17" s="797"/>
      <c r="AH17" s="1283"/>
      <c r="AI17" s="1282" t="s">
        <v>59</v>
      </c>
      <c r="AJ17" s="1283"/>
      <c r="AK17" s="1282" t="s">
        <v>59</v>
      </c>
    </row>
    <row r="18" spans="1:44" ht="14.25" hidden="1" customHeight="1">
      <c r="AD18" s="378"/>
      <c r="AE18" s="378"/>
      <c r="AF18" s="378"/>
      <c r="AG18" s="198" t="str">
        <f>AH17&amp;"-"&amp;AJ17</f>
        <v>-</v>
      </c>
      <c r="AH18" s="1282"/>
      <c r="AI18" s="1282"/>
      <c r="AJ18" s="1282"/>
      <c r="AK18" s="1282"/>
    </row>
    <row r="19" spans="1:44" ht="14.25" hidden="1" customHeight="1"/>
    <row r="20" spans="1:44" s="60" customFormat="1" ht="22.5" hidden="1" customHeight="1">
      <c r="L20" s="312"/>
      <c r="M20" s="522"/>
      <c r="N20" s="522"/>
      <c r="O20" s="800" t="s">
        <v>475</v>
      </c>
      <c r="P20" s="522"/>
      <c r="Q20" s="801"/>
      <c r="R20" s="801"/>
      <c r="S20" s="435"/>
      <c r="Z20" s="800"/>
      <c r="AB20" s="800"/>
      <c r="AH20" s="800"/>
      <c r="AJ20" s="800"/>
      <c r="AN20" s="65"/>
      <c r="AO20" s="65"/>
      <c r="AP20" s="65"/>
      <c r="AQ20" s="65"/>
      <c r="AR20" s="65"/>
    </row>
    <row r="21" spans="1:44" s="60" customFormat="1" ht="14.25" hidden="1" customHeight="1">
      <c r="L21" s="312"/>
      <c r="M21" s="522"/>
      <c r="N21" s="522"/>
      <c r="O21" s="522"/>
      <c r="P21" s="522"/>
      <c r="Q21" s="801"/>
      <c r="R21" s="801"/>
      <c r="S21" s="435"/>
      <c r="AN21" s="65"/>
      <c r="AO21" s="65"/>
      <c r="AP21" s="65"/>
      <c r="AQ21" s="65"/>
      <c r="AR21" s="65"/>
    </row>
    <row r="22" spans="1:44" s="60" customFormat="1" ht="33.75" hidden="1" customHeight="1">
      <c r="L22" s="312"/>
      <c r="M22" s="522"/>
      <c r="N22" s="522"/>
      <c r="O22" s="799" t="s">
        <v>476</v>
      </c>
      <c r="P22" s="522"/>
      <c r="Q22" s="801"/>
      <c r="R22" s="801"/>
      <c r="S22" s="435"/>
      <c r="T22" s="60" t="s">
        <v>477</v>
      </c>
      <c r="AA22" s="79" t="s">
        <v>478</v>
      </c>
      <c r="AC22" s="79" t="s">
        <v>479</v>
      </c>
      <c r="AD22" s="60" t="s">
        <v>477</v>
      </c>
      <c r="AI22" s="79" t="s">
        <v>480</v>
      </c>
      <c r="AK22" s="79" t="s">
        <v>479</v>
      </c>
      <c r="AN22" s="65"/>
      <c r="AO22" s="65"/>
      <c r="AP22" s="65"/>
      <c r="AQ22" s="65"/>
      <c r="AR22" s="65"/>
    </row>
    <row r="23" spans="1:44" ht="14.25" hidden="1" customHeight="1">
      <c r="O23" s="799"/>
    </row>
    <row r="24" spans="1:44" ht="14.25" hidden="1" customHeight="1">
      <c r="O24" s="799"/>
    </row>
    <row r="25" spans="1:44" ht="14.25" customHeight="1">
      <c r="Q25" s="27"/>
      <c r="R25" s="27"/>
      <c r="S25" s="769"/>
      <c r="T25" s="8"/>
      <c r="U25" s="8"/>
    </row>
    <row r="26" spans="1:44" ht="88.5" customHeight="1">
      <c r="Q26" s="27"/>
      <c r="R26" s="27"/>
      <c r="S26" s="131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310"/>
      <c r="U26" s="1310"/>
      <c r="V26" s="1310"/>
      <c r="W26" s="1310"/>
      <c r="X26" s="1310"/>
      <c r="Y26" s="1310"/>
      <c r="Z26" s="1310"/>
      <c r="AA26" s="1310"/>
      <c r="AB26" s="1310"/>
      <c r="AC26" s="1310"/>
      <c r="AD26" s="1310"/>
      <c r="AE26" s="1310"/>
      <c r="AF26" s="1310"/>
      <c r="AG26" s="1310"/>
      <c r="AH26" s="1310"/>
      <c r="AI26" s="1310"/>
      <c r="AJ26" s="1310"/>
      <c r="AK26" s="57"/>
    </row>
    <row r="27" spans="1:44" ht="14.25" customHeight="1">
      <c r="Q27" s="27"/>
      <c r="R27" s="27"/>
      <c r="S27" s="1170" t="str">
        <f>IF(org=0,"Не определено",org)</f>
        <v>ИМУП «ПОСЖИЛКОМСЕРВИС»</v>
      </c>
      <c r="T27" s="1170"/>
      <c r="U27" s="1170"/>
      <c r="V27" s="1170"/>
      <c r="W27" s="1170"/>
      <c r="X27" s="1170"/>
      <c r="Y27" s="1170"/>
      <c r="Z27" s="1170"/>
      <c r="AA27" s="1170"/>
      <c r="AB27" s="1170"/>
      <c r="AC27" s="1170"/>
      <c r="AD27" s="1170"/>
      <c r="AE27" s="1170"/>
      <c r="AF27" s="1170"/>
      <c r="AG27" s="1170"/>
      <c r="AH27" s="1170"/>
      <c r="AI27" s="1170"/>
      <c r="AJ27" s="1170"/>
      <c r="AK27" s="57"/>
    </row>
    <row r="28" spans="1:44" ht="14.25" hidden="1" customHeight="1">
      <c r="Q28" s="27"/>
      <c r="R28" s="27"/>
      <c r="S28" s="769"/>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9"/>
      <c r="M29" s="79"/>
      <c r="N29" s="79"/>
      <c r="O29" s="79"/>
      <c r="S29" s="1276" t="s">
        <v>40</v>
      </c>
      <c r="T29" s="1276"/>
      <c r="U29" s="802"/>
      <c r="V29" s="1278" t="str">
        <f>IF(TITLE_NAME_OR_PR_CHANGE="",IF(TITLE_NAME_OR_PR="","",TITLE_NAME_OR_PR),TITLE_NAME_OR_PR_CHANGE)</f>
        <v/>
      </c>
      <c r="W29" s="1278"/>
      <c r="X29" s="1278"/>
      <c r="Y29" s="1278"/>
      <c r="Z29" s="1278"/>
      <c r="AA29" s="1278"/>
      <c r="AB29" s="1278"/>
      <c r="AC29" s="9"/>
      <c r="AD29" s="1278" t="str">
        <f>IF(TITLE_NAME_OR_PR_CHANGE="",IF(TITLE_NAME_OR_PR="","",TITLE_NAME_OR_PR),TITLE_NAME_OR_PR_CHANGE)</f>
        <v/>
      </c>
      <c r="AE29" s="1278"/>
      <c r="AF29" s="1278"/>
      <c r="AG29" s="1278"/>
      <c r="AH29" s="1278"/>
      <c r="AI29" s="1278"/>
      <c r="AJ29" s="127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9"/>
      <c r="M30" s="79"/>
      <c r="N30" s="79"/>
      <c r="O30" s="79"/>
      <c r="S30" s="1276" t="s">
        <v>481</v>
      </c>
      <c r="T30" s="1276"/>
      <c r="U30" s="802"/>
      <c r="V30" s="1277" t="str">
        <f>IF(TITLE_DATE_CHANGE_PERIOD="",IF(TITLE_DATE_PR="","",TITLE_DATE_PR),TITLE_DATE_CHANGE_PERIOD)</f>
        <v/>
      </c>
      <c r="W30" s="1277"/>
      <c r="X30" s="1277"/>
      <c r="Y30" s="1277"/>
      <c r="Z30" s="1277"/>
      <c r="AA30" s="1277"/>
      <c r="AB30" s="1277"/>
      <c r="AC30" s="9"/>
      <c r="AD30" s="1277" t="str">
        <f>IF(TITLE_DATE_CHANGE_PERIOD="",IF(TITLE_DATE_PR="","",TITLE_DATE_PR),TITLE_DATE_CHANGE_PERIOD)</f>
        <v/>
      </c>
      <c r="AE30" s="1277"/>
      <c r="AF30" s="1277"/>
      <c r="AG30" s="1277"/>
      <c r="AH30" s="1277"/>
      <c r="AI30" s="1277"/>
      <c r="AJ30" s="127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9"/>
      <c r="M31" s="79"/>
      <c r="N31" s="79"/>
      <c r="O31" s="79"/>
      <c r="S31" s="1276" t="s">
        <v>482</v>
      </c>
      <c r="T31" s="1276"/>
      <c r="U31" s="802"/>
      <c r="V31" s="1278" t="str">
        <f>IF(TITLE_NUMBER_PR_CHANGE="",IF(TITLE_NUMBER_PR="","",TITLE_NUMBER_PR),TITLE_NUMBER_PR_CHANGE)</f>
        <v/>
      </c>
      <c r="W31" s="1278"/>
      <c r="X31" s="1278"/>
      <c r="Y31" s="1278"/>
      <c r="Z31" s="1278"/>
      <c r="AA31" s="1278"/>
      <c r="AB31" s="1278"/>
      <c r="AC31" s="9"/>
      <c r="AD31" s="1278" t="str">
        <f>IF(TITLE_NUMBER_PR_CHANGE="",IF(TITLE_NUMBER_PR="","",TITLE_NUMBER_PR),TITLE_NUMBER_PR_CHANGE)</f>
        <v/>
      </c>
      <c r="AE31" s="1278"/>
      <c r="AF31" s="1278"/>
      <c r="AG31" s="1278"/>
      <c r="AH31" s="1278"/>
      <c r="AI31" s="1278"/>
      <c r="AJ31" s="127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9"/>
      <c r="M32" s="79"/>
      <c r="N32" s="79"/>
      <c r="O32" s="79"/>
      <c r="S32" s="1276" t="s">
        <v>41</v>
      </c>
      <c r="T32" s="1276"/>
      <c r="U32" s="802"/>
      <c r="V32" s="1278" t="str">
        <f>IF(TITLE_IST_PUB_CHANGE="",IF(TITLE_IST_PUB="","",TITLE_IST_PUB),TITLE_IST_PUB_CHANGE)</f>
        <v/>
      </c>
      <c r="W32" s="1278"/>
      <c r="X32" s="1278"/>
      <c r="Y32" s="1278"/>
      <c r="Z32" s="1278"/>
      <c r="AA32" s="1278"/>
      <c r="AB32" s="1278"/>
      <c r="AC32" s="9"/>
      <c r="AD32" s="1278" t="str">
        <f>IF(TITLE_IST_PUB_CHANGE="",IF(TITLE_IST_PUB="","",TITLE_IST_PUB),TITLE_IST_PUB_CHANGE)</f>
        <v/>
      </c>
      <c r="AE32" s="1278"/>
      <c r="AF32" s="1278"/>
      <c r="AG32" s="1278"/>
      <c r="AH32" s="1278"/>
      <c r="AI32" s="1278"/>
      <c r="AJ32" s="1278"/>
      <c r="AK32" s="9"/>
      <c r="AL32" s="9"/>
      <c r="AM32" s="162"/>
      <c r="AN32" s="66"/>
      <c r="AO32" s="66"/>
      <c r="AP32" s="66"/>
      <c r="AQ32" s="66"/>
      <c r="AR32" s="66"/>
    </row>
    <row r="33" spans="1:44" ht="14.25" hidden="1" customHeight="1">
      <c r="Q33" s="27"/>
      <c r="R33" s="27"/>
      <c r="S33" s="769"/>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9"/>
      <c r="M34" s="79"/>
      <c r="N34" s="79"/>
      <c r="O34" s="79"/>
      <c r="S34" s="1276" t="s">
        <v>483</v>
      </c>
      <c r="T34" s="1276"/>
      <c r="U34" s="802"/>
      <c r="V34" s="1277" t="str">
        <f>IF(TITLE_DATE_CHANGE_PERIOD="",IF(TITLE_DATE_PR="","",TITLE_DATE_PR),TITLE_DATE_CHANGE_PERIOD)</f>
        <v/>
      </c>
      <c r="W34" s="1277"/>
      <c r="X34" s="1277"/>
      <c r="Y34" s="1277"/>
      <c r="Z34" s="1277"/>
      <c r="AA34" s="1277"/>
      <c r="AB34" s="1277"/>
      <c r="AC34" s="9"/>
      <c r="AD34" s="1277" t="str">
        <f>IF(TITLE_DATE_CHANGE_PERIOD="",IF(TITLE_DATE_PR="","",TITLE_DATE_PR),TITLE_DATE_CHANGE_PERIOD)</f>
        <v/>
      </c>
      <c r="AE34" s="1277"/>
      <c r="AF34" s="1277"/>
      <c r="AG34" s="1277"/>
      <c r="AH34" s="1277"/>
      <c r="AI34" s="1277"/>
      <c r="AJ34" s="127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9"/>
      <c r="M35" s="79"/>
      <c r="N35" s="79"/>
      <c r="O35" s="79"/>
      <c r="S35" s="1276" t="s">
        <v>484</v>
      </c>
      <c r="T35" s="1276"/>
      <c r="U35" s="802"/>
      <c r="V35" s="1278" t="str">
        <f>IF(TITLE_NUMBER_PR_CHANGE="",IF(TITLE_NUMBER_PR="","",TITLE_NUMBER_PR),TITLE_NUMBER_PR_CHANGE)</f>
        <v/>
      </c>
      <c r="W35" s="1278"/>
      <c r="X35" s="1278"/>
      <c r="Y35" s="1278"/>
      <c r="Z35" s="1278"/>
      <c r="AA35" s="1278"/>
      <c r="AB35" s="1278"/>
      <c r="AC35" s="9"/>
      <c r="AD35" s="1278" t="str">
        <f>IF(TITLE_NUMBER_PR_CHANGE="",IF(TITLE_NUMBER_PR="","",TITLE_NUMBER_PR),TITLE_NUMBER_PR_CHANGE)</f>
        <v/>
      </c>
      <c r="AE35" s="1278"/>
      <c r="AF35" s="1278"/>
      <c r="AG35" s="1278"/>
      <c r="AH35" s="1278"/>
      <c r="AI35" s="1278"/>
      <c r="AJ35" s="127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9"/>
      <c r="M36" s="79"/>
      <c r="N36" s="79"/>
      <c r="O36" s="79"/>
      <c r="S36" s="9"/>
      <c r="T36" s="9"/>
      <c r="U36" s="75"/>
      <c r="V36" s="9"/>
      <c r="W36" s="9"/>
      <c r="X36" s="9"/>
      <c r="Y36" s="9"/>
      <c r="Z36" s="9"/>
      <c r="AA36" s="9"/>
      <c r="AB36" s="9"/>
      <c r="AC36" s="65" t="s">
        <v>485</v>
      </c>
      <c r="AD36" s="9"/>
      <c r="AE36" s="9"/>
      <c r="AF36" s="9"/>
      <c r="AG36" s="9"/>
      <c r="AH36" s="9"/>
      <c r="AI36" s="9"/>
      <c r="AJ36" s="9"/>
      <c r="AK36" s="65" t="s">
        <v>485</v>
      </c>
      <c r="AN36" s="66"/>
      <c r="AO36" s="66"/>
      <c r="AP36" s="66"/>
      <c r="AQ36" s="66"/>
      <c r="AR36" s="66"/>
    </row>
    <row r="37" spans="1:44" ht="14.25" customHeight="1">
      <c r="Q37" s="27"/>
      <c r="R37" s="27"/>
      <c r="S37" s="769"/>
      <c r="T37" s="8"/>
      <c r="U37" s="741"/>
      <c r="V37" s="1296"/>
      <c r="W37" s="1296"/>
      <c r="X37" s="1296"/>
      <c r="Y37" s="1296"/>
      <c r="Z37" s="1296"/>
      <c r="AA37" s="1296"/>
      <c r="AB37" s="1296"/>
      <c r="AC37" s="1296"/>
      <c r="AD37" s="1296"/>
      <c r="AE37" s="1296"/>
      <c r="AF37" s="1296"/>
      <c r="AG37" s="1296"/>
      <c r="AH37" s="1296"/>
      <c r="AI37" s="1296"/>
      <c r="AJ37" s="1296"/>
      <c r="AK37" s="1296"/>
    </row>
    <row r="38" spans="1:44" ht="14.25" customHeight="1">
      <c r="Q38" s="27"/>
      <c r="R38" s="27"/>
      <c r="S38" s="1083" t="s">
        <v>288</v>
      </c>
      <c r="T38" s="1083"/>
      <c r="U38" s="1083"/>
      <c r="V38" s="1083"/>
      <c r="W38" s="1083"/>
      <c r="X38" s="1083"/>
      <c r="Y38" s="1083"/>
      <c r="Z38" s="1083"/>
      <c r="AA38" s="1083"/>
      <c r="AB38" s="1083"/>
      <c r="AC38" s="1083"/>
      <c r="AD38" s="1083"/>
      <c r="AE38" s="1083"/>
      <c r="AF38" s="1083"/>
      <c r="AG38" s="1083"/>
      <c r="AH38" s="1083"/>
      <c r="AI38" s="1083"/>
      <c r="AJ38" s="1083"/>
      <c r="AK38" s="1083"/>
      <c r="AL38" s="1083"/>
      <c r="AM38" s="1083" t="s">
        <v>289</v>
      </c>
    </row>
    <row r="39" spans="1:44" ht="14.25" customHeight="1">
      <c r="Q39" s="27"/>
      <c r="R39" s="27"/>
      <c r="S39" s="1297" t="s">
        <v>88</v>
      </c>
      <c r="T39" s="1168" t="s">
        <v>486</v>
      </c>
      <c r="U39" s="171"/>
      <c r="V39" s="1298" t="s">
        <v>487</v>
      </c>
      <c r="W39" s="1299"/>
      <c r="X39" s="1313"/>
      <c r="Y39" s="1313"/>
      <c r="Z39" s="1299"/>
      <c r="AA39" s="1299"/>
      <c r="AB39" s="1300"/>
      <c r="AC39" s="1301" t="s">
        <v>488</v>
      </c>
      <c r="AD39" s="1298" t="s">
        <v>487</v>
      </c>
      <c r="AE39" s="1299"/>
      <c r="AF39" s="1313"/>
      <c r="AG39" s="1313"/>
      <c r="AH39" s="1299"/>
      <c r="AI39" s="1299"/>
      <c r="AJ39" s="1300"/>
      <c r="AK39" s="1301" t="s">
        <v>489</v>
      </c>
      <c r="AL39" s="1304" t="s">
        <v>490</v>
      </c>
      <c r="AM39" s="1083"/>
    </row>
    <row r="40" spans="1:44" ht="23.25" customHeight="1">
      <c r="Q40" s="27"/>
      <c r="R40" s="27"/>
      <c r="S40" s="1297"/>
      <c r="T40" s="1168"/>
      <c r="U40" s="626"/>
      <c r="V40" s="1311" t="s">
        <v>491</v>
      </c>
      <c r="W40" s="1138" t="s">
        <v>492</v>
      </c>
      <c r="X40" s="328" t="s">
        <v>493</v>
      </c>
      <c r="Y40" s="328"/>
      <c r="Z40" s="1070" t="s">
        <v>494</v>
      </c>
      <c r="AA40" s="1070"/>
      <c r="AB40" s="1064"/>
      <c r="AC40" s="1302"/>
      <c r="AD40" s="1311" t="s">
        <v>491</v>
      </c>
      <c r="AE40" s="1138" t="s">
        <v>492</v>
      </c>
      <c r="AF40" s="328" t="s">
        <v>493</v>
      </c>
      <c r="AG40" s="328"/>
      <c r="AH40" s="1070" t="s">
        <v>494</v>
      </c>
      <c r="AI40" s="1070"/>
      <c r="AJ40" s="1064"/>
      <c r="AK40" s="1302"/>
      <c r="AL40" s="1305"/>
      <c r="AM40" s="1083"/>
    </row>
    <row r="41" spans="1:44" s="15" customFormat="1" ht="23.25" customHeight="1">
      <c r="A41" s="79"/>
      <c r="B41" s="79" t="s">
        <v>137</v>
      </c>
      <c r="C41" s="79" t="s">
        <v>138</v>
      </c>
      <c r="D41" s="79" t="s">
        <v>139</v>
      </c>
      <c r="E41" s="799" t="s">
        <v>495</v>
      </c>
      <c r="F41" s="799" t="s">
        <v>496</v>
      </c>
      <c r="G41" s="799" t="s">
        <v>497</v>
      </c>
      <c r="H41" s="799" t="s">
        <v>498</v>
      </c>
      <c r="I41" s="799" t="s">
        <v>499</v>
      </c>
      <c r="J41" s="799" t="s">
        <v>500</v>
      </c>
      <c r="K41" s="799" t="s">
        <v>501</v>
      </c>
      <c r="L41" s="799" t="s">
        <v>476</v>
      </c>
      <c r="M41" s="522"/>
      <c r="N41" s="522"/>
      <c r="O41" s="522"/>
      <c r="P41" s="32"/>
      <c r="Q41" s="27"/>
      <c r="R41" s="27"/>
      <c r="S41" s="1297"/>
      <c r="T41" s="1168"/>
      <c r="U41" s="172"/>
      <c r="V41" s="1312"/>
      <c r="W41" s="1143"/>
      <c r="X41" s="327" t="s">
        <v>502</v>
      </c>
      <c r="Y41" s="327" t="s">
        <v>503</v>
      </c>
      <c r="Z41" s="793" t="s">
        <v>504</v>
      </c>
      <c r="AA41" s="1174" t="s">
        <v>505</v>
      </c>
      <c r="AB41" s="1188"/>
      <c r="AC41" s="1303"/>
      <c r="AD41" s="1312"/>
      <c r="AE41" s="1143"/>
      <c r="AF41" s="327" t="s">
        <v>502</v>
      </c>
      <c r="AG41" s="327" t="s">
        <v>503</v>
      </c>
      <c r="AH41" s="793" t="s">
        <v>504</v>
      </c>
      <c r="AI41" s="1174" t="s">
        <v>505</v>
      </c>
      <c r="AJ41" s="1188"/>
      <c r="AK41" s="1303"/>
      <c r="AL41" s="1306"/>
      <c r="AM41" s="1083"/>
      <c r="AN41" s="65"/>
      <c r="AO41" s="66"/>
      <c r="AP41" s="66"/>
      <c r="AQ41" s="66"/>
      <c r="AR41" s="66"/>
    </row>
    <row r="42" spans="1:44" s="209" customFormat="1" ht="11.25" hidden="1" customHeight="1">
      <c r="A42" s="79"/>
      <c r="B42" s="79"/>
      <c r="C42" s="79"/>
      <c r="D42" s="79"/>
      <c r="E42" s="79"/>
      <c r="F42" s="79"/>
      <c r="G42" s="79"/>
      <c r="H42" s="79"/>
      <c r="I42" s="79"/>
      <c r="J42" s="79"/>
      <c r="K42" s="79"/>
      <c r="L42" s="799"/>
      <c r="M42" s="522"/>
      <c r="N42" s="522"/>
      <c r="O42" s="522"/>
      <c r="P42" s="743"/>
      <c r="Q42" s="744"/>
      <c r="R42" s="752">
        <v>1</v>
      </c>
      <c r="S42" s="771" t="s">
        <v>110</v>
      </c>
      <c r="T42" s="753" t="s">
        <v>111</v>
      </c>
      <c r="U42" s="742" t="str">
        <f ca="1">OFFSET(U42,0,-1)</f>
        <v>2</v>
      </c>
      <c r="V42" s="754">
        <f ca="1">OFFSET(V42,0,-1)+1</f>
        <v>3</v>
      </c>
      <c r="W42" s="754"/>
      <c r="X42" s="298">
        <f ca="1">OFFSET(X42,0,-1)+1</f>
        <v>1</v>
      </c>
      <c r="Y42" s="298">
        <f ca="1">OFFSET(Y42,0,-1)+1</f>
        <v>2</v>
      </c>
      <c r="Z42" s="754">
        <f ca="1">OFFSET(Z42,0,-1)+1</f>
        <v>3</v>
      </c>
      <c r="AA42" s="1295">
        <f ca="1">OFFSET(AA42,0,-1)+1</f>
        <v>4</v>
      </c>
      <c r="AB42" s="1295"/>
      <c r="AC42" s="754">
        <f ca="1">OFFSET(AC42,0,-2)+1</f>
        <v>5</v>
      </c>
      <c r="AD42" s="754">
        <f ca="1">OFFSET(AD42,0,-1)+1</f>
        <v>6</v>
      </c>
      <c r="AE42" s="754"/>
      <c r="AF42" s="298">
        <f ca="1">OFFSET(AF42,0,-1)+1</f>
        <v>1</v>
      </c>
      <c r="AG42" s="298">
        <f ca="1">OFFSET(AG42,0,-1)+1</f>
        <v>2</v>
      </c>
      <c r="AH42" s="754">
        <f ca="1">OFFSET(AH42,0,-1)+1</f>
        <v>3</v>
      </c>
      <c r="AI42" s="1295">
        <f ca="1">OFFSET(AI42,0,-1)+1</f>
        <v>4</v>
      </c>
      <c r="AJ42" s="1295"/>
      <c r="AK42" s="754">
        <f ca="1">OFFSET(AK42,0,-2)+1</f>
        <v>5</v>
      </c>
      <c r="AL42" s="742">
        <f ca="1">OFFSET(AL42,0,-1)</f>
        <v>5</v>
      </c>
      <c r="AM42" s="754">
        <f ca="1">OFFSET(AM42,0,-1)+1</f>
        <v>6</v>
      </c>
      <c r="AN42" s="65"/>
      <c r="AO42" s="65"/>
      <c r="AP42" s="65"/>
      <c r="AQ42" s="65"/>
      <c r="AR42" s="65"/>
    </row>
    <row r="43" spans="1:44" ht="21" customHeight="1">
      <c r="A43" s="798" t="s">
        <v>194</v>
      </c>
      <c r="B43" s="798"/>
      <c r="C43" s="798"/>
      <c r="D43" s="798"/>
      <c r="E43" s="1285">
        <v>1</v>
      </c>
      <c r="F43" s="798"/>
      <c r="G43" s="798"/>
      <c r="H43" s="798"/>
      <c r="I43" s="798"/>
      <c r="J43" s="798"/>
      <c r="K43" s="798"/>
      <c r="L43" s="799"/>
      <c r="M43" s="435"/>
      <c r="N43" s="435"/>
      <c r="O43" s="435"/>
      <c r="Q43" s="2"/>
      <c r="R43" s="213"/>
      <c r="S43" s="730">
        <f>INDEX(PT_DIFFERENTIATION_NUM_NTAR,MATCH(A43,PT_DIFFERENTIATION_NTAR_ID,0))</f>
        <v>0</v>
      </c>
      <c r="T43" s="64" t="s">
        <v>125</v>
      </c>
      <c r="U43" s="170"/>
      <c r="V43" s="1279"/>
      <c r="W43" s="1280"/>
      <c r="X43" s="1280"/>
      <c r="Y43" s="1280"/>
      <c r="Z43" s="1280"/>
      <c r="AA43" s="1280"/>
      <c r="AB43" s="1280"/>
      <c r="AC43" s="1281"/>
      <c r="AD43" s="1279" t="str">
        <f>INDEX(PT_DIFFERENTIATION_NTAR,MATCH(A43,PT_DIFFERENTIATION_NTAR_ID,0))</f>
        <v/>
      </c>
      <c r="AE43" s="1280"/>
      <c r="AF43" s="1280"/>
      <c r="AG43" s="1280"/>
      <c r="AH43" s="1280"/>
      <c r="AI43" s="1280"/>
      <c r="AJ43" s="1280"/>
      <c r="AK43" s="1280"/>
      <c r="AL43" s="1281"/>
      <c r="AM43" s="758"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8" t="s">
        <v>194</v>
      </c>
      <c r="B44" s="798" t="s">
        <v>195</v>
      </c>
      <c r="C44" s="798"/>
      <c r="D44" s="798"/>
      <c r="E44" s="1286"/>
      <c r="F44" s="1285">
        <v>1</v>
      </c>
      <c r="G44" s="798"/>
      <c r="H44" s="798"/>
      <c r="I44" s="798"/>
      <c r="J44" s="798"/>
      <c r="K44" s="798"/>
      <c r="L44" s="799"/>
      <c r="M44" s="435"/>
      <c r="N44" s="435"/>
      <c r="O44" s="435"/>
      <c r="P44" s="56"/>
      <c r="Q44" s="210"/>
      <c r="R44" s="211"/>
      <c r="S44" s="730" t="str">
        <f>INDEX(PT_DIFFERENTIATION_NUM_TER,MATCH(B44,PT_DIFFERENTIATION_TER_ID,0))</f>
        <v>.</v>
      </c>
      <c r="T44" s="178" t="s">
        <v>458</v>
      </c>
      <c r="U44" s="170"/>
      <c r="V44" s="1279"/>
      <c r="W44" s="1280"/>
      <c r="X44" s="1280"/>
      <c r="Y44" s="1280"/>
      <c r="Z44" s="1280"/>
      <c r="AA44" s="1280"/>
      <c r="AB44" s="1280"/>
      <c r="AC44" s="1281"/>
      <c r="AD44" s="1279" t="str">
        <f>INDEX(PT_DIFFERENTIATION_TER,MATCH(B44,PT_DIFFERENTIATION_TER_ID,0))</f>
        <v/>
      </c>
      <c r="AE44" s="1280"/>
      <c r="AF44" s="1280"/>
      <c r="AG44" s="1280"/>
      <c r="AH44" s="1280"/>
      <c r="AI44" s="1280"/>
      <c r="AJ44" s="1280"/>
      <c r="AK44" s="1280"/>
      <c r="AL44" s="1281"/>
      <c r="AM44" s="758" t="s">
        <v>459</v>
      </c>
      <c r="AO44" s="66"/>
      <c r="AP44" s="66" t="str">
        <f t="shared" si="1"/>
        <v>Территория действия тарифа</v>
      </c>
      <c r="AQ44" s="66"/>
      <c r="AR44" s="66"/>
    </row>
    <row r="45" spans="1:44" ht="23.25" customHeight="1">
      <c r="A45" s="798" t="s">
        <v>194</v>
      </c>
      <c r="B45" s="798" t="s">
        <v>195</v>
      </c>
      <c r="C45" s="798" t="s">
        <v>196</v>
      </c>
      <c r="D45" s="798"/>
      <c r="E45" s="1286"/>
      <c r="F45" s="1286"/>
      <c r="G45" s="1285">
        <v>1</v>
      </c>
      <c r="H45" s="798"/>
      <c r="I45" s="798"/>
      <c r="J45" s="798"/>
      <c r="K45" s="798"/>
      <c r="L45" s="799"/>
      <c r="M45" s="435"/>
      <c r="N45" s="435"/>
      <c r="O45" s="435"/>
      <c r="P45" s="212"/>
      <c r="Q45" s="210"/>
      <c r="R45" s="211"/>
      <c r="S45" s="730" t="str">
        <f>INDEX(PT_DIFFERENTIATION_NUM_CS,MATCH(C45,PT_DIFFERENTIATION_CS_ID,0))</f>
        <v>..</v>
      </c>
      <c r="T45" s="179" t="s">
        <v>460</v>
      </c>
      <c r="U45" s="170"/>
      <c r="V45" s="1279"/>
      <c r="W45" s="1280"/>
      <c r="X45" s="1280"/>
      <c r="Y45" s="1280"/>
      <c r="Z45" s="1280"/>
      <c r="AA45" s="1280"/>
      <c r="AB45" s="1280"/>
      <c r="AC45" s="1281"/>
      <c r="AD45" s="1279" t="str">
        <f>INDEX(PT_DIFFERENTIATION_CS,MATCH(C45,PT_DIFFERENTIATION_CS_ID,0))</f>
        <v/>
      </c>
      <c r="AE45" s="1280"/>
      <c r="AF45" s="1280"/>
      <c r="AG45" s="1280"/>
      <c r="AH45" s="1280"/>
      <c r="AI45" s="1280"/>
      <c r="AJ45" s="1280"/>
      <c r="AK45" s="1280"/>
      <c r="AL45" s="1281"/>
      <c r="AM45" s="758" t="s">
        <v>461</v>
      </c>
      <c r="AO45" s="66"/>
      <c r="AP45" s="66" t="str">
        <f t="shared" si="1"/>
        <v xml:space="preserve">Наименование системы теплоснабжения </v>
      </c>
      <c r="AQ45" s="66"/>
      <c r="AR45" s="66"/>
    </row>
    <row r="46" spans="1:44" ht="21" customHeight="1">
      <c r="A46" s="798" t="s">
        <v>194</v>
      </c>
      <c r="B46" s="798" t="s">
        <v>195</v>
      </c>
      <c r="C46" s="798" t="s">
        <v>196</v>
      </c>
      <c r="D46" s="798" t="s">
        <v>197</v>
      </c>
      <c r="E46" s="1286"/>
      <c r="F46" s="1286"/>
      <c r="G46" s="1286"/>
      <c r="H46" s="1285">
        <v>1</v>
      </c>
      <c r="I46" s="798"/>
      <c r="J46" s="798"/>
      <c r="K46" s="798"/>
      <c r="L46" s="799"/>
      <c r="M46" s="435"/>
      <c r="N46" s="435"/>
      <c r="O46" s="435"/>
      <c r="P46" s="212"/>
      <c r="Q46" s="210"/>
      <c r="R46" s="211"/>
      <c r="S46" s="730" t="str">
        <f>INDEX(PT_DIFFERENTIATION_NUM_IST_TE,MATCH(D46,PT_DIFFERENTIATION_IST_TE_ID,0))</f>
        <v>...</v>
      </c>
      <c r="T46" s="180" t="s">
        <v>462</v>
      </c>
      <c r="U46" s="170"/>
      <c r="V46" s="1279"/>
      <c r="W46" s="1280"/>
      <c r="X46" s="1280"/>
      <c r="Y46" s="1280"/>
      <c r="Z46" s="1280"/>
      <c r="AA46" s="1280"/>
      <c r="AB46" s="1280"/>
      <c r="AC46" s="1281"/>
      <c r="AD46" s="1279" t="str">
        <f>INDEX(PT_DIFFERENTIATION_IST_TE,MATCH(D46,PT_DIFFERENTIATION_IST_TE_ID,0))</f>
        <v/>
      </c>
      <c r="AE46" s="1280"/>
      <c r="AF46" s="1280"/>
      <c r="AG46" s="1280"/>
      <c r="AH46" s="1280"/>
      <c r="AI46" s="1280"/>
      <c r="AJ46" s="1280"/>
      <c r="AK46" s="1280"/>
      <c r="AL46" s="1281"/>
      <c r="AM46" s="758" t="s">
        <v>463</v>
      </c>
      <c r="AO46" s="66"/>
      <c r="AP46" s="66" t="str">
        <f t="shared" si="1"/>
        <v xml:space="preserve">Источник тепловой энергии  </v>
      </c>
      <c r="AQ46" s="66"/>
      <c r="AR46" s="66"/>
    </row>
    <row r="47" spans="1:44" ht="47.25" customHeight="1">
      <c r="A47" s="798" t="s">
        <v>194</v>
      </c>
      <c r="B47" s="798" t="s">
        <v>195</v>
      </c>
      <c r="C47" s="798" t="s">
        <v>196</v>
      </c>
      <c r="D47" s="798" t="s">
        <v>197</v>
      </c>
      <c r="E47" s="1286"/>
      <c r="F47" s="1286"/>
      <c r="G47" s="1286"/>
      <c r="H47" s="1286"/>
      <c r="I47" s="1287" t="str">
        <f>S46&amp;".1"</f>
        <v>....1</v>
      </c>
      <c r="J47" s="798"/>
      <c r="K47" s="798"/>
      <c r="L47" s="799" t="s">
        <v>464</v>
      </c>
      <c r="P47" s="1204">
        <v>1</v>
      </c>
      <c r="Q47" s="119"/>
      <c r="R47" s="214"/>
      <c r="S47" s="730" t="str">
        <f>$I47</f>
        <v>....1</v>
      </c>
      <c r="T47" s="163" t="s">
        <v>465</v>
      </c>
      <c r="U47" s="170"/>
      <c r="V47" s="1273"/>
      <c r="W47" s="1274"/>
      <c r="X47" s="1274"/>
      <c r="Y47" s="1274"/>
      <c r="Z47" s="1274"/>
      <c r="AA47" s="1274"/>
      <c r="AB47" s="1274"/>
      <c r="AC47" s="1275"/>
      <c r="AD47" s="1273"/>
      <c r="AE47" s="1274"/>
      <c r="AF47" s="1274"/>
      <c r="AG47" s="1274"/>
      <c r="AH47" s="1274"/>
      <c r="AI47" s="1274"/>
      <c r="AJ47" s="1274"/>
      <c r="AK47" s="1274"/>
      <c r="AL47" s="1275"/>
      <c r="AM47" s="758" t="s">
        <v>466</v>
      </c>
      <c r="AO47" s="66"/>
      <c r="AP47" s="66" t="str">
        <f t="shared" si="1"/>
        <v>Схема подключения теплопотребляющей установки к коллектору источника тепловой энергии</v>
      </c>
      <c r="AQ47" s="66"/>
      <c r="AR47" s="66"/>
    </row>
    <row r="48" spans="1:44" ht="21" customHeight="1">
      <c r="A48" s="798" t="s">
        <v>194</v>
      </c>
      <c r="B48" s="798" t="s">
        <v>195</v>
      </c>
      <c r="C48" s="798" t="s">
        <v>196</v>
      </c>
      <c r="D48" s="798" t="s">
        <v>197</v>
      </c>
      <c r="E48" s="1286"/>
      <c r="F48" s="1286"/>
      <c r="G48" s="1286"/>
      <c r="H48" s="1286"/>
      <c r="I48" s="1288"/>
      <c r="J48" s="1287" t="str">
        <f>I47&amp;".1"</f>
        <v>....1.1</v>
      </c>
      <c r="K48" s="798"/>
      <c r="L48" s="799" t="s">
        <v>467</v>
      </c>
      <c r="P48" s="1204"/>
      <c r="Q48" s="1204">
        <v>1</v>
      </c>
      <c r="R48" s="215"/>
      <c r="S48" s="730" t="str">
        <f>$J48</f>
        <v>....1.1</v>
      </c>
      <c r="T48" s="164" t="s">
        <v>468</v>
      </c>
      <c r="U48" s="170"/>
      <c r="V48" s="1273"/>
      <c r="W48" s="1274"/>
      <c r="X48" s="1274"/>
      <c r="Y48" s="1274"/>
      <c r="Z48" s="1274"/>
      <c r="AA48" s="1274"/>
      <c r="AB48" s="1274"/>
      <c r="AC48" s="1275"/>
      <c r="AD48" s="1273"/>
      <c r="AE48" s="1274"/>
      <c r="AF48" s="1274"/>
      <c r="AG48" s="1274"/>
      <c r="AH48" s="1274"/>
      <c r="AI48" s="1274"/>
      <c r="AJ48" s="1274"/>
      <c r="AK48" s="1274"/>
      <c r="AL48" s="1275"/>
      <c r="AM48" s="758" t="s">
        <v>469</v>
      </c>
      <c r="AO48" s="66"/>
      <c r="AP48" s="66" t="str">
        <f t="shared" si="1"/>
        <v>Группа потребителей</v>
      </c>
      <c r="AQ48" s="66"/>
      <c r="AR48" s="66"/>
    </row>
    <row r="49" spans="1:44" ht="21" customHeight="1">
      <c r="A49" s="798" t="s">
        <v>194</v>
      </c>
      <c r="B49" s="798" t="s">
        <v>195</v>
      </c>
      <c r="C49" s="798" t="s">
        <v>196</v>
      </c>
      <c r="D49" s="798" t="s">
        <v>197</v>
      </c>
      <c r="E49" s="1286"/>
      <c r="F49" s="1286"/>
      <c r="G49" s="1286"/>
      <c r="H49" s="1286"/>
      <c r="I49" s="1288"/>
      <c r="J49" s="1288"/>
      <c r="K49" s="1287" t="str">
        <f>J48&amp;".1"</f>
        <v>....1.1.1</v>
      </c>
      <c r="L49" s="799" t="s">
        <v>470</v>
      </c>
      <c r="P49" s="1204"/>
      <c r="Q49" s="1204"/>
      <c r="R49" s="215">
        <v>1</v>
      </c>
      <c r="S49" s="730" t="str">
        <f>$K49</f>
        <v>....1.1.1</v>
      </c>
      <c r="T49" s="794"/>
      <c r="U49" s="170"/>
      <c r="V49" s="196"/>
      <c r="W49" s="317"/>
      <c r="X49" s="196"/>
      <c r="Y49" s="231"/>
      <c r="Z49" s="1289"/>
      <c r="AA49" s="1093" t="s">
        <v>59</v>
      </c>
      <c r="AB49" s="1289"/>
      <c r="AC49" s="1093" t="s">
        <v>59</v>
      </c>
      <c r="AD49" s="196"/>
      <c r="AE49" s="317"/>
      <c r="AF49" s="196"/>
      <c r="AG49" s="231"/>
      <c r="AH49" s="1289"/>
      <c r="AI49" s="1093" t="s">
        <v>59</v>
      </c>
      <c r="AJ49" s="1291"/>
      <c r="AK49" s="1093" t="s">
        <v>59</v>
      </c>
      <c r="AL49" s="795"/>
      <c r="AM49" s="1307" t="s">
        <v>471</v>
      </c>
      <c r="AN49" s="65" t="e">
        <f ca="1">STRCHECKDATE(V50:AL50)</f>
        <v>#NAME?</v>
      </c>
      <c r="AO49" s="66"/>
      <c r="AP49" s="66" t="str">
        <f t="shared" si="1"/>
        <v/>
      </c>
      <c r="AQ49" s="66"/>
      <c r="AR49" s="66"/>
    </row>
    <row r="50" spans="1:44" ht="0.75" customHeight="1">
      <c r="A50" s="798" t="s">
        <v>194</v>
      </c>
      <c r="B50" s="798" t="s">
        <v>195</v>
      </c>
      <c r="C50" s="798" t="s">
        <v>196</v>
      </c>
      <c r="D50" s="798" t="s">
        <v>197</v>
      </c>
      <c r="E50" s="1286"/>
      <c r="F50" s="1286"/>
      <c r="G50" s="1286"/>
      <c r="H50" s="1286"/>
      <c r="I50" s="1288"/>
      <c r="J50" s="1288"/>
      <c r="K50" s="1287"/>
      <c r="L50" s="799"/>
      <c r="P50" s="1204"/>
      <c r="Q50" s="1204"/>
      <c r="R50" s="215"/>
      <c r="S50" s="62"/>
      <c r="T50" s="170"/>
      <c r="U50" s="170"/>
      <c r="V50" s="196"/>
      <c r="W50" s="196"/>
      <c r="X50" s="196"/>
      <c r="Y50" s="198" t="str">
        <f>Z49&amp;"-"&amp;AB49</f>
        <v>-</v>
      </c>
      <c r="Z50" s="1290"/>
      <c r="AA50" s="1093"/>
      <c r="AB50" s="1290"/>
      <c r="AC50" s="1093"/>
      <c r="AD50" s="196"/>
      <c r="AE50" s="196"/>
      <c r="AF50" s="196"/>
      <c r="AG50" s="198" t="str">
        <f>AH49&amp;"-"&amp;AJ49</f>
        <v>-</v>
      </c>
      <c r="AH50" s="1290"/>
      <c r="AI50" s="1093"/>
      <c r="AJ50" s="1292"/>
      <c r="AK50" s="1093"/>
      <c r="AL50" s="796"/>
      <c r="AM50" s="1308"/>
      <c r="AO50" s="66"/>
      <c r="AP50" s="66" t="str">
        <f t="shared" si="1"/>
        <v/>
      </c>
      <c r="AQ50" s="66"/>
      <c r="AR50" s="66"/>
    </row>
    <row r="51" spans="1:44" ht="11.25" customHeight="1">
      <c r="A51" s="798" t="s">
        <v>194</v>
      </c>
      <c r="B51" s="798" t="s">
        <v>195</v>
      </c>
      <c r="C51" s="798" t="s">
        <v>196</v>
      </c>
      <c r="D51" s="798" t="s">
        <v>197</v>
      </c>
      <c r="E51" s="1286"/>
      <c r="F51" s="1286"/>
      <c r="G51" s="1286"/>
      <c r="H51" s="1286"/>
      <c r="I51" s="1288"/>
      <c r="J51" s="1287"/>
      <c r="K51" s="798"/>
      <c r="L51" s="799"/>
      <c r="P51" s="1204"/>
      <c r="Q51" s="1204"/>
      <c r="R51" s="214"/>
      <c r="S51" s="772"/>
      <c r="T51" s="166" t="s">
        <v>472</v>
      </c>
      <c r="U51" s="221"/>
      <c r="V51" s="221"/>
      <c r="W51" s="221"/>
      <c r="X51" s="221"/>
      <c r="Y51" s="221"/>
      <c r="Z51" s="221"/>
      <c r="AA51" s="221"/>
      <c r="AB51" s="221"/>
      <c r="AC51" s="221"/>
      <c r="AD51" s="221"/>
      <c r="AE51" s="221"/>
      <c r="AF51" s="221"/>
      <c r="AG51" s="221"/>
      <c r="AH51" s="221"/>
      <c r="AI51" s="221"/>
      <c r="AJ51" s="221"/>
      <c r="AK51" s="221"/>
      <c r="AL51" s="195"/>
      <c r="AM51" s="1309"/>
      <c r="AO51" s="66"/>
      <c r="AP51" s="66" t="str">
        <f t="shared" si="1"/>
        <v>Добавить вид теплоносителя (параметры теплоносителя)</v>
      </c>
      <c r="AQ51" s="66"/>
      <c r="AR51" s="66"/>
    </row>
    <row r="52" spans="1:44" ht="11.25" customHeight="1">
      <c r="A52" s="798" t="s">
        <v>194</v>
      </c>
      <c r="B52" s="798" t="s">
        <v>195</v>
      </c>
      <c r="C52" s="798" t="s">
        <v>196</v>
      </c>
      <c r="D52" s="798" t="s">
        <v>197</v>
      </c>
      <c r="E52" s="1286"/>
      <c r="F52" s="1286"/>
      <c r="G52" s="1286"/>
      <c r="H52" s="1286"/>
      <c r="I52" s="1287"/>
      <c r="J52" s="798"/>
      <c r="K52" s="798"/>
      <c r="L52" s="799"/>
      <c r="P52" s="1204"/>
      <c r="Q52" s="119"/>
      <c r="R52" s="214"/>
      <c r="S52" s="772"/>
      <c r="T52" s="165" t="s">
        <v>473</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8" t="s">
        <v>194</v>
      </c>
      <c r="B53" s="798" t="s">
        <v>195</v>
      </c>
      <c r="C53" s="798" t="s">
        <v>196</v>
      </c>
      <c r="D53" s="798" t="s">
        <v>197</v>
      </c>
      <c r="E53" s="1286"/>
      <c r="F53" s="1286"/>
      <c r="G53" s="1286"/>
      <c r="H53" s="1285"/>
      <c r="I53" s="798"/>
      <c r="J53" s="798"/>
      <c r="K53" s="798"/>
      <c r="L53" s="799"/>
      <c r="M53" s="435"/>
      <c r="N53" s="435"/>
      <c r="O53" s="60"/>
      <c r="P53" s="2"/>
      <c r="Q53" s="224"/>
      <c r="R53" s="213"/>
      <c r="S53" s="772"/>
      <c r="T53" s="219" t="s">
        <v>474</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194</v>
      </c>
      <c r="B54" s="142" t="s">
        <v>195</v>
      </c>
      <c r="C54" s="142" t="s">
        <v>196</v>
      </c>
      <c r="D54" s="142"/>
      <c r="E54" s="1286"/>
      <c r="F54" s="1286"/>
      <c r="G54" s="1285"/>
      <c r="H54" s="142"/>
      <c r="I54" s="142"/>
      <c r="J54" s="142"/>
      <c r="K54" s="142"/>
      <c r="L54" s="357"/>
      <c r="M54" s="304"/>
      <c r="N54" s="304"/>
      <c r="P54" s="101"/>
      <c r="Q54" s="785"/>
      <c r="R54" s="101"/>
      <c r="S54" s="790"/>
      <c r="T54" s="792" t="s">
        <v>431</v>
      </c>
      <c r="U54" s="324"/>
      <c r="V54" s="324"/>
      <c r="W54" s="324"/>
      <c r="X54" s="324"/>
      <c r="Y54" s="324"/>
      <c r="Z54" s="324"/>
      <c r="AA54" s="324"/>
      <c r="AB54" s="324"/>
      <c r="AC54" s="324"/>
      <c r="AD54" s="324"/>
      <c r="AE54" s="324"/>
      <c r="AF54" s="324"/>
      <c r="AG54" s="324"/>
      <c r="AH54" s="324"/>
      <c r="AI54" s="324"/>
      <c r="AJ54" s="324"/>
      <c r="AK54" s="324"/>
      <c r="AL54" s="324"/>
      <c r="AM54" s="324"/>
      <c r="AO54" s="66"/>
      <c r="AP54" s="66" t="str">
        <f t="shared" si="1"/>
        <v>Добавить источник для дифференциации</v>
      </c>
      <c r="AQ54" s="66"/>
      <c r="AR54" s="66"/>
    </row>
    <row r="55" spans="1:44" s="65" customFormat="1" ht="0.75" customHeight="1">
      <c r="A55" s="142" t="s">
        <v>194</v>
      </c>
      <c r="B55" s="142" t="s">
        <v>195</v>
      </c>
      <c r="C55" s="142"/>
      <c r="D55" s="142"/>
      <c r="E55" s="1286"/>
      <c r="F55" s="1285"/>
      <c r="G55" s="142"/>
      <c r="H55" s="142"/>
      <c r="I55" s="142"/>
      <c r="J55" s="142"/>
      <c r="K55" s="142"/>
      <c r="L55" s="357"/>
      <c r="M55" s="789"/>
      <c r="N55" s="789"/>
      <c r="P55" s="101"/>
      <c r="Q55" s="785"/>
      <c r="R55" s="101"/>
      <c r="S55" s="790"/>
      <c r="T55" s="792" t="s">
        <v>432</v>
      </c>
      <c r="U55" s="324"/>
      <c r="V55" s="324"/>
      <c r="W55" s="324"/>
      <c r="X55" s="324"/>
      <c r="Y55" s="324"/>
      <c r="Z55" s="324"/>
      <c r="AA55" s="324"/>
      <c r="AB55" s="324"/>
      <c r="AC55" s="324"/>
      <c r="AD55" s="324"/>
      <c r="AE55" s="324"/>
      <c r="AF55" s="324"/>
      <c r="AG55" s="324"/>
      <c r="AH55" s="324"/>
      <c r="AI55" s="324"/>
      <c r="AJ55" s="324"/>
      <c r="AK55" s="324"/>
      <c r="AL55" s="324"/>
      <c r="AM55" s="324"/>
      <c r="AO55" s="66"/>
      <c r="AP55" s="66" t="str">
        <f t="shared" si="1"/>
        <v>Добавить централизованную систему для дифференциации</v>
      </c>
      <c r="AQ55" s="66"/>
      <c r="AR55" s="66"/>
    </row>
    <row r="56" spans="1:44" s="65" customFormat="1" ht="0.75" customHeight="1">
      <c r="A56" s="142" t="s">
        <v>194</v>
      </c>
      <c r="B56" s="142"/>
      <c r="C56" s="142"/>
      <c r="D56" s="142"/>
      <c r="E56" s="1285"/>
      <c r="F56" s="142"/>
      <c r="G56" s="142"/>
      <c r="H56" s="142"/>
      <c r="I56" s="142"/>
      <c r="J56" s="142"/>
      <c r="K56" s="142"/>
      <c r="L56" s="357"/>
      <c r="M56" s="789"/>
      <c r="N56" s="789"/>
      <c r="P56" s="101"/>
      <c r="Q56" s="785"/>
      <c r="R56" s="101"/>
      <c r="S56" s="790"/>
      <c r="T56" s="792" t="s">
        <v>433</v>
      </c>
      <c r="U56" s="324"/>
      <c r="V56" s="324"/>
      <c r="W56" s="324"/>
      <c r="X56" s="324"/>
      <c r="Y56" s="324"/>
      <c r="Z56" s="324"/>
      <c r="AA56" s="324"/>
      <c r="AB56" s="324"/>
      <c r="AC56" s="324"/>
      <c r="AD56" s="324"/>
      <c r="AE56" s="324"/>
      <c r="AF56" s="324"/>
      <c r="AG56" s="324"/>
      <c r="AH56" s="324"/>
      <c r="AI56" s="324"/>
      <c r="AJ56" s="324"/>
      <c r="AK56" s="324"/>
      <c r="AL56" s="324"/>
      <c r="AM56" s="324"/>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7"/>
      <c r="M57" s="789"/>
      <c r="N57" s="789"/>
      <c r="P57" s="101"/>
      <c r="Q57" s="785"/>
      <c r="R57" s="101"/>
      <c r="S57" s="790"/>
      <c r="T57" s="792" t="s">
        <v>434</v>
      </c>
      <c r="U57" s="324"/>
      <c r="V57" s="324"/>
      <c r="W57" s="324"/>
      <c r="X57" s="324"/>
      <c r="Y57" s="324"/>
      <c r="Z57" s="324"/>
      <c r="AA57" s="324"/>
      <c r="AB57" s="324"/>
      <c r="AC57" s="324"/>
      <c r="AD57" s="324"/>
      <c r="AE57" s="324"/>
      <c r="AF57" s="324"/>
      <c r="AG57" s="324"/>
      <c r="AH57" s="324"/>
      <c r="AI57" s="324"/>
      <c r="AJ57" s="324"/>
      <c r="AK57" s="324"/>
      <c r="AL57" s="324"/>
      <c r="AM57" s="324"/>
      <c r="AO57" s="66"/>
      <c r="AP57" s="66" t="str">
        <f t="shared" si="1"/>
        <v>Добавить наименование тарифа</v>
      </c>
      <c r="AQ57" s="66"/>
      <c r="AR57" s="66"/>
    </row>
    <row r="58" spans="1:44" ht="11.25" hidden="1" customHeight="1">
      <c r="M58" s="60"/>
      <c r="N58" s="60"/>
      <c r="O58" s="60"/>
      <c r="P58" s="9"/>
      <c r="Q58" s="9"/>
      <c r="R58" s="9"/>
      <c r="S58" s="9"/>
      <c r="AN58" s="9"/>
      <c r="AO58" s="9"/>
      <c r="AP58" s="9"/>
      <c r="AQ58" s="9"/>
      <c r="AR58" s="9"/>
    </row>
    <row r="59" spans="1:44" ht="27" hidden="1" customHeight="1">
      <c r="O59" s="60"/>
      <c r="S59" s="204" t="s">
        <v>506</v>
      </c>
      <c r="T59" s="1284" t="s">
        <v>513</v>
      </c>
      <c r="U59" s="1284"/>
      <c r="V59" s="1284"/>
      <c r="W59" s="1284"/>
      <c r="X59" s="1284"/>
      <c r="Y59" s="1284"/>
      <c r="Z59" s="1284"/>
      <c r="AA59" s="1284"/>
      <c r="AB59" s="1284"/>
      <c r="AC59" s="1284"/>
      <c r="AD59" s="1284"/>
      <c r="AE59" s="1284"/>
      <c r="AF59" s="1284"/>
      <c r="AG59" s="1284"/>
      <c r="AH59" s="1284"/>
      <c r="AI59" s="1284"/>
      <c r="AJ59" s="1284"/>
      <c r="AK59" s="1284"/>
      <c r="AL59" s="1284"/>
      <c r="AM59" s="1284"/>
    </row>
    <row r="60" spans="1:44" ht="75" hidden="1" customHeight="1">
      <c r="O60" s="60"/>
      <c r="T60" s="1284" t="s">
        <v>508</v>
      </c>
      <c r="U60" s="1284"/>
      <c r="V60" s="1284"/>
      <c r="W60" s="1284"/>
      <c r="X60" s="1284"/>
      <c r="Y60" s="1284"/>
      <c r="Z60" s="1284"/>
      <c r="AA60" s="1284"/>
      <c r="AB60" s="1284"/>
      <c r="AC60" s="1284"/>
      <c r="AD60" s="1284"/>
      <c r="AE60" s="1284"/>
      <c r="AF60" s="1284"/>
      <c r="AG60" s="1284"/>
      <c r="AH60" s="1284"/>
      <c r="AI60" s="1284"/>
      <c r="AJ60" s="1284"/>
      <c r="AK60" s="1284"/>
      <c r="AL60" s="1284"/>
      <c r="AM60" s="1284"/>
    </row>
    <row r="61" spans="1:44" ht="14.25" hidden="1" customHeight="1">
      <c r="O61" s="60"/>
    </row>
    <row r="62" spans="1:44" ht="18" hidden="1" customHeight="1">
      <c r="O62" s="60"/>
      <c r="S62" s="204" t="s">
        <v>506</v>
      </c>
      <c r="T62" s="1284" t="s">
        <v>509</v>
      </c>
      <c r="U62" s="1284"/>
      <c r="V62" s="1284"/>
      <c r="W62" s="1284"/>
      <c r="X62" s="1284"/>
      <c r="Y62" s="1284"/>
      <c r="Z62" s="1284"/>
      <c r="AA62" s="1284"/>
      <c r="AB62" s="1284"/>
      <c r="AC62" s="1284"/>
      <c r="AD62" s="1284"/>
      <c r="AE62" s="1284"/>
      <c r="AF62" s="1284"/>
      <c r="AG62" s="1284"/>
      <c r="AH62" s="1284"/>
      <c r="AI62" s="1284"/>
      <c r="AJ62" s="1284"/>
      <c r="AK62" s="1284"/>
      <c r="AL62" s="1284"/>
      <c r="AM62" s="1284"/>
    </row>
    <row r="63" spans="1:44" ht="18" hidden="1" customHeight="1">
      <c r="O63" s="60"/>
      <c r="T63" s="1284" t="s">
        <v>510</v>
      </c>
      <c r="U63" s="1284"/>
      <c r="V63" s="1284"/>
      <c r="W63" s="1284"/>
      <c r="X63" s="1284"/>
      <c r="Y63" s="1284"/>
      <c r="Z63" s="1284"/>
      <c r="AA63" s="1284"/>
      <c r="AB63" s="1284"/>
      <c r="AC63" s="1284"/>
      <c r="AD63" s="1284"/>
      <c r="AE63" s="1284"/>
      <c r="AF63" s="1284"/>
      <c r="AG63" s="1284"/>
      <c r="AH63" s="1284"/>
      <c r="AI63" s="1284"/>
      <c r="AJ63" s="1284"/>
      <c r="AK63" s="1284"/>
      <c r="AL63" s="1284"/>
      <c r="AM63" s="1284"/>
    </row>
    <row r="64" spans="1:44" ht="38.25" hidden="1" customHeight="1">
      <c r="O64" s="60"/>
      <c r="S64" s="204"/>
      <c r="T64" s="1284" t="s">
        <v>511</v>
      </c>
      <c r="U64" s="1284"/>
      <c r="V64" s="1284"/>
      <c r="W64" s="1284"/>
      <c r="X64" s="1284"/>
      <c r="Y64" s="1284"/>
      <c r="Z64" s="1284"/>
      <c r="AA64" s="1284"/>
      <c r="AB64" s="1284"/>
      <c r="AC64" s="1284"/>
      <c r="AD64" s="1284"/>
      <c r="AE64" s="1284"/>
      <c r="AF64" s="1284"/>
      <c r="AG64" s="1284"/>
      <c r="AH64" s="1284"/>
      <c r="AI64" s="1284"/>
      <c r="AJ64" s="1284"/>
      <c r="AK64" s="1284"/>
      <c r="AL64" s="1284"/>
      <c r="AM64" s="1284"/>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E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E00-000001000000}">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E00-000002000000}">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E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E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E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xr:uid="{00000000-0002-0000-0E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E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6129C-029B-490C-13B1-5C15F3762CA8}">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32" hidden="1" customWidth="1"/>
    <col min="17" max="18" width="3.7109375" style="28" customWidth="1"/>
    <col min="19" max="19" width="12.7109375" style="353"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0"/>
      <c r="AC2" s="1281"/>
      <c r="AD2" s="1279" t="e">
        <f>INDEX(PT_DIFFERENTIATION_NTAR,MATCH(A2,PT_DIFFERENTIATION_NTAR_ID,0))</f>
        <v>#N/A</v>
      </c>
      <c r="AE2" s="1280"/>
      <c r="AF2" s="1280"/>
      <c r="AG2" s="1280"/>
      <c r="AH2" s="1280"/>
      <c r="AI2" s="1280"/>
      <c r="AJ2" s="1280"/>
      <c r="AK2" s="1280"/>
      <c r="AL2" s="1281"/>
      <c r="AM2" s="758" t="s">
        <v>457</v>
      </c>
      <c r="AO2" s="66"/>
      <c r="AP2" s="66" t="str">
        <f t="shared" ref="AP2:AP15" si="0">IF(T2="","",T2)</f>
        <v>Наименование тарифа</v>
      </c>
      <c r="AQ2" s="66"/>
      <c r="AR2" s="66"/>
    </row>
    <row r="3" spans="1:44" ht="21"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0"/>
      <c r="AC3" s="1281"/>
      <c r="AD3" s="1279" t="e">
        <f>INDEX(PT_DIFFERENTIATION_TER,MATCH(B3,PT_DIFFERENTIATION_TER_ID,0))</f>
        <v>#N/A</v>
      </c>
      <c r="AE3" s="1280"/>
      <c r="AF3" s="1280"/>
      <c r="AG3" s="1280"/>
      <c r="AH3" s="1280"/>
      <c r="AI3" s="1280"/>
      <c r="AJ3" s="1280"/>
      <c r="AK3" s="1280"/>
      <c r="AL3" s="1281"/>
      <c r="AM3" s="758" t="s">
        <v>459</v>
      </c>
      <c r="AO3" s="66"/>
      <c r="AP3" s="66" t="str">
        <f t="shared" si="0"/>
        <v>Территория действия тарифа</v>
      </c>
      <c r="AQ3" s="66"/>
      <c r="AR3" s="66"/>
    </row>
    <row r="4" spans="1:44"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460</v>
      </c>
      <c r="U4" s="170"/>
      <c r="V4" s="1279"/>
      <c r="W4" s="1280"/>
      <c r="X4" s="1280"/>
      <c r="Y4" s="1280"/>
      <c r="Z4" s="1280"/>
      <c r="AA4" s="1280"/>
      <c r="AB4" s="1280"/>
      <c r="AC4" s="1281"/>
      <c r="AD4" s="1279" t="e">
        <f>INDEX(PT_DIFFERENTIATION_CS,MATCH(C4,PT_DIFFERENTIATION_CS_ID,0))</f>
        <v>#N/A</v>
      </c>
      <c r="AE4" s="1280"/>
      <c r="AF4" s="1280"/>
      <c r="AG4" s="1280"/>
      <c r="AH4" s="1280"/>
      <c r="AI4" s="1280"/>
      <c r="AJ4" s="1280"/>
      <c r="AK4" s="1280"/>
      <c r="AL4" s="1281"/>
      <c r="AM4" s="758" t="s">
        <v>461</v>
      </c>
      <c r="AO4" s="66"/>
      <c r="AP4" s="66" t="str">
        <f t="shared" si="0"/>
        <v xml:space="preserve">Наименование системы теплоснабжения </v>
      </c>
      <c r="AQ4" s="66"/>
      <c r="AR4" s="66"/>
    </row>
    <row r="5" spans="1:44" ht="21" hidden="1" customHeight="1">
      <c r="A5" s="798"/>
      <c r="B5" s="798"/>
      <c r="C5" s="798"/>
      <c r="D5" s="798"/>
      <c r="E5" s="1286"/>
      <c r="F5" s="1286"/>
      <c r="G5" s="1286"/>
      <c r="H5" s="1285">
        <v>1</v>
      </c>
      <c r="I5" s="798"/>
      <c r="J5" s="798"/>
      <c r="K5" s="798"/>
      <c r="L5" s="799"/>
      <c r="M5" s="435"/>
      <c r="N5" s="435"/>
      <c r="O5" s="435"/>
      <c r="P5" s="212"/>
      <c r="Q5" s="210"/>
      <c r="R5" s="211"/>
      <c r="S5" s="730" t="e">
        <f>INDEX(PT_DIFFERENTIATION_NUM_IST_TE,MATCH(D5,PT_DIFFERENTIATION_IST_TE_ID,0))</f>
        <v>#N/A</v>
      </c>
      <c r="T5" s="180" t="s">
        <v>462</v>
      </c>
      <c r="U5" s="170"/>
      <c r="V5" s="1279"/>
      <c r="W5" s="1280"/>
      <c r="X5" s="1280"/>
      <c r="Y5" s="1280"/>
      <c r="Z5" s="1280"/>
      <c r="AA5" s="1280"/>
      <c r="AB5" s="1280"/>
      <c r="AC5" s="1281"/>
      <c r="AD5" s="1279" t="e">
        <f>INDEX(PT_DIFFERENTIATION_IST_TE,MATCH(D5,PT_DIFFERENTIATION_IST_TE_ID,0))</f>
        <v>#N/A</v>
      </c>
      <c r="AE5" s="1280"/>
      <c r="AF5" s="1280"/>
      <c r="AG5" s="1280"/>
      <c r="AH5" s="1280"/>
      <c r="AI5" s="1280"/>
      <c r="AJ5" s="1280"/>
      <c r="AK5" s="1280"/>
      <c r="AL5" s="1281"/>
      <c r="AM5" s="758" t="s">
        <v>463</v>
      </c>
      <c r="AO5" s="66"/>
      <c r="AP5" s="66" t="str">
        <f t="shared" si="0"/>
        <v xml:space="preserve">Источник тепловой энергии  </v>
      </c>
      <c r="AQ5" s="66"/>
      <c r="AR5" s="66"/>
    </row>
    <row r="6" spans="1:44" ht="14.25" hidden="1" customHeight="1">
      <c r="A6" s="798"/>
      <c r="B6" s="798"/>
      <c r="C6" s="798"/>
      <c r="D6" s="798"/>
      <c r="E6" s="1286"/>
      <c r="F6" s="1286"/>
      <c r="G6" s="1286"/>
      <c r="H6" s="1286"/>
      <c r="I6" s="1287" t="e">
        <f>S5&amp;".1"</f>
        <v>#N/A</v>
      </c>
      <c r="J6" s="798"/>
      <c r="K6" s="798"/>
      <c r="L6" s="799" t="s">
        <v>464</v>
      </c>
      <c r="M6" s="60"/>
      <c r="P6" s="1204">
        <v>1</v>
      </c>
      <c r="Q6" s="119"/>
      <c r="R6" s="214"/>
      <c r="S6" s="373"/>
      <c r="T6" s="808"/>
      <c r="U6" s="809"/>
      <c r="V6" s="1314"/>
      <c r="W6" s="1315"/>
      <c r="X6" s="1315"/>
      <c r="Y6" s="1315"/>
      <c r="Z6" s="1315"/>
      <c r="AA6" s="1315"/>
      <c r="AB6" s="1315"/>
      <c r="AC6" s="1316"/>
      <c r="AD6" s="1314"/>
      <c r="AE6" s="1315"/>
      <c r="AF6" s="1315"/>
      <c r="AG6" s="1315"/>
      <c r="AH6" s="1315"/>
      <c r="AI6" s="1315"/>
      <c r="AJ6" s="1315"/>
      <c r="AK6" s="1315"/>
      <c r="AL6" s="1316"/>
      <c r="AM6" s="810"/>
      <c r="AO6" s="66"/>
      <c r="AP6" s="66" t="str">
        <f t="shared" si="0"/>
        <v/>
      </c>
      <c r="AQ6" s="66"/>
      <c r="AR6" s="66"/>
    </row>
    <row r="7" spans="1:44" ht="21" hidden="1" customHeight="1">
      <c r="A7" s="798"/>
      <c r="B7" s="798"/>
      <c r="C7" s="798"/>
      <c r="D7" s="798"/>
      <c r="E7" s="1286"/>
      <c r="F7" s="1286"/>
      <c r="G7" s="1286"/>
      <c r="H7" s="1286"/>
      <c r="I7" s="1288"/>
      <c r="J7" s="1287" t="e">
        <f>I6&amp;".1"</f>
        <v>#N/A</v>
      </c>
      <c r="K7" s="798"/>
      <c r="L7" s="799" t="s">
        <v>467</v>
      </c>
      <c r="M7" s="60"/>
      <c r="N7" s="60"/>
      <c r="P7" s="1204"/>
      <c r="Q7" s="1204">
        <v>1</v>
      </c>
      <c r="R7" s="215"/>
      <c r="S7" s="730" t="e">
        <f>$J7</f>
        <v>#N/A</v>
      </c>
      <c r="T7" s="164" t="s">
        <v>468</v>
      </c>
      <c r="U7" s="170"/>
      <c r="V7" s="1273"/>
      <c r="W7" s="1274"/>
      <c r="X7" s="1274"/>
      <c r="Y7" s="1274"/>
      <c r="Z7" s="1274"/>
      <c r="AA7" s="1274"/>
      <c r="AB7" s="1274"/>
      <c r="AC7" s="1275"/>
      <c r="AD7" s="1273"/>
      <c r="AE7" s="1274"/>
      <c r="AF7" s="1274"/>
      <c r="AG7" s="1274"/>
      <c r="AH7" s="1274"/>
      <c r="AI7" s="1274"/>
      <c r="AJ7" s="1274"/>
      <c r="AK7" s="1274"/>
      <c r="AL7" s="1275"/>
      <c r="AM7" s="758" t="s">
        <v>469</v>
      </c>
      <c r="AO7" s="66"/>
      <c r="AP7" s="66" t="str">
        <f t="shared" si="0"/>
        <v>Группа потребителей</v>
      </c>
      <c r="AQ7" s="66"/>
      <c r="AR7" s="66"/>
    </row>
    <row r="8" spans="1:44" ht="21" hidden="1" customHeight="1">
      <c r="A8" s="798"/>
      <c r="B8" s="798"/>
      <c r="C8" s="798"/>
      <c r="D8" s="798"/>
      <c r="E8" s="1286"/>
      <c r="F8" s="1286"/>
      <c r="G8" s="1286"/>
      <c r="H8" s="1286"/>
      <c r="I8" s="1288"/>
      <c r="J8" s="1288"/>
      <c r="K8" s="1287" t="e">
        <f>J7&amp;".1"</f>
        <v>#N/A</v>
      </c>
      <c r="L8" s="799" t="s">
        <v>470</v>
      </c>
      <c r="M8" s="60"/>
      <c r="N8" s="60"/>
      <c r="O8" s="60"/>
      <c r="P8" s="1204"/>
      <c r="Q8" s="1204"/>
      <c r="R8" s="215">
        <v>1</v>
      </c>
      <c r="S8" s="730" t="e">
        <f>$K8</f>
        <v>#N/A</v>
      </c>
      <c r="T8" s="794"/>
      <c r="U8" s="170"/>
      <c r="V8" s="317"/>
      <c r="W8" s="196"/>
      <c r="X8" s="317"/>
      <c r="Y8" s="757"/>
      <c r="Z8" s="1289"/>
      <c r="AA8" s="1093" t="s">
        <v>59</v>
      </c>
      <c r="AB8" s="1289"/>
      <c r="AC8" s="1093" t="s">
        <v>59</v>
      </c>
      <c r="AD8" s="317"/>
      <c r="AE8" s="196"/>
      <c r="AF8" s="317"/>
      <c r="AG8" s="757"/>
      <c r="AH8" s="1289"/>
      <c r="AI8" s="1093" t="s">
        <v>59</v>
      </c>
      <c r="AJ8" s="1289"/>
      <c r="AK8" s="1093" t="s">
        <v>59</v>
      </c>
      <c r="AL8" s="196"/>
      <c r="AM8" s="1307" t="s">
        <v>471</v>
      </c>
      <c r="AN8" s="65" t="e">
        <f ca="1">STRCHECKDATE(V9:AL9)</f>
        <v>#NAME?</v>
      </c>
      <c r="AO8" s="66"/>
      <c r="AP8" s="66" t="str">
        <f t="shared" si="0"/>
        <v/>
      </c>
      <c r="AQ8" s="66"/>
      <c r="AR8" s="66"/>
    </row>
    <row r="9" spans="1:44" ht="0.75" hidden="1" customHeight="1">
      <c r="A9" s="798"/>
      <c r="B9" s="798"/>
      <c r="C9" s="798"/>
      <c r="D9" s="798"/>
      <c r="E9" s="1286"/>
      <c r="F9" s="1286"/>
      <c r="G9" s="1286"/>
      <c r="H9" s="1286"/>
      <c r="I9" s="1288"/>
      <c r="J9" s="1288"/>
      <c r="K9" s="1287"/>
      <c r="L9" s="799"/>
      <c r="M9" s="60"/>
      <c r="N9" s="60"/>
      <c r="O9" s="60"/>
      <c r="P9" s="1204"/>
      <c r="Q9" s="1204"/>
      <c r="R9" s="215"/>
      <c r="S9" s="62"/>
      <c r="T9" s="170"/>
      <c r="U9" s="170"/>
      <c r="V9" s="196"/>
      <c r="W9" s="196"/>
      <c r="X9" s="196"/>
      <c r="Y9" s="198" t="str">
        <f>Z8&amp;"-"&amp;AB8</f>
        <v>-</v>
      </c>
      <c r="Z9" s="1290"/>
      <c r="AA9" s="1093"/>
      <c r="AB9" s="1290"/>
      <c r="AC9" s="1093"/>
      <c r="AD9" s="196"/>
      <c r="AE9" s="196"/>
      <c r="AF9" s="196"/>
      <c r="AG9" s="198" t="str">
        <f>AH8&amp;"-"&amp;AJ8</f>
        <v>-</v>
      </c>
      <c r="AH9" s="1290"/>
      <c r="AI9" s="1093"/>
      <c r="AJ9" s="1290"/>
      <c r="AK9" s="1093"/>
      <c r="AL9" s="196"/>
      <c r="AM9" s="1308"/>
      <c r="AO9" s="66"/>
      <c r="AP9" s="66" t="str">
        <f t="shared" si="0"/>
        <v/>
      </c>
      <c r="AQ9" s="66"/>
      <c r="AR9" s="66"/>
    </row>
    <row r="10" spans="1:44" ht="15" hidden="1" customHeight="1">
      <c r="A10" s="798"/>
      <c r="B10" s="798"/>
      <c r="C10" s="798"/>
      <c r="D10" s="798"/>
      <c r="E10" s="1286"/>
      <c r="F10" s="1286"/>
      <c r="G10" s="1286"/>
      <c r="H10" s="1286"/>
      <c r="I10" s="1288"/>
      <c r="J10" s="1287"/>
      <c r="K10" s="798"/>
      <c r="L10" s="799"/>
      <c r="M10" s="60"/>
      <c r="N10" s="60"/>
      <c r="P10" s="1204"/>
      <c r="Q10" s="1204"/>
      <c r="R10" s="214"/>
      <c r="S10" s="772"/>
      <c r="T10" s="165" t="s">
        <v>472</v>
      </c>
      <c r="U10" s="221"/>
      <c r="V10" s="221"/>
      <c r="W10" s="221"/>
      <c r="X10" s="221"/>
      <c r="Y10" s="221"/>
      <c r="Z10" s="221"/>
      <c r="AA10" s="221"/>
      <c r="AB10" s="221"/>
      <c r="AC10" s="221"/>
      <c r="AD10" s="221"/>
      <c r="AE10" s="221"/>
      <c r="AF10" s="221"/>
      <c r="AG10" s="221"/>
      <c r="AH10" s="221"/>
      <c r="AI10" s="221"/>
      <c r="AJ10" s="221"/>
      <c r="AK10" s="221"/>
      <c r="AL10" s="195"/>
      <c r="AM10" s="1309"/>
      <c r="AO10" s="66"/>
      <c r="AP10" s="66" t="str">
        <f t="shared" si="0"/>
        <v>Добавить вид теплоносителя (параметры теплоносителя)</v>
      </c>
      <c r="AQ10" s="66"/>
      <c r="AR10" s="66"/>
    </row>
    <row r="11" spans="1:44" ht="15" hidden="1" customHeight="1">
      <c r="A11" s="798"/>
      <c r="B11" s="798"/>
      <c r="C11" s="798"/>
      <c r="D11" s="798"/>
      <c r="E11" s="1286"/>
      <c r="F11" s="1286"/>
      <c r="G11" s="1286"/>
      <c r="H11" s="1286"/>
      <c r="I11" s="1287"/>
      <c r="J11" s="798"/>
      <c r="K11" s="798"/>
      <c r="L11" s="799"/>
      <c r="M11" s="60"/>
      <c r="P11" s="1204"/>
      <c r="Q11" s="119"/>
      <c r="R11" s="214"/>
      <c r="S11" s="772"/>
      <c r="T11" s="219" t="s">
        <v>473</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8"/>
      <c r="B12" s="798"/>
      <c r="C12" s="798"/>
      <c r="D12" s="798"/>
      <c r="E12" s="1286"/>
      <c r="F12" s="1286"/>
      <c r="G12" s="1286"/>
      <c r="H12" s="1285"/>
      <c r="I12" s="798"/>
      <c r="J12" s="798"/>
      <c r="K12" s="798"/>
      <c r="L12" s="799"/>
      <c r="M12" s="435"/>
      <c r="N12" s="435"/>
      <c r="O12" s="60"/>
      <c r="P12" s="2"/>
      <c r="Q12" s="224"/>
      <c r="R12" s="213"/>
      <c r="S12" s="811"/>
      <c r="T12" s="812"/>
      <c r="U12" s="813"/>
      <c r="V12" s="813"/>
      <c r="W12" s="813"/>
      <c r="X12" s="813"/>
      <c r="Y12" s="813"/>
      <c r="Z12" s="813"/>
      <c r="AA12" s="813"/>
      <c r="AB12" s="813"/>
      <c r="AC12" s="813"/>
      <c r="AD12" s="813"/>
      <c r="AE12" s="813"/>
      <c r="AF12" s="813"/>
      <c r="AG12" s="813"/>
      <c r="AH12" s="813"/>
      <c r="AI12" s="813"/>
      <c r="AJ12" s="813"/>
      <c r="AK12" s="813"/>
      <c r="AL12" s="813"/>
      <c r="AM12" s="814"/>
      <c r="AO12" s="66"/>
      <c r="AP12" s="66" t="str">
        <f t="shared" si="0"/>
        <v/>
      </c>
      <c r="AQ12" s="66"/>
      <c r="AR12" s="66"/>
    </row>
    <row r="13" spans="1:44" s="65" customFormat="1" ht="0.75" hidden="1" customHeight="1">
      <c r="A13" s="142"/>
      <c r="B13" s="142"/>
      <c r="C13" s="142"/>
      <c r="D13" s="142"/>
      <c r="E13" s="1286"/>
      <c r="F13" s="1286"/>
      <c r="G13" s="1285"/>
      <c r="H13" s="142"/>
      <c r="I13" s="142"/>
      <c r="J13" s="142"/>
      <c r="K13" s="142"/>
      <c r="L13" s="357"/>
      <c r="M13" s="304"/>
      <c r="N13" s="304"/>
      <c r="P13" s="101"/>
      <c r="Q13" s="785"/>
      <c r="R13" s="101"/>
      <c r="S13" s="786"/>
      <c r="T13" s="787" t="s">
        <v>431</v>
      </c>
      <c r="U13" s="788"/>
      <c r="V13" s="788"/>
      <c r="W13" s="788"/>
      <c r="X13" s="788"/>
      <c r="Y13" s="788"/>
      <c r="Z13" s="788"/>
      <c r="AA13" s="788"/>
      <c r="AB13" s="788"/>
      <c r="AC13" s="788"/>
      <c r="AD13" s="788"/>
      <c r="AE13" s="788"/>
      <c r="AF13" s="788"/>
      <c r="AG13" s="788"/>
      <c r="AH13" s="788"/>
      <c r="AI13" s="788"/>
      <c r="AJ13" s="788"/>
      <c r="AK13" s="788"/>
      <c r="AL13" s="788"/>
      <c r="AM13" s="788"/>
      <c r="AO13" s="66"/>
      <c r="AP13" s="66" t="str">
        <f t="shared" si="0"/>
        <v>Добавить источник для дифференциации</v>
      </c>
      <c r="AQ13" s="66"/>
      <c r="AR13" s="66"/>
    </row>
    <row r="14" spans="1:44" s="65" customFormat="1" ht="0.75" hidden="1" customHeight="1">
      <c r="A14" s="142"/>
      <c r="B14" s="142"/>
      <c r="C14" s="142"/>
      <c r="D14" s="142"/>
      <c r="E14" s="1286"/>
      <c r="F14" s="1285"/>
      <c r="G14" s="142"/>
      <c r="H14" s="142"/>
      <c r="I14" s="142"/>
      <c r="J14" s="142"/>
      <c r="K14" s="142"/>
      <c r="L14" s="357"/>
      <c r="M14" s="789"/>
      <c r="N14" s="789"/>
      <c r="P14" s="101"/>
      <c r="Q14" s="785"/>
      <c r="R14" s="101"/>
      <c r="S14" s="790"/>
      <c r="T14" s="791" t="s">
        <v>432</v>
      </c>
      <c r="U14" s="324"/>
      <c r="V14" s="324"/>
      <c r="W14" s="324"/>
      <c r="X14" s="324"/>
      <c r="Y14" s="324"/>
      <c r="Z14" s="324"/>
      <c r="AA14" s="324"/>
      <c r="AB14" s="324"/>
      <c r="AC14" s="324"/>
      <c r="AD14" s="324"/>
      <c r="AE14" s="324"/>
      <c r="AF14" s="324"/>
      <c r="AG14" s="324"/>
      <c r="AH14" s="324"/>
      <c r="AI14" s="324"/>
      <c r="AJ14" s="324"/>
      <c r="AK14" s="324"/>
      <c r="AL14" s="324"/>
      <c r="AM14" s="324"/>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85"/>
      <c r="F15" s="142"/>
      <c r="G15" s="142"/>
      <c r="H15" s="142"/>
      <c r="I15" s="142"/>
      <c r="J15" s="142"/>
      <c r="K15" s="142"/>
      <c r="L15" s="357"/>
      <c r="M15" s="789"/>
      <c r="N15" s="789"/>
      <c r="P15" s="101"/>
      <c r="Q15" s="785"/>
      <c r="R15" s="101"/>
      <c r="S15" s="790"/>
      <c r="T15" s="792" t="s">
        <v>433</v>
      </c>
      <c r="U15" s="324"/>
      <c r="V15" s="324"/>
      <c r="W15" s="324"/>
      <c r="X15" s="324"/>
      <c r="Y15" s="324"/>
      <c r="Z15" s="324"/>
      <c r="AA15" s="324"/>
      <c r="AB15" s="324"/>
      <c r="AC15" s="324"/>
      <c r="AD15" s="324"/>
      <c r="AE15" s="324"/>
      <c r="AF15" s="324"/>
      <c r="AG15" s="324"/>
      <c r="AH15" s="324"/>
      <c r="AI15" s="324"/>
      <c r="AJ15" s="324"/>
      <c r="AK15" s="324"/>
      <c r="AL15" s="324"/>
      <c r="AM15" s="324"/>
      <c r="AO15" s="66"/>
      <c r="AP15" s="66" t="str">
        <f t="shared" si="0"/>
        <v>Добавить территорию для дифференциации</v>
      </c>
      <c r="AQ15" s="66"/>
      <c r="AR15" s="66"/>
    </row>
    <row r="16" spans="1:44" ht="14.25" hidden="1" customHeight="1"/>
    <row r="17" spans="1:44" ht="14.25" hidden="1" customHeight="1">
      <c r="AD17" s="378"/>
      <c r="AE17" s="378"/>
      <c r="AF17" s="378"/>
      <c r="AG17" s="797"/>
      <c r="AH17" s="1283"/>
      <c r="AI17" s="1282" t="s">
        <v>59</v>
      </c>
      <c r="AJ17" s="1283"/>
      <c r="AK17" s="1282" t="s">
        <v>59</v>
      </c>
    </row>
    <row r="18" spans="1:44" ht="14.25" hidden="1" customHeight="1">
      <c r="AD18" s="378"/>
      <c r="AE18" s="378"/>
      <c r="AF18" s="378"/>
      <c r="AG18" s="198" t="str">
        <f>AH17&amp;"-"&amp;AJ17</f>
        <v>-</v>
      </c>
      <c r="AH18" s="1282"/>
      <c r="AI18" s="1282"/>
      <c r="AJ18" s="1282"/>
      <c r="AK18" s="1282"/>
    </row>
    <row r="19" spans="1:44" ht="14.25" hidden="1" customHeight="1"/>
    <row r="20" spans="1:44" s="60" customFormat="1" ht="22.5" hidden="1" customHeight="1">
      <c r="L20" s="312"/>
      <c r="M20" s="522"/>
      <c r="N20" s="522"/>
      <c r="O20" s="800" t="s">
        <v>475</v>
      </c>
      <c r="P20" s="522"/>
      <c r="Q20" s="801"/>
      <c r="R20" s="801"/>
      <c r="S20" s="435"/>
      <c r="Z20" s="800"/>
      <c r="AB20" s="800"/>
      <c r="AH20" s="800"/>
      <c r="AJ20" s="800"/>
      <c r="AN20" s="65"/>
      <c r="AO20" s="65"/>
      <c r="AP20" s="65"/>
      <c r="AQ20" s="65"/>
      <c r="AR20" s="65"/>
    </row>
    <row r="21" spans="1:44" s="60" customFormat="1" ht="14.25" hidden="1" customHeight="1">
      <c r="L21" s="312"/>
      <c r="M21" s="522"/>
      <c r="N21" s="522"/>
      <c r="O21" s="522"/>
      <c r="P21" s="522"/>
      <c r="Q21" s="801"/>
      <c r="R21" s="801"/>
      <c r="S21" s="435"/>
      <c r="AN21" s="65"/>
      <c r="AO21" s="65"/>
      <c r="AP21" s="65"/>
      <c r="AQ21" s="65"/>
      <c r="AR21" s="65"/>
    </row>
    <row r="22" spans="1:44" s="60" customFormat="1" ht="14.25" hidden="1" customHeight="1">
      <c r="L22" s="312"/>
      <c r="M22" s="522"/>
      <c r="N22" s="522"/>
      <c r="O22" s="799" t="s">
        <v>476</v>
      </c>
      <c r="P22" s="522"/>
      <c r="Q22" s="801"/>
      <c r="R22" s="801"/>
      <c r="S22" s="435"/>
      <c r="T22" s="60" t="s">
        <v>477</v>
      </c>
      <c r="AA22" s="79" t="s">
        <v>478</v>
      </c>
      <c r="AC22" s="79" t="s">
        <v>479</v>
      </c>
      <c r="AD22" s="60" t="s">
        <v>477</v>
      </c>
      <c r="AI22" s="79" t="s">
        <v>480</v>
      </c>
      <c r="AK22" s="79" t="s">
        <v>479</v>
      </c>
      <c r="AN22" s="65"/>
      <c r="AO22" s="65"/>
      <c r="AP22" s="65"/>
      <c r="AQ22" s="65"/>
      <c r="AR22" s="65"/>
    </row>
    <row r="23" spans="1:44" ht="14.25" hidden="1" customHeight="1">
      <c r="O23" s="799"/>
    </row>
    <row r="24" spans="1:44" ht="14.25" hidden="1" customHeight="1">
      <c r="O24" s="799"/>
    </row>
    <row r="25" spans="1:44" ht="14.25" customHeight="1">
      <c r="Q25" s="27"/>
      <c r="R25" s="27"/>
      <c r="S25" s="769"/>
      <c r="T25" s="8"/>
      <c r="U25" s="8"/>
    </row>
    <row r="26" spans="1:44" ht="64.5" customHeight="1">
      <c r="Q26" s="27"/>
      <c r="R26" s="27"/>
      <c r="S26" s="131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310"/>
      <c r="U26" s="1310"/>
      <c r="V26" s="1310"/>
      <c r="W26" s="1310"/>
      <c r="X26" s="1310"/>
      <c r="Y26" s="1310"/>
      <c r="Z26" s="1310"/>
      <c r="AA26" s="1310"/>
      <c r="AB26" s="1310"/>
      <c r="AC26" s="1310"/>
      <c r="AD26" s="1310"/>
      <c r="AE26" s="1310"/>
      <c r="AF26" s="1310"/>
      <c r="AG26" s="1310"/>
      <c r="AH26" s="1310"/>
      <c r="AI26" s="1310"/>
      <c r="AJ26" s="1310"/>
      <c r="AK26" s="57"/>
    </row>
    <row r="27" spans="1:44" ht="14.25" customHeight="1">
      <c r="Q27" s="27"/>
      <c r="R27" s="27"/>
      <c r="S27" s="1170" t="str">
        <f>IF(org=0,"Не определено",org)</f>
        <v>ИМУП «ПОСЖИЛКОМСЕРВИС»</v>
      </c>
      <c r="T27" s="1170"/>
      <c r="U27" s="1170"/>
      <c r="V27" s="1170"/>
      <c r="W27" s="1170"/>
      <c r="X27" s="1170"/>
      <c r="Y27" s="1170"/>
      <c r="Z27" s="1170"/>
      <c r="AA27" s="1170"/>
      <c r="AB27" s="1170"/>
      <c r="AC27" s="1170"/>
      <c r="AD27" s="1170"/>
      <c r="AE27" s="1170"/>
      <c r="AF27" s="1170"/>
      <c r="AG27" s="1170"/>
      <c r="AH27" s="1170"/>
      <c r="AI27" s="1170"/>
      <c r="AJ27" s="1170"/>
      <c r="AK27" s="57"/>
    </row>
    <row r="28" spans="1:44" ht="14.25" hidden="1" customHeight="1">
      <c r="Q28" s="27"/>
      <c r="R28" s="27"/>
      <c r="S28" s="769"/>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9"/>
      <c r="M29" s="79"/>
      <c r="N29" s="79"/>
      <c r="O29" s="79"/>
      <c r="S29" s="1276" t="s">
        <v>40</v>
      </c>
      <c r="T29" s="1276"/>
      <c r="U29" s="802"/>
      <c r="V29" s="1278" t="str">
        <f>IF(TITLE_NAME_OR_PR_CHANGE="",IF(TITLE_NAME_OR_PR="","",TITLE_NAME_OR_PR),TITLE_NAME_OR_PR_CHANGE)</f>
        <v/>
      </c>
      <c r="W29" s="1278"/>
      <c r="X29" s="1278"/>
      <c r="Y29" s="1278"/>
      <c r="Z29" s="1278"/>
      <c r="AA29" s="1278"/>
      <c r="AB29" s="1278"/>
      <c r="AC29" s="9"/>
      <c r="AD29" s="1278" t="str">
        <f>IF(TITLE_NAME_OR_PR_CHANGE="",IF(TITLE_NAME_OR_PR="","",TITLE_NAME_OR_PR),TITLE_NAME_OR_PR_CHANGE)</f>
        <v/>
      </c>
      <c r="AE29" s="1278"/>
      <c r="AF29" s="1278"/>
      <c r="AG29" s="1278"/>
      <c r="AH29" s="1278"/>
      <c r="AI29" s="1278"/>
      <c r="AJ29" s="127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9"/>
      <c r="M30" s="79"/>
      <c r="N30" s="79"/>
      <c r="O30" s="79"/>
      <c r="S30" s="1276" t="s">
        <v>481</v>
      </c>
      <c r="T30" s="1276"/>
      <c r="U30" s="802"/>
      <c r="V30" s="1277" t="str">
        <f>IF(TITLE_DATE_CHANGE_PERIOD="",IF(TITLE_DATE_PR="","",TITLE_DATE_PR),TITLE_DATE_CHANGE_PERIOD)</f>
        <v/>
      </c>
      <c r="W30" s="1277"/>
      <c r="X30" s="1277"/>
      <c r="Y30" s="1277"/>
      <c r="Z30" s="1277"/>
      <c r="AA30" s="1277"/>
      <c r="AB30" s="1277"/>
      <c r="AC30" s="9"/>
      <c r="AD30" s="1277" t="str">
        <f>IF(TITLE_DATE_CHANGE_PERIOD="",IF(TITLE_DATE_PR="","",TITLE_DATE_PR),TITLE_DATE_CHANGE_PERIOD)</f>
        <v/>
      </c>
      <c r="AE30" s="1277"/>
      <c r="AF30" s="1277"/>
      <c r="AG30" s="1277"/>
      <c r="AH30" s="1277"/>
      <c r="AI30" s="1277"/>
      <c r="AJ30" s="127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9"/>
      <c r="M31" s="79"/>
      <c r="N31" s="79"/>
      <c r="O31" s="79"/>
      <c r="S31" s="1276" t="s">
        <v>482</v>
      </c>
      <c r="T31" s="1276"/>
      <c r="U31" s="802"/>
      <c r="V31" s="1278" t="str">
        <f>IF(TITLE_NUMBER_PR_CHANGE="",IF(TITLE_NUMBER_PR="","",TITLE_NUMBER_PR),TITLE_NUMBER_PR_CHANGE)</f>
        <v/>
      </c>
      <c r="W31" s="1278"/>
      <c r="X31" s="1278"/>
      <c r="Y31" s="1278"/>
      <c r="Z31" s="1278"/>
      <c r="AA31" s="1278"/>
      <c r="AB31" s="1278"/>
      <c r="AC31" s="9"/>
      <c r="AD31" s="1278" t="str">
        <f>IF(TITLE_NUMBER_PR_CHANGE="",IF(TITLE_NUMBER_PR="","",TITLE_NUMBER_PR),TITLE_NUMBER_PR_CHANGE)</f>
        <v/>
      </c>
      <c r="AE31" s="1278"/>
      <c r="AF31" s="1278"/>
      <c r="AG31" s="1278"/>
      <c r="AH31" s="1278"/>
      <c r="AI31" s="1278"/>
      <c r="AJ31" s="127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9"/>
      <c r="M32" s="79"/>
      <c r="N32" s="79"/>
      <c r="O32" s="79"/>
      <c r="S32" s="1276" t="s">
        <v>41</v>
      </c>
      <c r="T32" s="1276"/>
      <c r="U32" s="802"/>
      <c r="V32" s="1278" t="str">
        <f>IF(TITLE_IST_PUB_CHANGE="",IF(TITLE_IST_PUB="","",TITLE_IST_PUB),TITLE_IST_PUB_CHANGE)</f>
        <v/>
      </c>
      <c r="W32" s="1278"/>
      <c r="X32" s="1278"/>
      <c r="Y32" s="1278"/>
      <c r="Z32" s="1278"/>
      <c r="AA32" s="1278"/>
      <c r="AB32" s="1278"/>
      <c r="AC32" s="9"/>
      <c r="AD32" s="1278" t="str">
        <f>IF(TITLE_IST_PUB_CHANGE="",IF(TITLE_IST_PUB="","",TITLE_IST_PUB),TITLE_IST_PUB_CHANGE)</f>
        <v/>
      </c>
      <c r="AE32" s="1278"/>
      <c r="AF32" s="1278"/>
      <c r="AG32" s="1278"/>
      <c r="AH32" s="1278"/>
      <c r="AI32" s="1278"/>
      <c r="AJ32" s="1278"/>
      <c r="AK32" s="9"/>
      <c r="AL32" s="9"/>
      <c r="AM32" s="162"/>
      <c r="AN32" s="66"/>
      <c r="AO32" s="66"/>
      <c r="AP32" s="66"/>
      <c r="AQ32" s="66"/>
      <c r="AR32" s="66"/>
    </row>
    <row r="33" spans="1:44" ht="14.25" hidden="1" customHeight="1">
      <c r="Q33" s="27"/>
      <c r="R33" s="27"/>
      <c r="S33" s="769"/>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9"/>
      <c r="M34" s="79"/>
      <c r="N34" s="79"/>
      <c r="O34" s="79"/>
      <c r="S34" s="1276" t="s">
        <v>483</v>
      </c>
      <c r="T34" s="1276"/>
      <c r="U34" s="802"/>
      <c r="V34" s="1277" t="str">
        <f>IF(TITLE_DATE_CHANGE_PERIOD="",IF(TITLE_DATE_PR="","",TITLE_DATE_PR),TITLE_DATE_CHANGE_PERIOD)</f>
        <v/>
      </c>
      <c r="W34" s="1277"/>
      <c r="X34" s="1277"/>
      <c r="Y34" s="1277"/>
      <c r="Z34" s="1277"/>
      <c r="AA34" s="1277"/>
      <c r="AB34" s="1277"/>
      <c r="AC34" s="9"/>
      <c r="AD34" s="1277" t="str">
        <f>IF(TITLE_DATE_CHANGE_PERIOD="",IF(TITLE_DATE_PR="","",TITLE_DATE_PR),TITLE_DATE_CHANGE_PERIOD)</f>
        <v/>
      </c>
      <c r="AE34" s="1277"/>
      <c r="AF34" s="1277"/>
      <c r="AG34" s="1277"/>
      <c r="AH34" s="1277"/>
      <c r="AI34" s="1277"/>
      <c r="AJ34" s="127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9"/>
      <c r="M35" s="79"/>
      <c r="N35" s="79"/>
      <c r="O35" s="79"/>
      <c r="S35" s="1276" t="s">
        <v>484</v>
      </c>
      <c r="T35" s="1276"/>
      <c r="U35" s="802"/>
      <c r="V35" s="1278" t="str">
        <f>IF(TITLE_NUMBER_PR_CHANGE="",IF(TITLE_NUMBER_PR="","",TITLE_NUMBER_PR),TITLE_NUMBER_PR_CHANGE)</f>
        <v/>
      </c>
      <c r="W35" s="1278"/>
      <c r="X35" s="1278"/>
      <c r="Y35" s="1278"/>
      <c r="Z35" s="1278"/>
      <c r="AA35" s="1278"/>
      <c r="AB35" s="1278"/>
      <c r="AC35" s="9"/>
      <c r="AD35" s="1278" t="str">
        <f>IF(TITLE_NUMBER_PR_CHANGE="",IF(TITLE_NUMBER_PR="","",TITLE_NUMBER_PR),TITLE_NUMBER_PR_CHANGE)</f>
        <v/>
      </c>
      <c r="AE35" s="1278"/>
      <c r="AF35" s="1278"/>
      <c r="AG35" s="1278"/>
      <c r="AH35" s="1278"/>
      <c r="AI35" s="1278"/>
      <c r="AJ35" s="127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9"/>
      <c r="M36" s="79"/>
      <c r="N36" s="79"/>
      <c r="O36" s="79"/>
      <c r="S36" s="9"/>
      <c r="T36" s="9"/>
      <c r="U36" s="75"/>
      <c r="V36" s="9"/>
      <c r="W36" s="9"/>
      <c r="X36" s="9"/>
      <c r="Y36" s="9"/>
      <c r="Z36" s="9"/>
      <c r="AA36" s="9"/>
      <c r="AB36" s="9"/>
      <c r="AC36" s="65" t="s">
        <v>485</v>
      </c>
      <c r="AD36" s="9"/>
      <c r="AE36" s="9"/>
      <c r="AF36" s="9"/>
      <c r="AG36" s="9"/>
      <c r="AH36" s="9"/>
      <c r="AI36" s="9"/>
      <c r="AJ36" s="9"/>
      <c r="AK36" s="65" t="s">
        <v>485</v>
      </c>
      <c r="AN36" s="66"/>
      <c r="AO36" s="66"/>
      <c r="AP36" s="66"/>
      <c r="AQ36" s="66"/>
      <c r="AR36" s="66"/>
    </row>
    <row r="37" spans="1:44" ht="14.25" customHeight="1">
      <c r="Q37" s="27"/>
      <c r="R37" s="27"/>
      <c r="S37" s="769"/>
      <c r="T37" s="8"/>
      <c r="U37" s="741"/>
      <c r="V37" s="1296"/>
      <c r="W37" s="1296"/>
      <c r="X37" s="1296"/>
      <c r="Y37" s="1296"/>
      <c r="Z37" s="1296"/>
      <c r="AA37" s="1296"/>
      <c r="AB37" s="1296"/>
      <c r="AC37" s="1296"/>
      <c r="AD37" s="1296"/>
      <c r="AE37" s="1296"/>
      <c r="AF37" s="1296"/>
      <c r="AG37" s="1296"/>
      <c r="AH37" s="1296"/>
      <c r="AI37" s="1296"/>
      <c r="AJ37" s="1296"/>
      <c r="AK37" s="1296"/>
    </row>
    <row r="38" spans="1:44" ht="14.25" customHeight="1">
      <c r="Q38" s="27"/>
      <c r="R38" s="27"/>
      <c r="S38" s="1083" t="s">
        <v>288</v>
      </c>
      <c r="T38" s="1083"/>
      <c r="U38" s="1083"/>
      <c r="V38" s="1083"/>
      <c r="W38" s="1083"/>
      <c r="X38" s="1083"/>
      <c r="Y38" s="1083"/>
      <c r="Z38" s="1083"/>
      <c r="AA38" s="1083"/>
      <c r="AB38" s="1083"/>
      <c r="AC38" s="1083"/>
      <c r="AD38" s="1083"/>
      <c r="AE38" s="1083"/>
      <c r="AF38" s="1083"/>
      <c r="AG38" s="1083"/>
      <c r="AH38" s="1083"/>
      <c r="AI38" s="1083"/>
      <c r="AJ38" s="1083"/>
      <c r="AK38" s="1083"/>
      <c r="AL38" s="1083"/>
      <c r="AM38" s="1083" t="s">
        <v>289</v>
      </c>
    </row>
    <row r="39" spans="1:44" ht="14.25" customHeight="1">
      <c r="Q39" s="27"/>
      <c r="R39" s="27"/>
      <c r="S39" s="1297" t="s">
        <v>88</v>
      </c>
      <c r="T39" s="1168" t="s">
        <v>486</v>
      </c>
      <c r="U39" s="171"/>
      <c r="V39" s="1298" t="s">
        <v>487</v>
      </c>
      <c r="W39" s="1299"/>
      <c r="X39" s="1299"/>
      <c r="Y39" s="1299"/>
      <c r="Z39" s="1299"/>
      <c r="AA39" s="1299"/>
      <c r="AB39" s="1300"/>
      <c r="AC39" s="1301" t="s">
        <v>488</v>
      </c>
      <c r="AD39" s="1298" t="s">
        <v>487</v>
      </c>
      <c r="AE39" s="1299"/>
      <c r="AF39" s="1299"/>
      <c r="AG39" s="1299"/>
      <c r="AH39" s="1299"/>
      <c r="AI39" s="1299"/>
      <c r="AJ39" s="1300"/>
      <c r="AK39" s="1301" t="s">
        <v>489</v>
      </c>
      <c r="AL39" s="1304" t="s">
        <v>490</v>
      </c>
      <c r="AM39" s="1083"/>
    </row>
    <row r="40" spans="1:44" ht="33.75" customHeight="1">
      <c r="Q40" s="27"/>
      <c r="R40" s="27"/>
      <c r="S40" s="1297"/>
      <c r="T40" s="1168"/>
      <c r="U40" s="626"/>
      <c r="V40" s="1137" t="s">
        <v>491</v>
      </c>
      <c r="W40" s="1293"/>
      <c r="X40" s="1065" t="s">
        <v>493</v>
      </c>
      <c r="Y40" s="1064"/>
      <c r="Z40" s="1065" t="s">
        <v>494</v>
      </c>
      <c r="AA40" s="1070"/>
      <c r="AB40" s="1064"/>
      <c r="AC40" s="1302"/>
      <c r="AD40" s="1137" t="s">
        <v>491</v>
      </c>
      <c r="AE40" s="1293"/>
      <c r="AF40" s="1065" t="s">
        <v>493</v>
      </c>
      <c r="AG40" s="1064"/>
      <c r="AH40" s="1065" t="s">
        <v>494</v>
      </c>
      <c r="AI40" s="1070"/>
      <c r="AJ40" s="1064"/>
      <c r="AK40" s="1302"/>
      <c r="AL40" s="1305"/>
      <c r="AM40" s="1083"/>
    </row>
    <row r="41" spans="1:44" ht="33.75" customHeight="1">
      <c r="A41" s="79"/>
      <c r="B41" s="79" t="s">
        <v>137</v>
      </c>
      <c r="C41" s="79" t="s">
        <v>138</v>
      </c>
      <c r="D41" s="79" t="s">
        <v>139</v>
      </c>
      <c r="E41" s="799" t="s">
        <v>495</v>
      </c>
      <c r="F41" s="799" t="s">
        <v>496</v>
      </c>
      <c r="G41" s="799" t="s">
        <v>497</v>
      </c>
      <c r="H41" s="799" t="s">
        <v>498</v>
      </c>
      <c r="I41" s="799" t="s">
        <v>499</v>
      </c>
      <c r="J41" s="799" t="s">
        <v>500</v>
      </c>
      <c r="K41" s="799" t="s">
        <v>501</v>
      </c>
      <c r="L41" s="799" t="s">
        <v>476</v>
      </c>
      <c r="Q41" s="27"/>
      <c r="R41" s="27"/>
      <c r="S41" s="1297"/>
      <c r="T41" s="1168"/>
      <c r="U41" s="172"/>
      <c r="V41" s="1193"/>
      <c r="W41" s="1294"/>
      <c r="X41" s="37" t="s">
        <v>502</v>
      </c>
      <c r="Y41" s="37" t="s">
        <v>503</v>
      </c>
      <c r="Z41" s="37" t="s">
        <v>504</v>
      </c>
      <c r="AA41" s="1174" t="s">
        <v>505</v>
      </c>
      <c r="AB41" s="1188"/>
      <c r="AC41" s="1303"/>
      <c r="AD41" s="1193"/>
      <c r="AE41" s="1294"/>
      <c r="AF41" s="37" t="s">
        <v>502</v>
      </c>
      <c r="AG41" s="37" t="s">
        <v>503</v>
      </c>
      <c r="AH41" s="37" t="s">
        <v>504</v>
      </c>
      <c r="AI41" s="1174" t="s">
        <v>505</v>
      </c>
      <c r="AJ41" s="1188"/>
      <c r="AK41" s="1303"/>
      <c r="AL41" s="1306"/>
      <c r="AM41" s="1083"/>
    </row>
    <row r="42" spans="1:44" s="209" customFormat="1" ht="11.25" hidden="1" customHeight="1">
      <c r="A42" s="79"/>
      <c r="B42" s="79"/>
      <c r="C42" s="79"/>
      <c r="D42" s="79"/>
      <c r="E42" s="79"/>
      <c r="F42" s="79"/>
      <c r="G42" s="79"/>
      <c r="H42" s="79"/>
      <c r="I42" s="79"/>
      <c r="J42" s="79"/>
      <c r="K42" s="79"/>
      <c r="L42" s="799"/>
      <c r="M42" s="522"/>
      <c r="N42" s="522"/>
      <c r="O42" s="522"/>
      <c r="P42" s="743"/>
      <c r="Q42" s="744"/>
      <c r="R42" s="752">
        <v>1</v>
      </c>
      <c r="S42" s="771" t="s">
        <v>110</v>
      </c>
      <c r="T42" s="753" t="s">
        <v>111</v>
      </c>
      <c r="U42" s="742" t="str">
        <f ca="1">OFFSET(U42,0,-1)</f>
        <v>2</v>
      </c>
      <c r="V42" s="754">
        <f ca="1">OFFSET(V42,0,-1)+1</f>
        <v>3</v>
      </c>
      <c r="W42" s="754"/>
      <c r="X42" s="754">
        <f ca="1">OFFSET(X42,0,-1)+1</f>
        <v>1</v>
      </c>
      <c r="Y42" s="754">
        <f ca="1">OFFSET(Y42,0,-1)+1</f>
        <v>2</v>
      </c>
      <c r="Z42" s="754">
        <f ca="1">OFFSET(Z42,0,-1)+1</f>
        <v>3</v>
      </c>
      <c r="AA42" s="1295">
        <f ca="1">OFFSET(AA42,0,-1)+1</f>
        <v>4</v>
      </c>
      <c r="AB42" s="1295"/>
      <c r="AC42" s="754">
        <f ca="1">OFFSET(AC42,0,-2)+1</f>
        <v>5</v>
      </c>
      <c r="AD42" s="754">
        <f ca="1">OFFSET(AD42,0,-1)+1</f>
        <v>6</v>
      </c>
      <c r="AE42" s="754"/>
      <c r="AF42" s="754">
        <f ca="1">OFFSET(AF42,0,-1)+1</f>
        <v>1</v>
      </c>
      <c r="AG42" s="754">
        <f ca="1">OFFSET(AG42,0,-1)+1</f>
        <v>2</v>
      </c>
      <c r="AH42" s="754">
        <f ca="1">OFFSET(AH42,0,-1)+1</f>
        <v>3</v>
      </c>
      <c r="AI42" s="1295">
        <f ca="1">OFFSET(AI42,0,-1)+1</f>
        <v>4</v>
      </c>
      <c r="AJ42" s="1295"/>
      <c r="AK42" s="754">
        <f ca="1">OFFSET(AK42,0,-2)+1</f>
        <v>5</v>
      </c>
      <c r="AL42" s="742">
        <f ca="1">OFFSET(AL42,0,-1)</f>
        <v>5</v>
      </c>
      <c r="AM42" s="754">
        <f ca="1">OFFSET(AM42,0,-1)+1</f>
        <v>6</v>
      </c>
      <c r="AN42" s="65"/>
      <c r="AO42" s="65"/>
      <c r="AP42" s="65"/>
      <c r="AQ42" s="65"/>
      <c r="AR42" s="65"/>
    </row>
    <row r="43" spans="1:44" ht="21" customHeight="1">
      <c r="A43" s="798" t="s">
        <v>170</v>
      </c>
      <c r="B43" s="798"/>
      <c r="C43" s="798"/>
      <c r="D43" s="798"/>
      <c r="E43" s="1285">
        <v>1</v>
      </c>
      <c r="F43" s="798"/>
      <c r="G43" s="798"/>
      <c r="H43" s="798"/>
      <c r="I43" s="798"/>
      <c r="J43" s="798"/>
      <c r="K43" s="798"/>
      <c r="L43" s="799"/>
      <c r="M43" s="435"/>
      <c r="N43" s="435"/>
      <c r="O43" s="435"/>
      <c r="Q43" s="2"/>
      <c r="R43" s="213"/>
      <c r="S43" s="730">
        <f>INDEX(PT_DIFFERENTIATION_NUM_NTAR,MATCH(A43,PT_DIFFERENTIATION_NTAR_ID,0))</f>
        <v>0</v>
      </c>
      <c r="T43" s="64" t="s">
        <v>125</v>
      </c>
      <c r="U43" s="170"/>
      <c r="V43" s="1279"/>
      <c r="W43" s="1280"/>
      <c r="X43" s="1280"/>
      <c r="Y43" s="1280"/>
      <c r="Z43" s="1280"/>
      <c r="AA43" s="1280"/>
      <c r="AB43" s="1280"/>
      <c r="AC43" s="1281"/>
      <c r="AD43" s="1279" t="str">
        <f>INDEX(PT_DIFFERENTIATION_NTAR,MATCH(A43,PT_DIFFERENTIATION_NTAR_ID,0))</f>
        <v/>
      </c>
      <c r="AE43" s="1280"/>
      <c r="AF43" s="1280"/>
      <c r="AG43" s="1280"/>
      <c r="AH43" s="1280"/>
      <c r="AI43" s="1280"/>
      <c r="AJ43" s="1280"/>
      <c r="AK43" s="1280"/>
      <c r="AL43" s="1281"/>
      <c r="AM43" s="7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8" t="s">
        <v>170</v>
      </c>
      <c r="B44" s="798" t="s">
        <v>171</v>
      </c>
      <c r="C44" s="798"/>
      <c r="D44" s="798"/>
      <c r="E44" s="1286"/>
      <c r="F44" s="1285">
        <v>1</v>
      </c>
      <c r="G44" s="798"/>
      <c r="H44" s="798"/>
      <c r="I44" s="798"/>
      <c r="J44" s="798"/>
      <c r="K44" s="798"/>
      <c r="L44" s="799"/>
      <c r="M44" s="435"/>
      <c r="N44" s="435"/>
      <c r="O44" s="435"/>
      <c r="P44" s="56"/>
      <c r="Q44" s="210"/>
      <c r="R44" s="211"/>
      <c r="S44" s="730" t="str">
        <f>INDEX(PT_DIFFERENTIATION_NUM_TER,MATCH(B44,PT_DIFFERENTIATION_TER_ID,0))</f>
        <v>.</v>
      </c>
      <c r="T44" s="178" t="s">
        <v>458</v>
      </c>
      <c r="U44" s="170"/>
      <c r="V44" s="1279"/>
      <c r="W44" s="1280"/>
      <c r="X44" s="1280"/>
      <c r="Y44" s="1280"/>
      <c r="Z44" s="1280"/>
      <c r="AA44" s="1280"/>
      <c r="AB44" s="1280"/>
      <c r="AC44" s="1281"/>
      <c r="AD44" s="1279" t="str">
        <f>INDEX(PT_DIFFERENTIATION_TER,MATCH(B44,PT_DIFFERENTIATION_TER_ID,0))</f>
        <v/>
      </c>
      <c r="AE44" s="1280"/>
      <c r="AF44" s="1280"/>
      <c r="AG44" s="1280"/>
      <c r="AH44" s="1280"/>
      <c r="AI44" s="1280"/>
      <c r="AJ44" s="1280"/>
      <c r="AK44" s="1280"/>
      <c r="AL44" s="1281"/>
      <c r="AM44" s="758" t="s">
        <v>459</v>
      </c>
      <c r="AO44" s="66"/>
      <c r="AP44" s="66" t="str">
        <f t="shared" si="1"/>
        <v>Территория действия тарифа</v>
      </c>
      <c r="AQ44" s="66"/>
      <c r="AR44" s="66"/>
    </row>
    <row r="45" spans="1:44" ht="23.25" customHeight="1">
      <c r="A45" s="798" t="s">
        <v>170</v>
      </c>
      <c r="B45" s="798" t="s">
        <v>171</v>
      </c>
      <c r="C45" s="798" t="s">
        <v>172</v>
      </c>
      <c r="D45" s="798"/>
      <c r="E45" s="1286"/>
      <c r="F45" s="1286"/>
      <c r="G45" s="1285">
        <v>1</v>
      </c>
      <c r="H45" s="798"/>
      <c r="I45" s="798"/>
      <c r="J45" s="798"/>
      <c r="K45" s="798"/>
      <c r="L45" s="799"/>
      <c r="M45" s="435"/>
      <c r="N45" s="435"/>
      <c r="O45" s="435"/>
      <c r="P45" s="212"/>
      <c r="Q45" s="210"/>
      <c r="R45" s="211"/>
      <c r="S45" s="730" t="str">
        <f>INDEX(PT_DIFFERENTIATION_NUM_CS,MATCH(C45,PT_DIFFERENTIATION_CS_ID,0))</f>
        <v>..</v>
      </c>
      <c r="T45" s="179" t="s">
        <v>460</v>
      </c>
      <c r="U45" s="170"/>
      <c r="V45" s="1279"/>
      <c r="W45" s="1280"/>
      <c r="X45" s="1280"/>
      <c r="Y45" s="1280"/>
      <c r="Z45" s="1280"/>
      <c r="AA45" s="1280"/>
      <c r="AB45" s="1280"/>
      <c r="AC45" s="1281"/>
      <c r="AD45" s="1279" t="str">
        <f>INDEX(PT_DIFFERENTIATION_CS,MATCH(C45,PT_DIFFERENTIATION_CS_ID,0))</f>
        <v/>
      </c>
      <c r="AE45" s="1280"/>
      <c r="AF45" s="1280"/>
      <c r="AG45" s="1280"/>
      <c r="AH45" s="1280"/>
      <c r="AI45" s="1280"/>
      <c r="AJ45" s="1280"/>
      <c r="AK45" s="1280"/>
      <c r="AL45" s="1281"/>
      <c r="AM45" s="758" t="s">
        <v>461</v>
      </c>
      <c r="AO45" s="66"/>
      <c r="AP45" s="66" t="str">
        <f t="shared" si="1"/>
        <v xml:space="preserve">Наименование системы теплоснабжения </v>
      </c>
      <c r="AQ45" s="66"/>
      <c r="AR45" s="66"/>
    </row>
    <row r="46" spans="1:44" ht="21" customHeight="1">
      <c r="A46" s="798" t="s">
        <v>170</v>
      </c>
      <c r="B46" s="798" t="s">
        <v>171</v>
      </c>
      <c r="C46" s="798" t="s">
        <v>172</v>
      </c>
      <c r="D46" s="798" t="s">
        <v>173</v>
      </c>
      <c r="E46" s="1286"/>
      <c r="F46" s="1286"/>
      <c r="G46" s="1286"/>
      <c r="H46" s="1285">
        <v>1</v>
      </c>
      <c r="I46" s="798"/>
      <c r="J46" s="798"/>
      <c r="K46" s="798"/>
      <c r="L46" s="799"/>
      <c r="M46" s="435"/>
      <c r="N46" s="435"/>
      <c r="O46" s="435"/>
      <c r="P46" s="212"/>
      <c r="Q46" s="210"/>
      <c r="R46" s="211"/>
      <c r="S46" s="730" t="str">
        <f>INDEX(PT_DIFFERENTIATION_NUM_IST_TE,MATCH(D46,PT_DIFFERENTIATION_IST_TE_ID,0))</f>
        <v>...</v>
      </c>
      <c r="T46" s="180" t="s">
        <v>462</v>
      </c>
      <c r="U46" s="170"/>
      <c r="V46" s="1279"/>
      <c r="W46" s="1280"/>
      <c r="X46" s="1280"/>
      <c r="Y46" s="1280"/>
      <c r="Z46" s="1280"/>
      <c r="AA46" s="1280"/>
      <c r="AB46" s="1280"/>
      <c r="AC46" s="1281"/>
      <c r="AD46" s="1279" t="str">
        <f>INDEX(PT_DIFFERENTIATION_IST_TE,MATCH(D46,PT_DIFFERENTIATION_IST_TE_ID,0))</f>
        <v/>
      </c>
      <c r="AE46" s="1280"/>
      <c r="AF46" s="1280"/>
      <c r="AG46" s="1280"/>
      <c r="AH46" s="1280"/>
      <c r="AI46" s="1280"/>
      <c r="AJ46" s="1280"/>
      <c r="AK46" s="1280"/>
      <c r="AL46" s="1281"/>
      <c r="AM46" s="758" t="s">
        <v>463</v>
      </c>
      <c r="AO46" s="66"/>
      <c r="AP46" s="66" t="str">
        <f t="shared" si="1"/>
        <v xml:space="preserve">Источник тепловой энергии  </v>
      </c>
      <c r="AQ46" s="66"/>
      <c r="AR46" s="66"/>
    </row>
    <row r="47" spans="1:44" s="65" customFormat="1" ht="0" hidden="1" customHeight="1">
      <c r="A47" s="142" t="s">
        <v>170</v>
      </c>
      <c r="B47" s="142" t="s">
        <v>171</v>
      </c>
      <c r="C47" s="142" t="s">
        <v>172</v>
      </c>
      <c r="D47" s="142" t="s">
        <v>173</v>
      </c>
      <c r="E47" s="1286"/>
      <c r="F47" s="1286"/>
      <c r="G47" s="1286"/>
      <c r="H47" s="1286"/>
      <c r="I47" s="1287" t="str">
        <f>S46&amp;".1"</f>
        <v>....1</v>
      </c>
      <c r="J47" s="142"/>
      <c r="K47" s="142"/>
      <c r="L47" s="357" t="s">
        <v>464</v>
      </c>
      <c r="M47" s="228"/>
      <c r="N47" s="228"/>
      <c r="O47" s="228"/>
      <c r="P47" s="1204">
        <v>1</v>
      </c>
      <c r="Q47" s="119"/>
      <c r="R47" s="214"/>
      <c r="S47" s="373"/>
      <c r="T47" s="808"/>
      <c r="U47" s="809"/>
      <c r="V47" s="1314"/>
      <c r="W47" s="1315"/>
      <c r="X47" s="1315"/>
      <c r="Y47" s="1315"/>
      <c r="Z47" s="1315"/>
      <c r="AA47" s="1315"/>
      <c r="AB47" s="1315"/>
      <c r="AC47" s="1316"/>
      <c r="AD47" s="1314"/>
      <c r="AE47" s="1315"/>
      <c r="AF47" s="1315"/>
      <c r="AG47" s="1315"/>
      <c r="AH47" s="1315"/>
      <c r="AI47" s="1315"/>
      <c r="AJ47" s="1315"/>
      <c r="AK47" s="1315"/>
      <c r="AL47" s="1316"/>
      <c r="AM47" s="810"/>
      <c r="AO47" s="66"/>
      <c r="AP47" s="66" t="str">
        <f t="shared" si="1"/>
        <v/>
      </c>
      <c r="AQ47" s="66"/>
      <c r="AR47" s="66"/>
    </row>
    <row r="48" spans="1:44" ht="21" customHeight="1">
      <c r="A48" s="798" t="s">
        <v>170</v>
      </c>
      <c r="B48" s="798" t="s">
        <v>171</v>
      </c>
      <c r="C48" s="798" t="s">
        <v>172</v>
      </c>
      <c r="D48" s="798" t="s">
        <v>173</v>
      </c>
      <c r="E48" s="1286"/>
      <c r="F48" s="1286"/>
      <c r="G48" s="1286"/>
      <c r="H48" s="1286"/>
      <c r="I48" s="1288"/>
      <c r="J48" s="1287" t="str">
        <f>S46&amp;".1"</f>
        <v>....1</v>
      </c>
      <c r="K48" s="798"/>
      <c r="L48" s="799" t="s">
        <v>467</v>
      </c>
      <c r="P48" s="1204"/>
      <c r="Q48" s="1204">
        <v>1</v>
      </c>
      <c r="R48" s="215"/>
      <c r="S48" s="730" t="str">
        <f>$J48</f>
        <v>....1</v>
      </c>
      <c r="T48" s="164" t="s">
        <v>468</v>
      </c>
      <c r="U48" s="170"/>
      <c r="V48" s="1273"/>
      <c r="W48" s="1274"/>
      <c r="X48" s="1274"/>
      <c r="Y48" s="1274"/>
      <c r="Z48" s="1274"/>
      <c r="AA48" s="1274"/>
      <c r="AB48" s="1274"/>
      <c r="AC48" s="1275"/>
      <c r="AD48" s="1273"/>
      <c r="AE48" s="1274"/>
      <c r="AF48" s="1274"/>
      <c r="AG48" s="1274"/>
      <c r="AH48" s="1274"/>
      <c r="AI48" s="1274"/>
      <c r="AJ48" s="1274"/>
      <c r="AK48" s="1274"/>
      <c r="AL48" s="1275"/>
      <c r="AM48" s="758" t="s">
        <v>469</v>
      </c>
      <c r="AO48" s="66"/>
      <c r="AP48" s="66" t="str">
        <f t="shared" si="1"/>
        <v>Группа потребителей</v>
      </c>
      <c r="AQ48" s="66"/>
      <c r="AR48" s="66"/>
    </row>
    <row r="49" spans="1:44" ht="21" customHeight="1">
      <c r="A49" s="798" t="s">
        <v>170</v>
      </c>
      <c r="B49" s="798" t="s">
        <v>171</v>
      </c>
      <c r="C49" s="798" t="s">
        <v>172</v>
      </c>
      <c r="D49" s="798" t="s">
        <v>173</v>
      </c>
      <c r="E49" s="1286"/>
      <c r="F49" s="1286"/>
      <c r="G49" s="1286"/>
      <c r="H49" s="1286"/>
      <c r="I49" s="1288"/>
      <c r="J49" s="1288"/>
      <c r="K49" s="1287" t="str">
        <f>J48&amp;".1"</f>
        <v>....1.1</v>
      </c>
      <c r="L49" s="799" t="s">
        <v>470</v>
      </c>
      <c r="P49" s="1204"/>
      <c r="Q49" s="1204"/>
      <c r="R49" s="215">
        <v>1</v>
      </c>
      <c r="S49" s="730" t="str">
        <f>$K49</f>
        <v>....1.1</v>
      </c>
      <c r="T49" s="794"/>
      <c r="U49" s="170"/>
      <c r="V49" s="317"/>
      <c r="W49" s="196"/>
      <c r="X49" s="317"/>
      <c r="Y49" s="757"/>
      <c r="Z49" s="1289"/>
      <c r="AA49" s="1093" t="s">
        <v>59</v>
      </c>
      <c r="AB49" s="1289"/>
      <c r="AC49" s="1093" t="s">
        <v>59</v>
      </c>
      <c r="AD49" s="317"/>
      <c r="AE49" s="196"/>
      <c r="AF49" s="317"/>
      <c r="AG49" s="757"/>
      <c r="AH49" s="1289"/>
      <c r="AI49" s="1093" t="s">
        <v>59</v>
      </c>
      <c r="AJ49" s="1291"/>
      <c r="AK49" s="1093" t="s">
        <v>59</v>
      </c>
      <c r="AL49" s="795"/>
      <c r="AM49" s="1307" t="s">
        <v>514</v>
      </c>
      <c r="AN49" s="65" t="e">
        <f ca="1">STRCHECKDATE(V50:AL50)</f>
        <v>#NAME?</v>
      </c>
      <c r="AO49" s="66"/>
      <c r="AP49" s="66" t="str">
        <f t="shared" si="1"/>
        <v/>
      </c>
      <c r="AQ49" s="66"/>
      <c r="AR49" s="66"/>
    </row>
    <row r="50" spans="1:44" ht="0.75" customHeight="1">
      <c r="A50" s="798" t="s">
        <v>170</v>
      </c>
      <c r="B50" s="798" t="s">
        <v>171</v>
      </c>
      <c r="C50" s="798" t="s">
        <v>172</v>
      </c>
      <c r="D50" s="798" t="s">
        <v>173</v>
      </c>
      <c r="E50" s="1286"/>
      <c r="F50" s="1286"/>
      <c r="G50" s="1286"/>
      <c r="H50" s="1286"/>
      <c r="I50" s="1288"/>
      <c r="J50" s="1288"/>
      <c r="K50" s="1287"/>
      <c r="L50" s="799"/>
      <c r="P50" s="1204"/>
      <c r="Q50" s="1204"/>
      <c r="R50" s="215"/>
      <c r="S50" s="62"/>
      <c r="T50" s="170"/>
      <c r="U50" s="170"/>
      <c r="V50" s="196"/>
      <c r="W50" s="196"/>
      <c r="X50" s="196"/>
      <c r="Y50" s="198" t="str">
        <f>Z49&amp;"-"&amp;AB49</f>
        <v>-</v>
      </c>
      <c r="Z50" s="1290"/>
      <c r="AA50" s="1093"/>
      <c r="AB50" s="1290"/>
      <c r="AC50" s="1093"/>
      <c r="AD50" s="196"/>
      <c r="AE50" s="196"/>
      <c r="AF50" s="196"/>
      <c r="AG50" s="198" t="str">
        <f>AH49&amp;"-"&amp;AJ49</f>
        <v>-</v>
      </c>
      <c r="AH50" s="1290"/>
      <c r="AI50" s="1093"/>
      <c r="AJ50" s="1292"/>
      <c r="AK50" s="1093"/>
      <c r="AL50" s="796"/>
      <c r="AM50" s="1308"/>
      <c r="AO50" s="66"/>
      <c r="AP50" s="66" t="str">
        <f t="shared" si="1"/>
        <v/>
      </c>
      <c r="AQ50" s="66"/>
      <c r="AR50" s="66"/>
    </row>
    <row r="51" spans="1:44" ht="11.25" customHeight="1">
      <c r="A51" s="798" t="s">
        <v>170</v>
      </c>
      <c r="B51" s="798" t="s">
        <v>171</v>
      </c>
      <c r="C51" s="798" t="s">
        <v>172</v>
      </c>
      <c r="D51" s="798" t="s">
        <v>173</v>
      </c>
      <c r="E51" s="1286"/>
      <c r="F51" s="1286"/>
      <c r="G51" s="1286"/>
      <c r="H51" s="1286"/>
      <c r="I51" s="1288"/>
      <c r="J51" s="1287"/>
      <c r="K51" s="798"/>
      <c r="L51" s="799"/>
      <c r="P51" s="1204"/>
      <c r="Q51" s="1204"/>
      <c r="R51" s="214"/>
      <c r="S51" s="772"/>
      <c r="T51" s="165" t="s">
        <v>472</v>
      </c>
      <c r="U51" s="221"/>
      <c r="V51" s="221"/>
      <c r="W51" s="221"/>
      <c r="X51" s="221"/>
      <c r="Y51" s="221"/>
      <c r="Z51" s="221"/>
      <c r="AA51" s="221"/>
      <c r="AB51" s="221"/>
      <c r="AC51" s="221"/>
      <c r="AD51" s="221"/>
      <c r="AE51" s="221"/>
      <c r="AF51" s="221"/>
      <c r="AG51" s="221"/>
      <c r="AH51" s="221"/>
      <c r="AI51" s="221"/>
      <c r="AJ51" s="221"/>
      <c r="AK51" s="221"/>
      <c r="AL51" s="195"/>
      <c r="AM51" s="1309"/>
      <c r="AO51" s="66"/>
      <c r="AP51" s="66" t="str">
        <f t="shared" si="1"/>
        <v>Добавить вид теплоносителя (параметры теплоносителя)</v>
      </c>
      <c r="AQ51" s="66"/>
      <c r="AR51" s="66"/>
    </row>
    <row r="52" spans="1:44" ht="11.25" customHeight="1">
      <c r="A52" s="798" t="s">
        <v>170</v>
      </c>
      <c r="B52" s="798" t="s">
        <v>171</v>
      </c>
      <c r="C52" s="798" t="s">
        <v>172</v>
      </c>
      <c r="D52" s="798" t="s">
        <v>173</v>
      </c>
      <c r="E52" s="1286"/>
      <c r="F52" s="1286"/>
      <c r="G52" s="1286"/>
      <c r="H52" s="1286"/>
      <c r="I52" s="1287"/>
      <c r="J52" s="798"/>
      <c r="K52" s="798"/>
      <c r="L52" s="799"/>
      <c r="P52" s="1204"/>
      <c r="Q52" s="119"/>
      <c r="R52" s="214"/>
      <c r="S52" s="772"/>
      <c r="T52" s="219" t="s">
        <v>473</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8" t="s">
        <v>170</v>
      </c>
      <c r="B53" s="798" t="s">
        <v>171</v>
      </c>
      <c r="C53" s="798" t="s">
        <v>172</v>
      </c>
      <c r="D53" s="798" t="s">
        <v>173</v>
      </c>
      <c r="E53" s="1286"/>
      <c r="F53" s="1286"/>
      <c r="G53" s="1286"/>
      <c r="H53" s="1285"/>
      <c r="I53" s="798"/>
      <c r="J53" s="798"/>
      <c r="K53" s="798"/>
      <c r="L53" s="799"/>
      <c r="M53" s="435"/>
      <c r="N53" s="435"/>
      <c r="O53" s="60"/>
      <c r="P53" s="2"/>
      <c r="Q53" s="224"/>
      <c r="R53" s="213"/>
      <c r="S53" s="811"/>
      <c r="T53" s="812"/>
      <c r="U53" s="813"/>
      <c r="V53" s="813"/>
      <c r="W53" s="813"/>
      <c r="X53" s="813"/>
      <c r="Y53" s="813"/>
      <c r="Z53" s="813"/>
      <c r="AA53" s="813"/>
      <c r="AB53" s="813"/>
      <c r="AC53" s="813"/>
      <c r="AD53" s="813"/>
      <c r="AE53" s="813"/>
      <c r="AF53" s="813"/>
      <c r="AG53" s="813"/>
      <c r="AH53" s="813"/>
      <c r="AI53" s="813"/>
      <c r="AJ53" s="813"/>
      <c r="AK53" s="813"/>
      <c r="AL53" s="813"/>
      <c r="AM53" s="814"/>
      <c r="AO53" s="66"/>
      <c r="AP53" s="66" t="str">
        <f t="shared" si="1"/>
        <v/>
      </c>
      <c r="AQ53" s="66"/>
      <c r="AR53" s="66"/>
    </row>
    <row r="54" spans="1:44" s="65" customFormat="1" ht="0.75" customHeight="1">
      <c r="A54" s="142" t="s">
        <v>170</v>
      </c>
      <c r="B54" s="142" t="s">
        <v>171</v>
      </c>
      <c r="C54" s="142" t="s">
        <v>172</v>
      </c>
      <c r="D54" s="142"/>
      <c r="E54" s="1286"/>
      <c r="F54" s="1286"/>
      <c r="G54" s="1285"/>
      <c r="H54" s="142"/>
      <c r="I54" s="142"/>
      <c r="J54" s="142"/>
      <c r="K54" s="142"/>
      <c r="L54" s="357"/>
      <c r="M54" s="304"/>
      <c r="N54" s="304"/>
      <c r="P54" s="101"/>
      <c r="Q54" s="785"/>
      <c r="R54" s="101"/>
      <c r="S54" s="790"/>
      <c r="T54" s="792" t="s">
        <v>431</v>
      </c>
      <c r="U54" s="324"/>
      <c r="V54" s="324"/>
      <c r="W54" s="324"/>
      <c r="X54" s="324"/>
      <c r="Y54" s="324"/>
      <c r="Z54" s="324"/>
      <c r="AA54" s="324"/>
      <c r="AB54" s="324"/>
      <c r="AC54" s="324"/>
      <c r="AD54" s="324"/>
      <c r="AE54" s="324"/>
      <c r="AF54" s="324"/>
      <c r="AG54" s="324"/>
      <c r="AH54" s="324"/>
      <c r="AI54" s="324"/>
      <c r="AJ54" s="324"/>
      <c r="AK54" s="324"/>
      <c r="AL54" s="324"/>
      <c r="AM54" s="324"/>
      <c r="AO54" s="66"/>
      <c r="AP54" s="66" t="str">
        <f t="shared" si="1"/>
        <v>Добавить источник для дифференциации</v>
      </c>
      <c r="AQ54" s="66"/>
      <c r="AR54" s="66"/>
    </row>
    <row r="55" spans="1:44" s="65" customFormat="1" ht="0.75" customHeight="1">
      <c r="A55" s="142" t="s">
        <v>170</v>
      </c>
      <c r="B55" s="142" t="s">
        <v>171</v>
      </c>
      <c r="C55" s="142"/>
      <c r="D55" s="142"/>
      <c r="E55" s="1286"/>
      <c r="F55" s="1285"/>
      <c r="G55" s="142"/>
      <c r="H55" s="142"/>
      <c r="I55" s="142"/>
      <c r="J55" s="142"/>
      <c r="K55" s="142"/>
      <c r="L55" s="357"/>
      <c r="M55" s="789"/>
      <c r="N55" s="789"/>
      <c r="P55" s="101"/>
      <c r="Q55" s="785"/>
      <c r="R55" s="101"/>
      <c r="S55" s="790"/>
      <c r="T55" s="792" t="s">
        <v>432</v>
      </c>
      <c r="U55" s="324"/>
      <c r="V55" s="324"/>
      <c r="W55" s="324"/>
      <c r="X55" s="324"/>
      <c r="Y55" s="324"/>
      <c r="Z55" s="324"/>
      <c r="AA55" s="324"/>
      <c r="AB55" s="324"/>
      <c r="AC55" s="324"/>
      <c r="AD55" s="324"/>
      <c r="AE55" s="324"/>
      <c r="AF55" s="324"/>
      <c r="AG55" s="324"/>
      <c r="AH55" s="324"/>
      <c r="AI55" s="324"/>
      <c r="AJ55" s="324"/>
      <c r="AK55" s="324"/>
      <c r="AL55" s="324"/>
      <c r="AM55" s="324"/>
      <c r="AO55" s="66"/>
      <c r="AP55" s="66" t="str">
        <f t="shared" si="1"/>
        <v>Добавить централизованную систему для дифференциации</v>
      </c>
      <c r="AQ55" s="66"/>
      <c r="AR55" s="66"/>
    </row>
    <row r="56" spans="1:44" s="65" customFormat="1" ht="0.75" customHeight="1">
      <c r="A56" s="142" t="s">
        <v>170</v>
      </c>
      <c r="B56" s="142"/>
      <c r="C56" s="142"/>
      <c r="D56" s="142"/>
      <c r="E56" s="1285"/>
      <c r="F56" s="142"/>
      <c r="G56" s="142"/>
      <c r="H56" s="142"/>
      <c r="I56" s="142"/>
      <c r="J56" s="142"/>
      <c r="K56" s="142"/>
      <c r="L56" s="357"/>
      <c r="M56" s="789"/>
      <c r="N56" s="789"/>
      <c r="P56" s="101"/>
      <c r="Q56" s="785"/>
      <c r="R56" s="101"/>
      <c r="S56" s="790"/>
      <c r="T56" s="792" t="s">
        <v>433</v>
      </c>
      <c r="U56" s="324"/>
      <c r="V56" s="324"/>
      <c r="W56" s="324"/>
      <c r="X56" s="324"/>
      <c r="Y56" s="324"/>
      <c r="Z56" s="324"/>
      <c r="AA56" s="324"/>
      <c r="AB56" s="324"/>
      <c r="AC56" s="324"/>
      <c r="AD56" s="324"/>
      <c r="AE56" s="324"/>
      <c r="AF56" s="324"/>
      <c r="AG56" s="324"/>
      <c r="AH56" s="324"/>
      <c r="AI56" s="324"/>
      <c r="AJ56" s="324"/>
      <c r="AK56" s="324"/>
      <c r="AL56" s="324"/>
      <c r="AM56" s="324"/>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7"/>
      <c r="M57" s="789"/>
      <c r="N57" s="789"/>
      <c r="P57" s="101"/>
      <c r="Q57" s="785"/>
      <c r="R57" s="101"/>
      <c r="S57" s="790"/>
      <c r="T57" s="792" t="s">
        <v>434</v>
      </c>
      <c r="U57" s="324"/>
      <c r="V57" s="324"/>
      <c r="W57" s="324"/>
      <c r="X57" s="324"/>
      <c r="Y57" s="324"/>
      <c r="Z57" s="324"/>
      <c r="AA57" s="324"/>
      <c r="AB57" s="324"/>
      <c r="AC57" s="324"/>
      <c r="AD57" s="324"/>
      <c r="AE57" s="324"/>
      <c r="AF57" s="324"/>
      <c r="AG57" s="324"/>
      <c r="AH57" s="324"/>
      <c r="AI57" s="324"/>
      <c r="AJ57" s="324"/>
      <c r="AK57" s="324"/>
      <c r="AL57" s="324"/>
      <c r="AM57" s="324"/>
      <c r="AO57" s="66"/>
      <c r="AP57" s="66" t="str">
        <f t="shared" si="1"/>
        <v>Добавить наименование тарифа</v>
      </c>
      <c r="AQ57" s="66"/>
      <c r="AR57" s="66"/>
    </row>
    <row r="58" spans="1:44" ht="11.25" hidden="1" customHeight="1">
      <c r="M58" s="60"/>
      <c r="N58" s="60"/>
      <c r="O58" s="60"/>
      <c r="P58" s="9"/>
      <c r="Q58" s="9"/>
      <c r="R58" s="9"/>
      <c r="S58" s="9"/>
      <c r="AN58" s="9"/>
      <c r="AO58" s="9"/>
      <c r="AP58" s="9"/>
      <c r="AQ58" s="9"/>
      <c r="AR58" s="9"/>
    </row>
    <row r="59" spans="1:44" ht="18.75" hidden="1" customHeight="1">
      <c r="O59" s="60"/>
      <c r="S59" s="204" t="s">
        <v>506</v>
      </c>
      <c r="T59" s="1284" t="s">
        <v>515</v>
      </c>
      <c r="U59" s="1284"/>
      <c r="V59" s="1284"/>
      <c r="W59" s="1284"/>
      <c r="X59" s="1284"/>
      <c r="Y59" s="1284"/>
      <c r="Z59" s="1284"/>
      <c r="AA59" s="1284"/>
      <c r="AB59" s="1284"/>
      <c r="AC59" s="1284"/>
      <c r="AD59" s="1284"/>
      <c r="AE59" s="1284"/>
      <c r="AF59" s="1284"/>
      <c r="AG59" s="1284"/>
      <c r="AH59" s="1284"/>
      <c r="AI59" s="1284"/>
      <c r="AJ59" s="1284"/>
      <c r="AK59" s="1284"/>
      <c r="AL59" s="1284"/>
      <c r="AM59" s="1284"/>
    </row>
    <row r="60" spans="1:44" ht="27.75" hidden="1" customHeight="1">
      <c r="O60" s="60"/>
      <c r="T60" s="1284" t="s">
        <v>516</v>
      </c>
      <c r="U60" s="1284"/>
      <c r="V60" s="1284"/>
      <c r="W60" s="1284"/>
      <c r="X60" s="1284"/>
      <c r="Y60" s="1284"/>
      <c r="Z60" s="1284"/>
      <c r="AA60" s="1284"/>
      <c r="AB60" s="1284"/>
      <c r="AC60" s="1284"/>
      <c r="AD60" s="1284"/>
      <c r="AE60" s="1284"/>
      <c r="AF60" s="1284"/>
      <c r="AG60" s="1284"/>
      <c r="AH60" s="1284"/>
      <c r="AI60" s="1284"/>
      <c r="AJ60" s="1284"/>
      <c r="AK60" s="1284"/>
      <c r="AL60" s="1284"/>
      <c r="AM60" s="1284"/>
    </row>
    <row r="61" spans="1:44" ht="39.75" hidden="1" customHeight="1">
      <c r="O61" s="60"/>
      <c r="T61" s="1284" t="s">
        <v>517</v>
      </c>
      <c r="U61" s="1284"/>
      <c r="V61" s="1284"/>
      <c r="W61" s="1284"/>
      <c r="X61" s="1284"/>
      <c r="Y61" s="1284"/>
      <c r="Z61" s="1284"/>
      <c r="AA61" s="1284"/>
      <c r="AB61" s="1284"/>
      <c r="AC61" s="1284"/>
      <c r="AD61" s="1284"/>
      <c r="AE61" s="1284"/>
      <c r="AF61" s="1284"/>
      <c r="AG61" s="1284"/>
      <c r="AH61" s="1284"/>
      <c r="AI61" s="1284"/>
      <c r="AJ61" s="1284"/>
      <c r="AK61" s="1284"/>
      <c r="AL61" s="1284"/>
      <c r="AM61" s="1284"/>
    </row>
    <row r="62" spans="1:44" ht="14.25" hidden="1" customHeight="1">
      <c r="O62" s="60"/>
    </row>
    <row r="63" spans="1:44" ht="19.5" hidden="1" customHeight="1">
      <c r="O63" s="60"/>
      <c r="S63" s="204" t="s">
        <v>506</v>
      </c>
      <c r="T63" s="1123" t="s">
        <v>509</v>
      </c>
      <c r="U63" s="1284"/>
      <c r="V63" s="1284"/>
      <c r="W63" s="1284"/>
      <c r="X63" s="1284"/>
      <c r="Y63" s="1284"/>
      <c r="Z63" s="1284"/>
      <c r="AA63" s="1284"/>
      <c r="AB63" s="1284"/>
      <c r="AC63" s="1284"/>
      <c r="AD63" s="1284"/>
      <c r="AE63" s="1284"/>
      <c r="AF63" s="1284"/>
      <c r="AG63" s="1284"/>
      <c r="AH63" s="1284"/>
      <c r="AI63" s="1284"/>
      <c r="AJ63" s="1284"/>
      <c r="AK63" s="1284"/>
      <c r="AL63" s="1284"/>
      <c r="AM63" s="1284"/>
    </row>
    <row r="64" spans="1:44" ht="27.75" hidden="1" customHeight="1">
      <c r="O64" s="60"/>
      <c r="T64" s="1284" t="s">
        <v>518</v>
      </c>
      <c r="U64" s="1284"/>
      <c r="V64" s="1284"/>
      <c r="W64" s="1284"/>
      <c r="X64" s="1284"/>
      <c r="Y64" s="1284"/>
      <c r="Z64" s="1284"/>
      <c r="AA64" s="1284"/>
      <c r="AB64" s="1284"/>
      <c r="AC64" s="1284"/>
      <c r="AD64" s="1284"/>
      <c r="AE64" s="1284"/>
      <c r="AF64" s="1284"/>
      <c r="AG64" s="1284"/>
      <c r="AH64" s="1284"/>
      <c r="AI64" s="1284"/>
      <c r="AJ64" s="1284"/>
      <c r="AK64" s="1284"/>
      <c r="AL64" s="1284"/>
      <c r="AM64" s="1284"/>
    </row>
    <row r="65" spans="20:39" ht="33.75" hidden="1" customHeight="1">
      <c r="T65" s="1284" t="s">
        <v>519</v>
      </c>
      <c r="U65" s="1284"/>
      <c r="V65" s="1284"/>
      <c r="W65" s="1284"/>
      <c r="X65" s="1284"/>
      <c r="Y65" s="1284"/>
      <c r="Z65" s="1284"/>
      <c r="AA65" s="1284"/>
      <c r="AB65" s="1284"/>
      <c r="AC65" s="1284"/>
      <c r="AD65" s="1284"/>
      <c r="AE65" s="1284"/>
      <c r="AF65" s="1284"/>
      <c r="AG65" s="1284"/>
      <c r="AH65" s="1284"/>
      <c r="AI65" s="1284"/>
      <c r="AJ65" s="1284"/>
      <c r="AK65" s="1284"/>
      <c r="AL65" s="1284"/>
      <c r="AM65" s="1284"/>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F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F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F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F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F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F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0F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F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330D7A-E831-3E33-84E4-3505FCC31311}">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32" hidden="1" customWidth="1"/>
    <col min="17" max="18" width="3.7109375" style="28" customWidth="1"/>
    <col min="19" max="19" width="12.7109375" style="353"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0"/>
      <c r="AC2" s="1281"/>
      <c r="AD2" s="1279" t="e">
        <f>INDEX(PT_DIFFERENTIATION_NTAR,MATCH(A2,PT_DIFFERENTIATION_NTAR_ID,0))</f>
        <v>#N/A</v>
      </c>
      <c r="AE2" s="1280"/>
      <c r="AF2" s="1280"/>
      <c r="AG2" s="1280"/>
      <c r="AH2" s="1280"/>
      <c r="AI2" s="1280"/>
      <c r="AJ2" s="1280"/>
      <c r="AK2" s="1280"/>
      <c r="AL2" s="1281"/>
      <c r="AM2" s="758" t="s">
        <v>457</v>
      </c>
      <c r="AO2" s="66"/>
      <c r="AP2" s="66" t="str">
        <f t="shared" ref="AP2:AP15" si="0">IF(T2="","",T2)</f>
        <v>Наименование тарифа</v>
      </c>
      <c r="AQ2" s="66"/>
      <c r="AR2" s="66"/>
    </row>
    <row r="3" spans="1:44" ht="21"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0"/>
      <c r="AC3" s="1281"/>
      <c r="AD3" s="1279" t="e">
        <f>INDEX(PT_DIFFERENTIATION_TER,MATCH(B3,PT_DIFFERENTIATION_TER_ID,0))</f>
        <v>#N/A</v>
      </c>
      <c r="AE3" s="1280"/>
      <c r="AF3" s="1280"/>
      <c r="AG3" s="1280"/>
      <c r="AH3" s="1280"/>
      <c r="AI3" s="1280"/>
      <c r="AJ3" s="1280"/>
      <c r="AK3" s="1280"/>
      <c r="AL3" s="1281"/>
      <c r="AM3" s="758" t="s">
        <v>459</v>
      </c>
      <c r="AO3" s="66"/>
      <c r="AP3" s="66" t="str">
        <f t="shared" si="0"/>
        <v>Территория действия тарифа</v>
      </c>
      <c r="AQ3" s="66"/>
      <c r="AR3" s="66"/>
    </row>
    <row r="4" spans="1:44"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460</v>
      </c>
      <c r="U4" s="170"/>
      <c r="V4" s="1279"/>
      <c r="W4" s="1280"/>
      <c r="X4" s="1280"/>
      <c r="Y4" s="1280"/>
      <c r="Z4" s="1280"/>
      <c r="AA4" s="1280"/>
      <c r="AB4" s="1280"/>
      <c r="AC4" s="1281"/>
      <c r="AD4" s="1279" t="e">
        <f>INDEX(PT_DIFFERENTIATION_CS,MATCH(C4,PT_DIFFERENTIATION_CS_ID,0))</f>
        <v>#N/A</v>
      </c>
      <c r="AE4" s="1280"/>
      <c r="AF4" s="1280"/>
      <c r="AG4" s="1280"/>
      <c r="AH4" s="1280"/>
      <c r="AI4" s="1280"/>
      <c r="AJ4" s="1280"/>
      <c r="AK4" s="1280"/>
      <c r="AL4" s="1281"/>
      <c r="AM4" s="758" t="s">
        <v>461</v>
      </c>
      <c r="AO4" s="66"/>
      <c r="AP4" s="66" t="str">
        <f t="shared" si="0"/>
        <v xml:space="preserve">Наименование системы теплоснабжения </v>
      </c>
      <c r="AQ4" s="66"/>
      <c r="AR4" s="66"/>
    </row>
    <row r="5" spans="1:44" ht="21" hidden="1" customHeight="1">
      <c r="A5" s="798"/>
      <c r="B5" s="798"/>
      <c r="C5" s="798"/>
      <c r="D5" s="798"/>
      <c r="E5" s="1286"/>
      <c r="F5" s="1286"/>
      <c r="G5" s="1286"/>
      <c r="H5" s="1285">
        <v>1</v>
      </c>
      <c r="I5" s="798"/>
      <c r="J5" s="798"/>
      <c r="K5" s="798"/>
      <c r="L5" s="799"/>
      <c r="M5" s="435"/>
      <c r="N5" s="435"/>
      <c r="O5" s="435"/>
      <c r="P5" s="212"/>
      <c r="Q5" s="210"/>
      <c r="R5" s="211"/>
      <c r="S5" s="730" t="e">
        <f>INDEX(PT_DIFFERENTIATION_NUM_IST_TE,MATCH(D5,PT_DIFFERENTIATION_IST_TE_ID,0))</f>
        <v>#N/A</v>
      </c>
      <c r="T5" s="180" t="s">
        <v>462</v>
      </c>
      <c r="U5" s="170"/>
      <c r="V5" s="1279"/>
      <c r="W5" s="1280"/>
      <c r="X5" s="1280"/>
      <c r="Y5" s="1280"/>
      <c r="Z5" s="1280"/>
      <c r="AA5" s="1280"/>
      <c r="AB5" s="1280"/>
      <c r="AC5" s="1281"/>
      <c r="AD5" s="1279" t="e">
        <f>INDEX(PT_DIFFERENTIATION_IST_TE,MATCH(D5,PT_DIFFERENTIATION_IST_TE_ID,0))</f>
        <v>#N/A</v>
      </c>
      <c r="AE5" s="1280"/>
      <c r="AF5" s="1280"/>
      <c r="AG5" s="1280"/>
      <c r="AH5" s="1280"/>
      <c r="AI5" s="1280"/>
      <c r="AJ5" s="1280"/>
      <c r="AK5" s="1280"/>
      <c r="AL5" s="1281"/>
      <c r="AM5" s="758" t="s">
        <v>463</v>
      </c>
      <c r="AO5" s="66"/>
      <c r="AP5" s="66" t="str">
        <f t="shared" si="0"/>
        <v xml:space="preserve">Источник тепловой энергии  </v>
      </c>
      <c r="AQ5" s="66"/>
      <c r="AR5" s="66"/>
    </row>
    <row r="6" spans="1:44" ht="14.25" hidden="1" customHeight="1">
      <c r="A6" s="798"/>
      <c r="B6" s="798"/>
      <c r="C6" s="798"/>
      <c r="D6" s="798"/>
      <c r="E6" s="1286"/>
      <c r="F6" s="1286"/>
      <c r="G6" s="1286"/>
      <c r="H6" s="1286"/>
      <c r="I6" s="1287" t="e">
        <f>S5&amp;".1"</f>
        <v>#N/A</v>
      </c>
      <c r="J6" s="798"/>
      <c r="K6" s="798"/>
      <c r="L6" s="799" t="s">
        <v>464</v>
      </c>
      <c r="M6" s="60"/>
      <c r="P6" s="1204">
        <v>1</v>
      </c>
      <c r="Q6" s="119"/>
      <c r="R6" s="214"/>
      <c r="S6" s="373"/>
      <c r="T6" s="808"/>
      <c r="U6" s="809"/>
      <c r="V6" s="1314"/>
      <c r="W6" s="1315"/>
      <c r="X6" s="1315"/>
      <c r="Y6" s="1315"/>
      <c r="Z6" s="1315"/>
      <c r="AA6" s="1315"/>
      <c r="AB6" s="1315"/>
      <c r="AC6" s="1316"/>
      <c r="AD6" s="1314"/>
      <c r="AE6" s="1315"/>
      <c r="AF6" s="1315"/>
      <c r="AG6" s="1315"/>
      <c r="AH6" s="1315"/>
      <c r="AI6" s="1315"/>
      <c r="AJ6" s="1315"/>
      <c r="AK6" s="1315"/>
      <c r="AL6" s="1316"/>
      <c r="AM6" s="810"/>
      <c r="AO6" s="66"/>
      <c r="AP6" s="66" t="str">
        <f t="shared" si="0"/>
        <v/>
      </c>
      <c r="AQ6" s="66"/>
      <c r="AR6" s="66"/>
    </row>
    <row r="7" spans="1:44" ht="21" hidden="1" customHeight="1">
      <c r="A7" s="798"/>
      <c r="B7" s="798"/>
      <c r="C7" s="798"/>
      <c r="D7" s="798"/>
      <c r="E7" s="1286"/>
      <c r="F7" s="1286"/>
      <c r="G7" s="1286"/>
      <c r="H7" s="1286"/>
      <c r="I7" s="1288"/>
      <c r="J7" s="1287" t="e">
        <f>I6&amp;".1"</f>
        <v>#N/A</v>
      </c>
      <c r="K7" s="798"/>
      <c r="L7" s="799" t="s">
        <v>467</v>
      </c>
      <c r="M7" s="60"/>
      <c r="N7" s="60"/>
      <c r="P7" s="1204"/>
      <c r="Q7" s="1204">
        <v>1</v>
      </c>
      <c r="R7" s="215"/>
      <c r="S7" s="730" t="e">
        <f>$J7</f>
        <v>#N/A</v>
      </c>
      <c r="T7" s="164" t="s">
        <v>468</v>
      </c>
      <c r="U7" s="170"/>
      <c r="V7" s="1273"/>
      <c r="W7" s="1274"/>
      <c r="X7" s="1274"/>
      <c r="Y7" s="1274"/>
      <c r="Z7" s="1274"/>
      <c r="AA7" s="1274"/>
      <c r="AB7" s="1274"/>
      <c r="AC7" s="1275"/>
      <c r="AD7" s="1273"/>
      <c r="AE7" s="1274"/>
      <c r="AF7" s="1274"/>
      <c r="AG7" s="1274"/>
      <c r="AH7" s="1274"/>
      <c r="AI7" s="1274"/>
      <c r="AJ7" s="1274"/>
      <c r="AK7" s="1274"/>
      <c r="AL7" s="1275"/>
      <c r="AM7" s="758" t="s">
        <v>469</v>
      </c>
      <c r="AO7" s="66"/>
      <c r="AP7" s="66" t="str">
        <f t="shared" si="0"/>
        <v>Группа потребителей</v>
      </c>
      <c r="AQ7" s="66"/>
      <c r="AR7" s="66"/>
    </row>
    <row r="8" spans="1:44" ht="21" hidden="1" customHeight="1">
      <c r="A8" s="798"/>
      <c r="B8" s="798"/>
      <c r="C8" s="798"/>
      <c r="D8" s="798"/>
      <c r="E8" s="1286"/>
      <c r="F8" s="1286"/>
      <c r="G8" s="1286"/>
      <c r="H8" s="1286"/>
      <c r="I8" s="1288"/>
      <c r="J8" s="1288"/>
      <c r="K8" s="1287" t="e">
        <f>J7&amp;".1"</f>
        <v>#N/A</v>
      </c>
      <c r="L8" s="799" t="s">
        <v>470</v>
      </c>
      <c r="M8" s="60"/>
      <c r="N8" s="60"/>
      <c r="O8" s="60"/>
      <c r="P8" s="1204"/>
      <c r="Q8" s="1204"/>
      <c r="R8" s="215">
        <v>1</v>
      </c>
      <c r="S8" s="730" t="e">
        <f>$K8</f>
        <v>#N/A</v>
      </c>
      <c r="T8" s="794"/>
      <c r="U8" s="170"/>
      <c r="V8" s="317"/>
      <c r="W8" s="196"/>
      <c r="X8" s="317"/>
      <c r="Y8" s="757"/>
      <c r="Z8" s="1289"/>
      <c r="AA8" s="1093" t="s">
        <v>59</v>
      </c>
      <c r="AB8" s="1289"/>
      <c r="AC8" s="1093" t="s">
        <v>59</v>
      </c>
      <c r="AD8" s="317"/>
      <c r="AE8" s="196"/>
      <c r="AF8" s="317"/>
      <c r="AG8" s="757"/>
      <c r="AH8" s="1289"/>
      <c r="AI8" s="1093" t="s">
        <v>59</v>
      </c>
      <c r="AJ8" s="1289"/>
      <c r="AK8" s="1093" t="s">
        <v>59</v>
      </c>
      <c r="AL8" s="196"/>
      <c r="AM8" s="1307" t="s">
        <v>471</v>
      </c>
      <c r="AN8" s="65" t="e">
        <f ca="1">STRCHECKDATE(V9:AL9)</f>
        <v>#NAME?</v>
      </c>
      <c r="AO8" s="66"/>
      <c r="AP8" s="66" t="str">
        <f t="shared" si="0"/>
        <v/>
      </c>
      <c r="AQ8" s="66"/>
      <c r="AR8" s="66"/>
    </row>
    <row r="9" spans="1:44" ht="14.25" hidden="1" customHeight="1">
      <c r="A9" s="798"/>
      <c r="B9" s="798"/>
      <c r="C9" s="798"/>
      <c r="D9" s="798"/>
      <c r="E9" s="1286"/>
      <c r="F9" s="1286"/>
      <c r="G9" s="1286"/>
      <c r="H9" s="1286"/>
      <c r="I9" s="1288"/>
      <c r="J9" s="1288"/>
      <c r="K9" s="1287"/>
      <c r="L9" s="799"/>
      <c r="M9" s="60"/>
      <c r="N9" s="60"/>
      <c r="O9" s="60"/>
      <c r="P9" s="1204"/>
      <c r="Q9" s="1204"/>
      <c r="R9" s="215"/>
      <c r="S9" s="62"/>
      <c r="T9" s="170"/>
      <c r="U9" s="170"/>
      <c r="V9" s="196"/>
      <c r="W9" s="196"/>
      <c r="X9" s="196"/>
      <c r="Y9" s="198" t="str">
        <f>Z8&amp;"-"&amp;AB8</f>
        <v>-</v>
      </c>
      <c r="Z9" s="1290"/>
      <c r="AA9" s="1093"/>
      <c r="AB9" s="1290"/>
      <c r="AC9" s="1093"/>
      <c r="AD9" s="196"/>
      <c r="AE9" s="196"/>
      <c r="AF9" s="196"/>
      <c r="AG9" s="198" t="str">
        <f>AH8&amp;"-"&amp;AJ8</f>
        <v>-</v>
      </c>
      <c r="AH9" s="1290"/>
      <c r="AI9" s="1093"/>
      <c r="AJ9" s="1290"/>
      <c r="AK9" s="1093"/>
      <c r="AL9" s="196"/>
      <c r="AM9" s="1308"/>
      <c r="AO9" s="66"/>
      <c r="AP9" s="66" t="str">
        <f t="shared" si="0"/>
        <v/>
      </c>
      <c r="AQ9" s="66"/>
      <c r="AR9" s="66"/>
    </row>
    <row r="10" spans="1:44" ht="15" hidden="1" customHeight="1">
      <c r="A10" s="798"/>
      <c r="B10" s="798"/>
      <c r="C10" s="798"/>
      <c r="D10" s="798"/>
      <c r="E10" s="1286"/>
      <c r="F10" s="1286"/>
      <c r="G10" s="1286"/>
      <c r="H10" s="1286"/>
      <c r="I10" s="1288"/>
      <c r="J10" s="1287"/>
      <c r="K10" s="798"/>
      <c r="L10" s="799"/>
      <c r="M10" s="60"/>
      <c r="N10" s="60"/>
      <c r="P10" s="1204"/>
      <c r="Q10" s="1204"/>
      <c r="R10" s="214"/>
      <c r="S10" s="772"/>
      <c r="T10" s="165" t="s">
        <v>472</v>
      </c>
      <c r="U10" s="221"/>
      <c r="V10" s="221"/>
      <c r="W10" s="221"/>
      <c r="X10" s="221"/>
      <c r="Y10" s="221"/>
      <c r="Z10" s="221"/>
      <c r="AA10" s="221"/>
      <c r="AB10" s="221"/>
      <c r="AC10" s="221"/>
      <c r="AD10" s="221"/>
      <c r="AE10" s="221"/>
      <c r="AF10" s="221"/>
      <c r="AG10" s="221"/>
      <c r="AH10" s="221"/>
      <c r="AI10" s="221"/>
      <c r="AJ10" s="221"/>
      <c r="AK10" s="221"/>
      <c r="AL10" s="195"/>
      <c r="AM10" s="1309"/>
      <c r="AO10" s="66"/>
      <c r="AP10" s="66" t="str">
        <f t="shared" si="0"/>
        <v>Добавить вид теплоносителя (параметры теплоносителя)</v>
      </c>
      <c r="AQ10" s="66"/>
      <c r="AR10" s="66"/>
    </row>
    <row r="11" spans="1:44" ht="11.25" hidden="1" customHeight="1">
      <c r="A11" s="798"/>
      <c r="B11" s="798"/>
      <c r="C11" s="798"/>
      <c r="D11" s="798"/>
      <c r="E11" s="1286"/>
      <c r="F11" s="1286"/>
      <c r="G11" s="1286"/>
      <c r="H11" s="1286"/>
      <c r="I11" s="1287"/>
      <c r="J11" s="798"/>
      <c r="K11" s="798"/>
      <c r="L11" s="799"/>
      <c r="M11" s="60"/>
      <c r="P11" s="1204"/>
      <c r="Q11" s="119"/>
      <c r="R11" s="214"/>
      <c r="S11" s="772"/>
      <c r="T11" s="219" t="s">
        <v>473</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8"/>
      <c r="B12" s="798"/>
      <c r="C12" s="798"/>
      <c r="D12" s="798"/>
      <c r="E12" s="1286"/>
      <c r="F12" s="1286"/>
      <c r="G12" s="1286"/>
      <c r="H12" s="1285"/>
      <c r="I12" s="798"/>
      <c r="J12" s="798"/>
      <c r="K12" s="798"/>
      <c r="L12" s="799"/>
      <c r="M12" s="435"/>
      <c r="N12" s="435"/>
      <c r="O12" s="60"/>
      <c r="P12" s="2"/>
      <c r="Q12" s="224"/>
      <c r="R12" s="213"/>
      <c r="S12" s="811"/>
      <c r="T12" s="812"/>
      <c r="U12" s="813"/>
      <c r="V12" s="813"/>
      <c r="W12" s="813"/>
      <c r="X12" s="813"/>
      <c r="Y12" s="813"/>
      <c r="Z12" s="813"/>
      <c r="AA12" s="813"/>
      <c r="AB12" s="813"/>
      <c r="AC12" s="813"/>
      <c r="AD12" s="813"/>
      <c r="AE12" s="813"/>
      <c r="AF12" s="813"/>
      <c r="AG12" s="813"/>
      <c r="AH12" s="813"/>
      <c r="AI12" s="813"/>
      <c r="AJ12" s="813"/>
      <c r="AK12" s="813"/>
      <c r="AL12" s="813"/>
      <c r="AM12" s="814"/>
      <c r="AO12" s="66"/>
      <c r="AP12" s="66" t="str">
        <f t="shared" si="0"/>
        <v/>
      </c>
      <c r="AQ12" s="66"/>
      <c r="AR12" s="66"/>
    </row>
    <row r="13" spans="1:44" s="65" customFormat="1" ht="14.25" hidden="1" customHeight="1">
      <c r="A13" s="142"/>
      <c r="B13" s="142"/>
      <c r="C13" s="142"/>
      <c r="D13" s="142"/>
      <c r="E13" s="1286"/>
      <c r="F13" s="1286"/>
      <c r="G13" s="1285"/>
      <c r="H13" s="142"/>
      <c r="I13" s="142"/>
      <c r="J13" s="142"/>
      <c r="K13" s="142"/>
      <c r="L13" s="357"/>
      <c r="M13" s="304"/>
      <c r="N13" s="304"/>
      <c r="P13" s="101"/>
      <c r="Q13" s="785"/>
      <c r="R13" s="101"/>
      <c r="S13" s="786"/>
      <c r="T13" s="787" t="s">
        <v>431</v>
      </c>
      <c r="U13" s="788"/>
      <c r="V13" s="788"/>
      <c r="W13" s="788"/>
      <c r="X13" s="788"/>
      <c r="Y13" s="788"/>
      <c r="Z13" s="788"/>
      <c r="AA13" s="788"/>
      <c r="AB13" s="788"/>
      <c r="AC13" s="788"/>
      <c r="AD13" s="788"/>
      <c r="AE13" s="788"/>
      <c r="AF13" s="788"/>
      <c r="AG13" s="788"/>
      <c r="AH13" s="788"/>
      <c r="AI13" s="788"/>
      <c r="AJ13" s="788"/>
      <c r="AK13" s="788"/>
      <c r="AL13" s="788"/>
      <c r="AM13" s="788"/>
      <c r="AO13" s="66"/>
      <c r="AP13" s="66" t="str">
        <f t="shared" si="0"/>
        <v>Добавить источник для дифференциации</v>
      </c>
      <c r="AQ13" s="66"/>
      <c r="AR13" s="66"/>
    </row>
    <row r="14" spans="1:44" s="65" customFormat="1" ht="14.25" hidden="1" customHeight="1">
      <c r="A14" s="142"/>
      <c r="B14" s="142"/>
      <c r="C14" s="142"/>
      <c r="D14" s="142"/>
      <c r="E14" s="1286"/>
      <c r="F14" s="1285"/>
      <c r="G14" s="142"/>
      <c r="H14" s="142"/>
      <c r="I14" s="142"/>
      <c r="J14" s="142"/>
      <c r="K14" s="142"/>
      <c r="L14" s="357"/>
      <c r="M14" s="789"/>
      <c r="N14" s="789"/>
      <c r="P14" s="101"/>
      <c r="Q14" s="785"/>
      <c r="R14" s="101"/>
      <c r="S14" s="790"/>
      <c r="T14" s="791" t="s">
        <v>432</v>
      </c>
      <c r="U14" s="324"/>
      <c r="V14" s="324"/>
      <c r="W14" s="324"/>
      <c r="X14" s="324"/>
      <c r="Y14" s="324"/>
      <c r="Z14" s="324"/>
      <c r="AA14" s="324"/>
      <c r="AB14" s="324"/>
      <c r="AC14" s="324"/>
      <c r="AD14" s="324"/>
      <c r="AE14" s="324"/>
      <c r="AF14" s="324"/>
      <c r="AG14" s="324"/>
      <c r="AH14" s="324"/>
      <c r="AI14" s="324"/>
      <c r="AJ14" s="324"/>
      <c r="AK14" s="324"/>
      <c r="AL14" s="324"/>
      <c r="AM14" s="324"/>
      <c r="AO14" s="66"/>
      <c r="AP14" s="66" t="str">
        <f t="shared" si="0"/>
        <v>Добавить централизованную систему для дифференциации</v>
      </c>
      <c r="AQ14" s="66"/>
      <c r="AR14" s="66"/>
    </row>
    <row r="15" spans="1:44" s="65" customFormat="1" ht="14.25" hidden="1" customHeight="1">
      <c r="A15" s="142"/>
      <c r="B15" s="142"/>
      <c r="C15" s="142"/>
      <c r="D15" s="142"/>
      <c r="E15" s="1285"/>
      <c r="F15" s="142"/>
      <c r="G15" s="142"/>
      <c r="H15" s="142"/>
      <c r="I15" s="142"/>
      <c r="J15" s="142"/>
      <c r="K15" s="142"/>
      <c r="L15" s="357"/>
      <c r="M15" s="789"/>
      <c r="N15" s="789"/>
      <c r="P15" s="101"/>
      <c r="Q15" s="785"/>
      <c r="R15" s="101"/>
      <c r="S15" s="790"/>
      <c r="T15" s="792" t="s">
        <v>433</v>
      </c>
      <c r="U15" s="324"/>
      <c r="V15" s="324"/>
      <c r="W15" s="324"/>
      <c r="X15" s="324"/>
      <c r="Y15" s="324"/>
      <c r="Z15" s="324"/>
      <c r="AA15" s="324"/>
      <c r="AB15" s="324"/>
      <c r="AC15" s="324"/>
      <c r="AD15" s="324"/>
      <c r="AE15" s="324"/>
      <c r="AF15" s="324"/>
      <c r="AG15" s="324"/>
      <c r="AH15" s="324"/>
      <c r="AI15" s="324"/>
      <c r="AJ15" s="324"/>
      <c r="AK15" s="324"/>
      <c r="AL15" s="324"/>
      <c r="AM15" s="324"/>
      <c r="AO15" s="66"/>
      <c r="AP15" s="66" t="str">
        <f t="shared" si="0"/>
        <v>Добавить территорию для дифференциации</v>
      </c>
      <c r="AQ15" s="66"/>
      <c r="AR15" s="66"/>
    </row>
    <row r="16" spans="1:44" ht="14.25" hidden="1" customHeight="1"/>
    <row r="17" spans="1:44" ht="14.25" hidden="1" customHeight="1">
      <c r="AD17" s="378"/>
      <c r="AE17" s="378"/>
      <c r="AF17" s="378"/>
      <c r="AG17" s="797"/>
      <c r="AH17" s="1283"/>
      <c r="AI17" s="1282" t="s">
        <v>59</v>
      </c>
      <c r="AJ17" s="1283"/>
      <c r="AK17" s="1282" t="s">
        <v>59</v>
      </c>
    </row>
    <row r="18" spans="1:44" ht="14.25" hidden="1" customHeight="1">
      <c r="AD18" s="378"/>
      <c r="AE18" s="378"/>
      <c r="AF18" s="378"/>
      <c r="AG18" s="198" t="str">
        <f>AH17&amp;"-"&amp;AJ17</f>
        <v>-</v>
      </c>
      <c r="AH18" s="1282"/>
      <c r="AI18" s="1282"/>
      <c r="AJ18" s="1282"/>
      <c r="AK18" s="1282"/>
    </row>
    <row r="19" spans="1:44" ht="14.25" hidden="1" customHeight="1"/>
    <row r="20" spans="1:44" s="60" customFormat="1" ht="22.5" hidden="1" customHeight="1">
      <c r="L20" s="312"/>
      <c r="M20" s="522"/>
      <c r="N20" s="522"/>
      <c r="O20" s="800" t="s">
        <v>475</v>
      </c>
      <c r="P20" s="522"/>
      <c r="Q20" s="801"/>
      <c r="R20" s="801"/>
      <c r="S20" s="435"/>
      <c r="Z20" s="800"/>
      <c r="AB20" s="800"/>
      <c r="AH20" s="800"/>
      <c r="AJ20" s="800"/>
      <c r="AN20" s="65"/>
      <c r="AO20" s="65"/>
      <c r="AP20" s="65"/>
      <c r="AQ20" s="65"/>
      <c r="AR20" s="65"/>
    </row>
    <row r="21" spans="1:44" s="60" customFormat="1" ht="14.25" hidden="1" customHeight="1">
      <c r="L21" s="312"/>
      <c r="M21" s="522"/>
      <c r="N21" s="522"/>
      <c r="O21" s="522"/>
      <c r="P21" s="522"/>
      <c r="Q21" s="801"/>
      <c r="R21" s="801"/>
      <c r="S21" s="435"/>
      <c r="AN21" s="65"/>
      <c r="AO21" s="65"/>
      <c r="AP21" s="65"/>
      <c r="AQ21" s="65"/>
      <c r="AR21" s="65"/>
    </row>
    <row r="22" spans="1:44" s="60" customFormat="1" ht="14.25" hidden="1" customHeight="1">
      <c r="L22" s="312"/>
      <c r="M22" s="522"/>
      <c r="N22" s="522"/>
      <c r="O22" s="799" t="s">
        <v>476</v>
      </c>
      <c r="P22" s="522"/>
      <c r="Q22" s="801"/>
      <c r="R22" s="801"/>
      <c r="S22" s="435"/>
      <c r="T22" s="60" t="s">
        <v>477</v>
      </c>
      <c r="AA22" s="79" t="s">
        <v>478</v>
      </c>
      <c r="AC22" s="79" t="s">
        <v>479</v>
      </c>
      <c r="AD22" s="60" t="s">
        <v>477</v>
      </c>
      <c r="AI22" s="79" t="s">
        <v>480</v>
      </c>
      <c r="AK22" s="79" t="s">
        <v>479</v>
      </c>
      <c r="AN22" s="65"/>
      <c r="AO22" s="65"/>
      <c r="AP22" s="65"/>
      <c r="AQ22" s="65"/>
      <c r="AR22" s="65"/>
    </row>
    <row r="23" spans="1:44" ht="14.25" hidden="1" customHeight="1">
      <c r="O23" s="799"/>
    </row>
    <row r="24" spans="1:44" ht="14.25" hidden="1" customHeight="1">
      <c r="O24" s="799"/>
    </row>
    <row r="25" spans="1:44" ht="14.25" customHeight="1">
      <c r="Q25" s="27"/>
      <c r="R25" s="27"/>
      <c r="S25" s="769"/>
      <c r="T25" s="8"/>
      <c r="U25" s="8"/>
    </row>
    <row r="26" spans="1:44" ht="64.5" customHeight="1">
      <c r="Q26" s="27"/>
      <c r="R26" s="27"/>
      <c r="S26" s="131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310"/>
      <c r="U26" s="1310"/>
      <c r="V26" s="1310"/>
      <c r="W26" s="1310"/>
      <c r="X26" s="1310"/>
      <c r="Y26" s="1310"/>
      <c r="Z26" s="1310"/>
      <c r="AA26" s="1310"/>
      <c r="AB26" s="1310"/>
      <c r="AC26" s="1310"/>
      <c r="AD26" s="1310"/>
      <c r="AE26" s="1310"/>
      <c r="AF26" s="1310"/>
      <c r="AG26" s="1310"/>
      <c r="AH26" s="1310"/>
      <c r="AI26" s="1310"/>
      <c r="AJ26" s="1310"/>
      <c r="AK26" s="57"/>
    </row>
    <row r="27" spans="1:44" ht="14.25" customHeight="1">
      <c r="Q27" s="27"/>
      <c r="R27" s="27"/>
      <c r="S27" s="1170" t="str">
        <f>IF(org=0,"Не определено",org)</f>
        <v>ИМУП «ПОСЖИЛКОМСЕРВИС»</v>
      </c>
      <c r="T27" s="1170"/>
      <c r="U27" s="1170"/>
      <c r="V27" s="1170"/>
      <c r="W27" s="1170"/>
      <c r="X27" s="1170"/>
      <c r="Y27" s="1170"/>
      <c r="Z27" s="1170"/>
      <c r="AA27" s="1170"/>
      <c r="AB27" s="1170"/>
      <c r="AC27" s="1170"/>
      <c r="AD27" s="1170"/>
      <c r="AE27" s="1170"/>
      <c r="AF27" s="1170"/>
      <c r="AG27" s="1170"/>
      <c r="AH27" s="1170"/>
      <c r="AI27" s="1170"/>
      <c r="AJ27" s="1170"/>
      <c r="AK27" s="57"/>
    </row>
    <row r="28" spans="1:44" ht="14.25" hidden="1" customHeight="1">
      <c r="Q28" s="27"/>
      <c r="R28" s="27"/>
      <c r="S28" s="769"/>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9"/>
      <c r="M29" s="79"/>
      <c r="N29" s="79"/>
      <c r="O29" s="79"/>
      <c r="S29" s="1276" t="s">
        <v>40</v>
      </c>
      <c r="T29" s="1276"/>
      <c r="U29" s="802"/>
      <c r="V29" s="1278" t="str">
        <f>IF(TITLE_NAME_OR_PR_CHANGE="",IF(TITLE_NAME_OR_PR="","",TITLE_NAME_OR_PR),TITLE_NAME_OR_PR_CHANGE)</f>
        <v/>
      </c>
      <c r="W29" s="1278"/>
      <c r="X29" s="1278"/>
      <c r="Y29" s="1278"/>
      <c r="Z29" s="1278"/>
      <c r="AA29" s="1278"/>
      <c r="AB29" s="1278"/>
      <c r="AC29" s="9"/>
      <c r="AD29" s="1278" t="str">
        <f>IF(TITLE_NAME_OR_PR_CHANGE="",IF(TITLE_NAME_OR_PR="","",TITLE_NAME_OR_PR),TITLE_NAME_OR_PR_CHANGE)</f>
        <v/>
      </c>
      <c r="AE29" s="1278"/>
      <c r="AF29" s="1278"/>
      <c r="AG29" s="1278"/>
      <c r="AH29" s="1278"/>
      <c r="AI29" s="1278"/>
      <c r="AJ29" s="127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9"/>
      <c r="M30" s="79"/>
      <c r="N30" s="79"/>
      <c r="O30" s="79"/>
      <c r="S30" s="1276" t="s">
        <v>481</v>
      </c>
      <c r="T30" s="1276"/>
      <c r="U30" s="802"/>
      <c r="V30" s="1277" t="str">
        <f>IF(TITLE_DATE_CHANGE_PERIOD="",IF(TITLE_DATE_PR="","",TITLE_DATE_PR),TITLE_DATE_CHANGE_PERIOD)</f>
        <v/>
      </c>
      <c r="W30" s="1277"/>
      <c r="X30" s="1277"/>
      <c r="Y30" s="1277"/>
      <c r="Z30" s="1277"/>
      <c r="AA30" s="1277"/>
      <c r="AB30" s="1277"/>
      <c r="AC30" s="9"/>
      <c r="AD30" s="1277" t="str">
        <f>IF(TITLE_DATE_CHANGE_PERIOD="",IF(TITLE_DATE_PR="","",TITLE_DATE_PR),TITLE_DATE_CHANGE_PERIOD)</f>
        <v/>
      </c>
      <c r="AE30" s="1277"/>
      <c r="AF30" s="1277"/>
      <c r="AG30" s="1277"/>
      <c r="AH30" s="1277"/>
      <c r="AI30" s="1277"/>
      <c r="AJ30" s="127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9"/>
      <c r="M31" s="79"/>
      <c r="N31" s="79"/>
      <c r="O31" s="79"/>
      <c r="S31" s="1276" t="s">
        <v>482</v>
      </c>
      <c r="T31" s="1276"/>
      <c r="U31" s="802"/>
      <c r="V31" s="1278" t="str">
        <f>IF(TITLE_NUMBER_PR_CHANGE="",IF(TITLE_NUMBER_PR="","",TITLE_NUMBER_PR),TITLE_NUMBER_PR_CHANGE)</f>
        <v/>
      </c>
      <c r="W31" s="1278"/>
      <c r="X31" s="1278"/>
      <c r="Y31" s="1278"/>
      <c r="Z31" s="1278"/>
      <c r="AA31" s="1278"/>
      <c r="AB31" s="1278"/>
      <c r="AC31" s="9"/>
      <c r="AD31" s="1278" t="str">
        <f>IF(TITLE_NUMBER_PR_CHANGE="",IF(TITLE_NUMBER_PR="","",TITLE_NUMBER_PR),TITLE_NUMBER_PR_CHANGE)</f>
        <v/>
      </c>
      <c r="AE31" s="1278"/>
      <c r="AF31" s="1278"/>
      <c r="AG31" s="1278"/>
      <c r="AH31" s="1278"/>
      <c r="AI31" s="1278"/>
      <c r="AJ31" s="127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9"/>
      <c r="M32" s="79"/>
      <c r="N32" s="79"/>
      <c r="O32" s="79"/>
      <c r="S32" s="1276" t="s">
        <v>41</v>
      </c>
      <c r="T32" s="1276"/>
      <c r="U32" s="802"/>
      <c r="V32" s="1278" t="str">
        <f>IF(TITLE_IST_PUB_CHANGE="",IF(TITLE_IST_PUB="","",TITLE_IST_PUB),TITLE_IST_PUB_CHANGE)</f>
        <v/>
      </c>
      <c r="W32" s="1278"/>
      <c r="X32" s="1278"/>
      <c r="Y32" s="1278"/>
      <c r="Z32" s="1278"/>
      <c r="AA32" s="1278"/>
      <c r="AB32" s="1278"/>
      <c r="AC32" s="9"/>
      <c r="AD32" s="1278" t="str">
        <f>IF(TITLE_IST_PUB_CHANGE="",IF(TITLE_IST_PUB="","",TITLE_IST_PUB),TITLE_IST_PUB_CHANGE)</f>
        <v/>
      </c>
      <c r="AE32" s="1278"/>
      <c r="AF32" s="1278"/>
      <c r="AG32" s="1278"/>
      <c r="AH32" s="1278"/>
      <c r="AI32" s="1278"/>
      <c r="AJ32" s="1278"/>
      <c r="AK32" s="9"/>
      <c r="AL32" s="9"/>
      <c r="AM32" s="162"/>
      <c r="AN32" s="66"/>
      <c r="AO32" s="66"/>
      <c r="AP32" s="66"/>
      <c r="AQ32" s="66"/>
      <c r="AR32" s="66"/>
    </row>
    <row r="33" spans="1:44" ht="14.25" hidden="1" customHeight="1">
      <c r="Q33" s="27"/>
      <c r="R33" s="27"/>
      <c r="S33" s="769"/>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9"/>
      <c r="M34" s="79"/>
      <c r="N34" s="79"/>
      <c r="O34" s="79"/>
      <c r="S34" s="1276" t="s">
        <v>483</v>
      </c>
      <c r="T34" s="1276"/>
      <c r="U34" s="802"/>
      <c r="V34" s="1277" t="str">
        <f>IF(TITLE_DATE_CHANGE_PERIOD="",IF(TITLE_DATE_PR="","",TITLE_DATE_PR),TITLE_DATE_CHANGE_PERIOD)</f>
        <v/>
      </c>
      <c r="W34" s="1277"/>
      <c r="X34" s="1277"/>
      <c r="Y34" s="1277"/>
      <c r="Z34" s="1277"/>
      <c r="AA34" s="1277"/>
      <c r="AB34" s="1277"/>
      <c r="AC34" s="9"/>
      <c r="AD34" s="1277" t="str">
        <f>IF(TITLE_DATE_CHANGE_PERIOD="",IF(TITLE_DATE_PR="","",TITLE_DATE_PR),TITLE_DATE_CHANGE_PERIOD)</f>
        <v/>
      </c>
      <c r="AE34" s="1277"/>
      <c r="AF34" s="1277"/>
      <c r="AG34" s="1277"/>
      <c r="AH34" s="1277"/>
      <c r="AI34" s="1277"/>
      <c r="AJ34" s="1277"/>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9"/>
      <c r="M35" s="79"/>
      <c r="N35" s="79"/>
      <c r="O35" s="79"/>
      <c r="S35" s="1276" t="s">
        <v>484</v>
      </c>
      <c r="T35" s="1276"/>
      <c r="U35" s="802"/>
      <c r="V35" s="1278" t="str">
        <f>IF(TITLE_NUMBER_PR_CHANGE="",IF(TITLE_NUMBER_PR="","",TITLE_NUMBER_PR),TITLE_NUMBER_PR_CHANGE)</f>
        <v/>
      </c>
      <c r="W35" s="1278"/>
      <c r="X35" s="1278"/>
      <c r="Y35" s="1278"/>
      <c r="Z35" s="1278"/>
      <c r="AA35" s="1278"/>
      <c r="AB35" s="1278"/>
      <c r="AC35" s="9"/>
      <c r="AD35" s="1278" t="str">
        <f>IF(TITLE_NUMBER_PR_CHANGE="",IF(TITLE_NUMBER_PR="","",TITLE_NUMBER_PR),TITLE_NUMBER_PR_CHANGE)</f>
        <v/>
      </c>
      <c r="AE35" s="1278"/>
      <c r="AF35" s="1278"/>
      <c r="AG35" s="1278"/>
      <c r="AH35" s="1278"/>
      <c r="AI35" s="1278"/>
      <c r="AJ35" s="127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9"/>
      <c r="M36" s="79"/>
      <c r="N36" s="79"/>
      <c r="O36" s="79"/>
      <c r="S36" s="9"/>
      <c r="T36" s="9"/>
      <c r="U36" s="75"/>
      <c r="V36" s="9"/>
      <c r="W36" s="9"/>
      <c r="X36" s="9"/>
      <c r="Y36" s="9"/>
      <c r="Z36" s="9"/>
      <c r="AA36" s="9"/>
      <c r="AB36" s="9"/>
      <c r="AC36" s="65" t="s">
        <v>485</v>
      </c>
      <c r="AD36" s="9"/>
      <c r="AE36" s="9"/>
      <c r="AF36" s="9"/>
      <c r="AG36" s="9"/>
      <c r="AH36" s="9"/>
      <c r="AI36" s="9"/>
      <c r="AJ36" s="9"/>
      <c r="AK36" s="65" t="s">
        <v>485</v>
      </c>
      <c r="AN36" s="66"/>
      <c r="AO36" s="66"/>
      <c r="AP36" s="66"/>
      <c r="AQ36" s="66"/>
      <c r="AR36" s="66"/>
    </row>
    <row r="37" spans="1:44" ht="14.25" customHeight="1">
      <c r="Q37" s="27"/>
      <c r="R37" s="27"/>
      <c r="S37" s="769"/>
      <c r="T37" s="8"/>
      <c r="U37" s="741"/>
      <c r="V37" s="1296"/>
      <c r="W37" s="1296"/>
      <c r="X37" s="1296"/>
      <c r="Y37" s="1296"/>
      <c r="Z37" s="1296"/>
      <c r="AA37" s="1296"/>
      <c r="AB37" s="1296"/>
      <c r="AC37" s="1296"/>
      <c r="AD37" s="1296"/>
      <c r="AE37" s="1296"/>
      <c r="AF37" s="1296"/>
      <c r="AG37" s="1296"/>
      <c r="AH37" s="1296"/>
      <c r="AI37" s="1296"/>
      <c r="AJ37" s="1296"/>
      <c r="AK37" s="1296"/>
    </row>
    <row r="38" spans="1:44" ht="14.25" customHeight="1">
      <c r="Q38" s="27"/>
      <c r="R38" s="27"/>
      <c r="S38" s="1083" t="s">
        <v>288</v>
      </c>
      <c r="T38" s="1083"/>
      <c r="U38" s="1083"/>
      <c r="V38" s="1083"/>
      <c r="W38" s="1083"/>
      <c r="X38" s="1083"/>
      <c r="Y38" s="1083"/>
      <c r="Z38" s="1083"/>
      <c r="AA38" s="1083"/>
      <c r="AB38" s="1083"/>
      <c r="AC38" s="1083"/>
      <c r="AD38" s="1083"/>
      <c r="AE38" s="1083"/>
      <c r="AF38" s="1083"/>
      <c r="AG38" s="1083"/>
      <c r="AH38" s="1083"/>
      <c r="AI38" s="1083"/>
      <c r="AJ38" s="1083"/>
      <c r="AK38" s="1083"/>
      <c r="AL38" s="1083"/>
      <c r="AM38" s="1083" t="s">
        <v>289</v>
      </c>
    </row>
    <row r="39" spans="1:44" ht="14.25" customHeight="1">
      <c r="Q39" s="27"/>
      <c r="R39" s="27"/>
      <c r="S39" s="1297" t="s">
        <v>88</v>
      </c>
      <c r="T39" s="1168" t="s">
        <v>486</v>
      </c>
      <c r="U39" s="171"/>
      <c r="V39" s="1298" t="s">
        <v>487</v>
      </c>
      <c r="W39" s="1299"/>
      <c r="X39" s="1299"/>
      <c r="Y39" s="1299"/>
      <c r="Z39" s="1299"/>
      <c r="AA39" s="1299"/>
      <c r="AB39" s="1300"/>
      <c r="AC39" s="1301" t="s">
        <v>488</v>
      </c>
      <c r="AD39" s="1298" t="s">
        <v>487</v>
      </c>
      <c r="AE39" s="1299"/>
      <c r="AF39" s="1299"/>
      <c r="AG39" s="1299"/>
      <c r="AH39" s="1299"/>
      <c r="AI39" s="1299"/>
      <c r="AJ39" s="1300"/>
      <c r="AK39" s="1301" t="s">
        <v>489</v>
      </c>
      <c r="AL39" s="1304" t="s">
        <v>490</v>
      </c>
      <c r="AM39" s="1083"/>
    </row>
    <row r="40" spans="1:44" ht="33.75" customHeight="1">
      <c r="Q40" s="27"/>
      <c r="R40" s="27"/>
      <c r="S40" s="1297"/>
      <c r="T40" s="1168"/>
      <c r="U40" s="626"/>
      <c r="V40" s="1137" t="s">
        <v>491</v>
      </c>
      <c r="W40" s="1293"/>
      <c r="X40" s="1065" t="s">
        <v>493</v>
      </c>
      <c r="Y40" s="1064"/>
      <c r="Z40" s="1065" t="s">
        <v>494</v>
      </c>
      <c r="AA40" s="1070"/>
      <c r="AB40" s="1064"/>
      <c r="AC40" s="1302"/>
      <c r="AD40" s="1137" t="s">
        <v>491</v>
      </c>
      <c r="AE40" s="1293"/>
      <c r="AF40" s="1065" t="s">
        <v>493</v>
      </c>
      <c r="AG40" s="1064"/>
      <c r="AH40" s="1065" t="s">
        <v>494</v>
      </c>
      <c r="AI40" s="1070"/>
      <c r="AJ40" s="1064"/>
      <c r="AK40" s="1302"/>
      <c r="AL40" s="1305"/>
      <c r="AM40" s="1083"/>
    </row>
    <row r="41" spans="1:44" ht="33.75" customHeight="1">
      <c r="A41" s="79"/>
      <c r="B41" s="79" t="s">
        <v>137</v>
      </c>
      <c r="C41" s="79" t="s">
        <v>138</v>
      </c>
      <c r="D41" s="79" t="s">
        <v>139</v>
      </c>
      <c r="E41" s="799" t="s">
        <v>495</v>
      </c>
      <c r="F41" s="799" t="s">
        <v>496</v>
      </c>
      <c r="G41" s="799" t="s">
        <v>497</v>
      </c>
      <c r="H41" s="799" t="s">
        <v>498</v>
      </c>
      <c r="I41" s="799" t="s">
        <v>499</v>
      </c>
      <c r="J41" s="799" t="s">
        <v>500</v>
      </c>
      <c r="K41" s="799" t="s">
        <v>501</v>
      </c>
      <c r="L41" s="799" t="s">
        <v>476</v>
      </c>
      <c r="Q41" s="27"/>
      <c r="R41" s="27"/>
      <c r="S41" s="1297"/>
      <c r="T41" s="1168"/>
      <c r="U41" s="172"/>
      <c r="V41" s="1193"/>
      <c r="W41" s="1294"/>
      <c r="X41" s="37" t="s">
        <v>502</v>
      </c>
      <c r="Y41" s="37" t="s">
        <v>503</v>
      </c>
      <c r="Z41" s="37" t="s">
        <v>504</v>
      </c>
      <c r="AA41" s="1174" t="s">
        <v>505</v>
      </c>
      <c r="AB41" s="1188"/>
      <c r="AC41" s="1303"/>
      <c r="AD41" s="1193"/>
      <c r="AE41" s="1294"/>
      <c r="AF41" s="37" t="s">
        <v>502</v>
      </c>
      <c r="AG41" s="37" t="s">
        <v>503</v>
      </c>
      <c r="AH41" s="37" t="s">
        <v>504</v>
      </c>
      <c r="AI41" s="1174" t="s">
        <v>505</v>
      </c>
      <c r="AJ41" s="1188"/>
      <c r="AK41" s="1303"/>
      <c r="AL41" s="1306"/>
      <c r="AM41" s="1083"/>
    </row>
    <row r="42" spans="1:44" s="209" customFormat="1" ht="11.25" hidden="1" customHeight="1">
      <c r="A42" s="79"/>
      <c r="B42" s="79"/>
      <c r="C42" s="79"/>
      <c r="D42" s="79"/>
      <c r="E42" s="79"/>
      <c r="F42" s="79"/>
      <c r="G42" s="79"/>
      <c r="H42" s="79"/>
      <c r="I42" s="79"/>
      <c r="J42" s="79"/>
      <c r="K42" s="79"/>
      <c r="L42" s="799"/>
      <c r="M42" s="522"/>
      <c r="N42" s="522"/>
      <c r="O42" s="522"/>
      <c r="P42" s="743"/>
      <c r="Q42" s="744"/>
      <c r="R42" s="752">
        <v>1</v>
      </c>
      <c r="S42" s="771" t="s">
        <v>110</v>
      </c>
      <c r="T42" s="753" t="s">
        <v>111</v>
      </c>
      <c r="U42" s="742" t="str">
        <f ca="1">OFFSET(U42,0,-1)</f>
        <v>2</v>
      </c>
      <c r="V42" s="754">
        <f ca="1">OFFSET(V42,0,-1)+1</f>
        <v>3</v>
      </c>
      <c r="W42" s="754"/>
      <c r="X42" s="754">
        <f ca="1">OFFSET(X42,0,-1)+1</f>
        <v>1</v>
      </c>
      <c r="Y42" s="754">
        <f ca="1">OFFSET(Y42,0,-1)+1</f>
        <v>2</v>
      </c>
      <c r="Z42" s="754">
        <f ca="1">OFFSET(Z42,0,-1)+1</f>
        <v>3</v>
      </c>
      <c r="AA42" s="1295">
        <f ca="1">OFFSET(AA42,0,-1)+1</f>
        <v>4</v>
      </c>
      <c r="AB42" s="1295"/>
      <c r="AC42" s="754">
        <f ca="1">OFFSET(AC42,0,-2)+1</f>
        <v>5</v>
      </c>
      <c r="AD42" s="754">
        <f ca="1">OFFSET(AD42,0,-1)+1</f>
        <v>6</v>
      </c>
      <c r="AE42" s="754"/>
      <c r="AF42" s="754">
        <f ca="1">OFFSET(AF42,0,-1)+1</f>
        <v>1</v>
      </c>
      <c r="AG42" s="754">
        <f ca="1">OFFSET(AG42,0,-1)+1</f>
        <v>2</v>
      </c>
      <c r="AH42" s="754">
        <f ca="1">OFFSET(AH42,0,-1)+1</f>
        <v>3</v>
      </c>
      <c r="AI42" s="1295">
        <f ca="1">OFFSET(AI42,0,-1)+1</f>
        <v>4</v>
      </c>
      <c r="AJ42" s="1295"/>
      <c r="AK42" s="754">
        <f ca="1">OFFSET(AK42,0,-2)+1</f>
        <v>5</v>
      </c>
      <c r="AL42" s="742">
        <f ca="1">OFFSET(AL42,0,-1)</f>
        <v>5</v>
      </c>
      <c r="AM42" s="754">
        <f ca="1">OFFSET(AM42,0,-1)+1</f>
        <v>6</v>
      </c>
      <c r="AN42" s="65"/>
      <c r="AO42" s="65"/>
      <c r="AP42" s="65"/>
      <c r="AQ42" s="65"/>
      <c r="AR42" s="65"/>
    </row>
    <row r="43" spans="1:44" ht="21" customHeight="1">
      <c r="A43" s="798" t="s">
        <v>182</v>
      </c>
      <c r="B43" s="798"/>
      <c r="C43" s="798"/>
      <c r="D43" s="798"/>
      <c r="E43" s="1285">
        <v>1</v>
      </c>
      <c r="F43" s="798"/>
      <c r="G43" s="798"/>
      <c r="H43" s="798"/>
      <c r="I43" s="798"/>
      <c r="J43" s="798"/>
      <c r="K43" s="798"/>
      <c r="L43" s="799"/>
      <c r="M43" s="435"/>
      <c r="N43" s="435"/>
      <c r="O43" s="435"/>
      <c r="Q43" s="2"/>
      <c r="R43" s="213"/>
      <c r="S43" s="730">
        <f>INDEX(PT_DIFFERENTIATION_NUM_NTAR,MATCH(A43,PT_DIFFERENTIATION_NTAR_ID,0))</f>
        <v>0</v>
      </c>
      <c r="T43" s="64" t="s">
        <v>125</v>
      </c>
      <c r="U43" s="170"/>
      <c r="V43" s="1279"/>
      <c r="W43" s="1280"/>
      <c r="X43" s="1280"/>
      <c r="Y43" s="1280"/>
      <c r="Z43" s="1280"/>
      <c r="AA43" s="1280"/>
      <c r="AB43" s="1280"/>
      <c r="AC43" s="1281"/>
      <c r="AD43" s="1279" t="str">
        <f>INDEX(PT_DIFFERENTIATION_NTAR,MATCH(A43,PT_DIFFERENTIATION_NTAR_ID,0))</f>
        <v/>
      </c>
      <c r="AE43" s="1280"/>
      <c r="AF43" s="1280"/>
      <c r="AG43" s="1280"/>
      <c r="AH43" s="1280"/>
      <c r="AI43" s="1280"/>
      <c r="AJ43" s="1280"/>
      <c r="AK43" s="1280"/>
      <c r="AL43" s="1281"/>
      <c r="AM43" s="7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8" t="s">
        <v>182</v>
      </c>
      <c r="B44" s="798" t="s">
        <v>183</v>
      </c>
      <c r="C44" s="798"/>
      <c r="D44" s="798"/>
      <c r="E44" s="1286"/>
      <c r="F44" s="1285">
        <v>1</v>
      </c>
      <c r="G44" s="798"/>
      <c r="H44" s="798"/>
      <c r="I44" s="798"/>
      <c r="J44" s="798"/>
      <c r="K44" s="798"/>
      <c r="L44" s="799"/>
      <c r="M44" s="435"/>
      <c r="N44" s="435"/>
      <c r="O44" s="435"/>
      <c r="P44" s="56"/>
      <c r="Q44" s="210"/>
      <c r="R44" s="211"/>
      <c r="S44" s="730" t="str">
        <f>INDEX(PT_DIFFERENTIATION_NUM_TER,MATCH(B44,PT_DIFFERENTIATION_TER_ID,0))</f>
        <v>.</v>
      </c>
      <c r="T44" s="178" t="s">
        <v>458</v>
      </c>
      <c r="U44" s="170"/>
      <c r="V44" s="1279"/>
      <c r="W44" s="1280"/>
      <c r="X44" s="1280"/>
      <c r="Y44" s="1280"/>
      <c r="Z44" s="1280"/>
      <c r="AA44" s="1280"/>
      <c r="AB44" s="1280"/>
      <c r="AC44" s="1281"/>
      <c r="AD44" s="1279" t="str">
        <f>INDEX(PT_DIFFERENTIATION_TER,MATCH(B44,PT_DIFFERENTIATION_TER_ID,0))</f>
        <v/>
      </c>
      <c r="AE44" s="1280"/>
      <c r="AF44" s="1280"/>
      <c r="AG44" s="1280"/>
      <c r="AH44" s="1280"/>
      <c r="AI44" s="1280"/>
      <c r="AJ44" s="1280"/>
      <c r="AK44" s="1280"/>
      <c r="AL44" s="1281"/>
      <c r="AM44" s="758" t="s">
        <v>459</v>
      </c>
      <c r="AO44" s="66"/>
      <c r="AP44" s="66" t="str">
        <f t="shared" si="1"/>
        <v>Территория действия тарифа</v>
      </c>
      <c r="AQ44" s="66"/>
      <c r="AR44" s="66"/>
    </row>
    <row r="45" spans="1:44" ht="23.25" customHeight="1">
      <c r="A45" s="798" t="s">
        <v>182</v>
      </c>
      <c r="B45" s="798" t="s">
        <v>183</v>
      </c>
      <c r="C45" s="798" t="s">
        <v>184</v>
      </c>
      <c r="D45" s="798"/>
      <c r="E45" s="1286"/>
      <c r="F45" s="1286"/>
      <c r="G45" s="1285">
        <v>1</v>
      </c>
      <c r="H45" s="798"/>
      <c r="I45" s="798"/>
      <c r="J45" s="798"/>
      <c r="K45" s="798"/>
      <c r="L45" s="799"/>
      <c r="M45" s="435"/>
      <c r="N45" s="435"/>
      <c r="O45" s="435"/>
      <c r="P45" s="212"/>
      <c r="Q45" s="210"/>
      <c r="R45" s="211"/>
      <c r="S45" s="730" t="str">
        <f>INDEX(PT_DIFFERENTIATION_NUM_CS,MATCH(C45,PT_DIFFERENTIATION_CS_ID,0))</f>
        <v>..</v>
      </c>
      <c r="T45" s="179" t="s">
        <v>460</v>
      </c>
      <c r="U45" s="170"/>
      <c r="V45" s="1279"/>
      <c r="W45" s="1280"/>
      <c r="X45" s="1280"/>
      <c r="Y45" s="1280"/>
      <c r="Z45" s="1280"/>
      <c r="AA45" s="1280"/>
      <c r="AB45" s="1280"/>
      <c r="AC45" s="1281"/>
      <c r="AD45" s="1279" t="str">
        <f>INDEX(PT_DIFFERENTIATION_CS,MATCH(C45,PT_DIFFERENTIATION_CS_ID,0))</f>
        <v/>
      </c>
      <c r="AE45" s="1280"/>
      <c r="AF45" s="1280"/>
      <c r="AG45" s="1280"/>
      <c r="AH45" s="1280"/>
      <c r="AI45" s="1280"/>
      <c r="AJ45" s="1280"/>
      <c r="AK45" s="1280"/>
      <c r="AL45" s="1281"/>
      <c r="AM45" s="758" t="s">
        <v>461</v>
      </c>
      <c r="AO45" s="66"/>
      <c r="AP45" s="66" t="str">
        <f t="shared" si="1"/>
        <v xml:space="preserve">Наименование системы теплоснабжения </v>
      </c>
      <c r="AQ45" s="66"/>
      <c r="AR45" s="66"/>
    </row>
    <row r="46" spans="1:44" ht="21" customHeight="1">
      <c r="A46" s="798" t="s">
        <v>182</v>
      </c>
      <c r="B46" s="798" t="s">
        <v>183</v>
      </c>
      <c r="C46" s="798" t="s">
        <v>184</v>
      </c>
      <c r="D46" s="798" t="s">
        <v>185</v>
      </c>
      <c r="E46" s="1286"/>
      <c r="F46" s="1286"/>
      <c r="G46" s="1286"/>
      <c r="H46" s="1285">
        <v>1</v>
      </c>
      <c r="I46" s="798"/>
      <c r="J46" s="798"/>
      <c r="K46" s="798"/>
      <c r="L46" s="799"/>
      <c r="M46" s="435"/>
      <c r="N46" s="435"/>
      <c r="O46" s="435"/>
      <c r="P46" s="212"/>
      <c r="Q46" s="210"/>
      <c r="R46" s="211"/>
      <c r="S46" s="730" t="str">
        <f>INDEX(PT_DIFFERENTIATION_NUM_IST_TE,MATCH(D46,PT_DIFFERENTIATION_IST_TE_ID,0))</f>
        <v>...</v>
      </c>
      <c r="T46" s="180" t="s">
        <v>462</v>
      </c>
      <c r="U46" s="170"/>
      <c r="V46" s="1279"/>
      <c r="W46" s="1280"/>
      <c r="X46" s="1280"/>
      <c r="Y46" s="1280"/>
      <c r="Z46" s="1280"/>
      <c r="AA46" s="1280"/>
      <c r="AB46" s="1280"/>
      <c r="AC46" s="1281"/>
      <c r="AD46" s="1279" t="str">
        <f>INDEX(PT_DIFFERENTIATION_IST_TE,MATCH(D46,PT_DIFFERENTIATION_IST_TE_ID,0))</f>
        <v/>
      </c>
      <c r="AE46" s="1280"/>
      <c r="AF46" s="1280"/>
      <c r="AG46" s="1280"/>
      <c r="AH46" s="1280"/>
      <c r="AI46" s="1280"/>
      <c r="AJ46" s="1280"/>
      <c r="AK46" s="1280"/>
      <c r="AL46" s="1281"/>
      <c r="AM46" s="758" t="s">
        <v>463</v>
      </c>
      <c r="AO46" s="66"/>
      <c r="AP46" s="66" t="str">
        <f t="shared" si="1"/>
        <v xml:space="preserve">Источник тепловой энергии  </v>
      </c>
      <c r="AQ46" s="66"/>
      <c r="AR46" s="66"/>
    </row>
    <row r="47" spans="1:44" s="65" customFormat="1" ht="0" hidden="1" customHeight="1">
      <c r="A47" s="142" t="s">
        <v>182</v>
      </c>
      <c r="B47" s="142" t="s">
        <v>183</v>
      </c>
      <c r="C47" s="142" t="s">
        <v>184</v>
      </c>
      <c r="D47" s="142" t="s">
        <v>185</v>
      </c>
      <c r="E47" s="1286"/>
      <c r="F47" s="1286"/>
      <c r="G47" s="1286"/>
      <c r="H47" s="1286"/>
      <c r="I47" s="1287" t="str">
        <f>S46&amp;".1"</f>
        <v>....1</v>
      </c>
      <c r="J47" s="142"/>
      <c r="K47" s="142"/>
      <c r="L47" s="357" t="s">
        <v>464</v>
      </c>
      <c r="M47" s="228"/>
      <c r="N47" s="228"/>
      <c r="O47" s="228"/>
      <c r="P47" s="1204">
        <v>1</v>
      </c>
      <c r="Q47" s="119"/>
      <c r="R47" s="214"/>
      <c r="S47" s="373"/>
      <c r="T47" s="808"/>
      <c r="U47" s="809"/>
      <c r="V47" s="1314"/>
      <c r="W47" s="1315"/>
      <c r="X47" s="1315"/>
      <c r="Y47" s="1315"/>
      <c r="Z47" s="1315"/>
      <c r="AA47" s="1315"/>
      <c r="AB47" s="1315"/>
      <c r="AC47" s="1316"/>
      <c r="AD47" s="1314"/>
      <c r="AE47" s="1315"/>
      <c r="AF47" s="1315"/>
      <c r="AG47" s="1315"/>
      <c r="AH47" s="1315"/>
      <c r="AI47" s="1315"/>
      <c r="AJ47" s="1315"/>
      <c r="AK47" s="1315"/>
      <c r="AL47" s="1316"/>
      <c r="AM47" s="810"/>
      <c r="AO47" s="66"/>
      <c r="AP47" s="66" t="str">
        <f t="shared" si="1"/>
        <v/>
      </c>
      <c r="AQ47" s="66"/>
      <c r="AR47" s="66"/>
    </row>
    <row r="48" spans="1:44" ht="21" customHeight="1">
      <c r="A48" s="798" t="s">
        <v>182</v>
      </c>
      <c r="B48" s="798" t="s">
        <v>183</v>
      </c>
      <c r="C48" s="798" t="s">
        <v>184</v>
      </c>
      <c r="D48" s="798" t="s">
        <v>185</v>
      </c>
      <c r="E48" s="1286"/>
      <c r="F48" s="1286"/>
      <c r="G48" s="1286"/>
      <c r="H48" s="1286"/>
      <c r="I48" s="1288"/>
      <c r="J48" s="1287" t="str">
        <f>S46&amp;".1"</f>
        <v>....1</v>
      </c>
      <c r="K48" s="798"/>
      <c r="L48" s="799" t="s">
        <v>467</v>
      </c>
      <c r="P48" s="1204"/>
      <c r="Q48" s="1204">
        <v>1</v>
      </c>
      <c r="R48" s="215"/>
      <c r="S48" s="730" t="str">
        <f>$J48</f>
        <v>....1</v>
      </c>
      <c r="T48" s="164" t="s">
        <v>468</v>
      </c>
      <c r="U48" s="170"/>
      <c r="V48" s="1273"/>
      <c r="W48" s="1274"/>
      <c r="X48" s="1274"/>
      <c r="Y48" s="1274"/>
      <c r="Z48" s="1274"/>
      <c r="AA48" s="1274"/>
      <c r="AB48" s="1274"/>
      <c r="AC48" s="1275"/>
      <c r="AD48" s="1273"/>
      <c r="AE48" s="1274"/>
      <c r="AF48" s="1274"/>
      <c r="AG48" s="1274"/>
      <c r="AH48" s="1274"/>
      <c r="AI48" s="1274"/>
      <c r="AJ48" s="1274"/>
      <c r="AK48" s="1274"/>
      <c r="AL48" s="1275"/>
      <c r="AM48" s="758" t="s">
        <v>469</v>
      </c>
      <c r="AO48" s="66"/>
      <c r="AP48" s="66" t="str">
        <f t="shared" si="1"/>
        <v>Группа потребителей</v>
      </c>
      <c r="AQ48" s="66"/>
      <c r="AR48" s="66"/>
    </row>
    <row r="49" spans="1:44" ht="21" customHeight="1">
      <c r="A49" s="798" t="s">
        <v>182</v>
      </c>
      <c r="B49" s="798" t="s">
        <v>183</v>
      </c>
      <c r="C49" s="798" t="s">
        <v>184</v>
      </c>
      <c r="D49" s="798" t="s">
        <v>185</v>
      </c>
      <c r="E49" s="1286"/>
      <c r="F49" s="1286"/>
      <c r="G49" s="1286"/>
      <c r="H49" s="1286"/>
      <c r="I49" s="1288"/>
      <c r="J49" s="1288"/>
      <c r="K49" s="1287" t="str">
        <f>J48&amp;".1"</f>
        <v>....1.1</v>
      </c>
      <c r="L49" s="799" t="s">
        <v>470</v>
      </c>
      <c r="P49" s="1204"/>
      <c r="Q49" s="1204"/>
      <c r="R49" s="215">
        <v>1</v>
      </c>
      <c r="S49" s="730" t="str">
        <f>$K49</f>
        <v>....1.1</v>
      </c>
      <c r="T49" s="794"/>
      <c r="U49" s="170"/>
      <c r="V49" s="317"/>
      <c r="W49" s="196"/>
      <c r="X49" s="317"/>
      <c r="Y49" s="757"/>
      <c r="Z49" s="1289"/>
      <c r="AA49" s="1093" t="s">
        <v>59</v>
      </c>
      <c r="AB49" s="1289"/>
      <c r="AC49" s="1093" t="s">
        <v>59</v>
      </c>
      <c r="AD49" s="317"/>
      <c r="AE49" s="196"/>
      <c r="AF49" s="317"/>
      <c r="AG49" s="757"/>
      <c r="AH49" s="1289"/>
      <c r="AI49" s="1093" t="s">
        <v>59</v>
      </c>
      <c r="AJ49" s="1291"/>
      <c r="AK49" s="1093" t="s">
        <v>59</v>
      </c>
      <c r="AL49" s="795"/>
      <c r="AM49" s="1307" t="s">
        <v>514</v>
      </c>
      <c r="AN49" s="65" t="e">
        <f ca="1">STRCHECKDATE(V50:AL50)</f>
        <v>#NAME?</v>
      </c>
      <c r="AO49" s="66"/>
      <c r="AP49" s="66" t="str">
        <f t="shared" si="1"/>
        <v/>
      </c>
      <c r="AQ49" s="66"/>
      <c r="AR49" s="66"/>
    </row>
    <row r="50" spans="1:44" ht="0.75" customHeight="1">
      <c r="A50" s="798" t="s">
        <v>182</v>
      </c>
      <c r="B50" s="798" t="s">
        <v>183</v>
      </c>
      <c r="C50" s="798" t="s">
        <v>184</v>
      </c>
      <c r="D50" s="798" t="s">
        <v>185</v>
      </c>
      <c r="E50" s="1286"/>
      <c r="F50" s="1286"/>
      <c r="G50" s="1286"/>
      <c r="H50" s="1286"/>
      <c r="I50" s="1288"/>
      <c r="J50" s="1288"/>
      <c r="K50" s="1287"/>
      <c r="L50" s="799"/>
      <c r="P50" s="1204"/>
      <c r="Q50" s="1204"/>
      <c r="R50" s="215"/>
      <c r="S50" s="62"/>
      <c r="T50" s="170"/>
      <c r="U50" s="170"/>
      <c r="V50" s="196"/>
      <c r="W50" s="196"/>
      <c r="X50" s="196"/>
      <c r="Y50" s="198" t="str">
        <f>Z49&amp;"-"&amp;AB49</f>
        <v>-</v>
      </c>
      <c r="Z50" s="1290"/>
      <c r="AA50" s="1093"/>
      <c r="AB50" s="1290"/>
      <c r="AC50" s="1093"/>
      <c r="AD50" s="196"/>
      <c r="AE50" s="196"/>
      <c r="AF50" s="196"/>
      <c r="AG50" s="198" t="str">
        <f>AH49&amp;"-"&amp;AJ49</f>
        <v>-</v>
      </c>
      <c r="AH50" s="1290"/>
      <c r="AI50" s="1093"/>
      <c r="AJ50" s="1292"/>
      <c r="AK50" s="1093"/>
      <c r="AL50" s="796"/>
      <c r="AM50" s="1308"/>
      <c r="AO50" s="66"/>
      <c r="AP50" s="66" t="str">
        <f t="shared" si="1"/>
        <v/>
      </c>
      <c r="AQ50" s="66"/>
      <c r="AR50" s="66"/>
    </row>
    <row r="51" spans="1:44" ht="11.25" customHeight="1">
      <c r="A51" s="798" t="s">
        <v>182</v>
      </c>
      <c r="B51" s="798" t="s">
        <v>183</v>
      </c>
      <c r="C51" s="798" t="s">
        <v>184</v>
      </c>
      <c r="D51" s="798" t="s">
        <v>185</v>
      </c>
      <c r="E51" s="1286"/>
      <c r="F51" s="1286"/>
      <c r="G51" s="1286"/>
      <c r="H51" s="1286"/>
      <c r="I51" s="1288"/>
      <c r="J51" s="1287"/>
      <c r="K51" s="798"/>
      <c r="L51" s="799"/>
      <c r="P51" s="1204"/>
      <c r="Q51" s="1204"/>
      <c r="R51" s="214"/>
      <c r="S51" s="772"/>
      <c r="T51" s="165" t="s">
        <v>472</v>
      </c>
      <c r="U51" s="221"/>
      <c r="V51" s="221"/>
      <c r="W51" s="221"/>
      <c r="X51" s="221"/>
      <c r="Y51" s="221"/>
      <c r="Z51" s="221"/>
      <c r="AA51" s="221"/>
      <c r="AB51" s="221"/>
      <c r="AC51" s="221"/>
      <c r="AD51" s="221"/>
      <c r="AE51" s="221"/>
      <c r="AF51" s="221"/>
      <c r="AG51" s="221"/>
      <c r="AH51" s="221"/>
      <c r="AI51" s="221"/>
      <c r="AJ51" s="221"/>
      <c r="AK51" s="221"/>
      <c r="AL51" s="195"/>
      <c r="AM51" s="1309"/>
      <c r="AO51" s="66"/>
      <c r="AP51" s="66" t="str">
        <f t="shared" si="1"/>
        <v>Добавить вид теплоносителя (параметры теплоносителя)</v>
      </c>
      <c r="AQ51" s="66"/>
      <c r="AR51" s="66"/>
    </row>
    <row r="52" spans="1:44" ht="11.25" customHeight="1">
      <c r="A52" s="798" t="s">
        <v>182</v>
      </c>
      <c r="B52" s="798" t="s">
        <v>183</v>
      </c>
      <c r="C52" s="798" t="s">
        <v>184</v>
      </c>
      <c r="D52" s="798" t="s">
        <v>185</v>
      </c>
      <c r="E52" s="1286"/>
      <c r="F52" s="1286"/>
      <c r="G52" s="1286"/>
      <c r="H52" s="1286"/>
      <c r="I52" s="1287"/>
      <c r="J52" s="798"/>
      <c r="K52" s="798"/>
      <c r="L52" s="799"/>
      <c r="P52" s="1204"/>
      <c r="Q52" s="119"/>
      <c r="R52" s="214"/>
      <c r="S52" s="772"/>
      <c r="T52" s="219" t="s">
        <v>473</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8" t="s">
        <v>182</v>
      </c>
      <c r="B53" s="798" t="s">
        <v>183</v>
      </c>
      <c r="C53" s="798" t="s">
        <v>184</v>
      </c>
      <c r="D53" s="798" t="s">
        <v>185</v>
      </c>
      <c r="E53" s="1286"/>
      <c r="F53" s="1286"/>
      <c r="G53" s="1286"/>
      <c r="H53" s="1285"/>
      <c r="I53" s="798"/>
      <c r="J53" s="798"/>
      <c r="K53" s="798"/>
      <c r="L53" s="799"/>
      <c r="M53" s="435"/>
      <c r="N53" s="435"/>
      <c r="O53" s="60"/>
      <c r="P53" s="2"/>
      <c r="Q53" s="224"/>
      <c r="R53" s="213"/>
      <c r="S53" s="811"/>
      <c r="T53" s="812"/>
      <c r="U53" s="813"/>
      <c r="V53" s="813"/>
      <c r="W53" s="813"/>
      <c r="X53" s="813"/>
      <c r="Y53" s="813"/>
      <c r="Z53" s="813"/>
      <c r="AA53" s="813"/>
      <c r="AB53" s="813"/>
      <c r="AC53" s="813"/>
      <c r="AD53" s="813"/>
      <c r="AE53" s="813"/>
      <c r="AF53" s="813"/>
      <c r="AG53" s="813"/>
      <c r="AH53" s="813"/>
      <c r="AI53" s="813"/>
      <c r="AJ53" s="813"/>
      <c r="AK53" s="813"/>
      <c r="AL53" s="813"/>
      <c r="AM53" s="814"/>
      <c r="AO53" s="66"/>
      <c r="AP53" s="66" t="str">
        <f t="shared" si="1"/>
        <v/>
      </c>
      <c r="AQ53" s="66"/>
      <c r="AR53" s="66"/>
    </row>
    <row r="54" spans="1:44" s="65" customFormat="1" ht="0.75" customHeight="1">
      <c r="A54" s="142" t="s">
        <v>182</v>
      </c>
      <c r="B54" s="142" t="s">
        <v>183</v>
      </c>
      <c r="C54" s="142" t="s">
        <v>184</v>
      </c>
      <c r="D54" s="142"/>
      <c r="E54" s="1286"/>
      <c r="F54" s="1286"/>
      <c r="G54" s="1285"/>
      <c r="H54" s="142"/>
      <c r="I54" s="142"/>
      <c r="J54" s="142"/>
      <c r="K54" s="142"/>
      <c r="L54" s="357"/>
      <c r="M54" s="304"/>
      <c r="N54" s="304"/>
      <c r="P54" s="101"/>
      <c r="Q54" s="785"/>
      <c r="R54" s="101"/>
      <c r="S54" s="790"/>
      <c r="T54" s="792" t="s">
        <v>431</v>
      </c>
      <c r="U54" s="324"/>
      <c r="V54" s="324"/>
      <c r="W54" s="324"/>
      <c r="X54" s="324"/>
      <c r="Y54" s="324"/>
      <c r="Z54" s="324"/>
      <c r="AA54" s="324"/>
      <c r="AB54" s="324"/>
      <c r="AC54" s="324"/>
      <c r="AD54" s="324"/>
      <c r="AE54" s="324"/>
      <c r="AF54" s="324"/>
      <c r="AG54" s="324"/>
      <c r="AH54" s="324"/>
      <c r="AI54" s="324"/>
      <c r="AJ54" s="324"/>
      <c r="AK54" s="324"/>
      <c r="AL54" s="324"/>
      <c r="AM54" s="324"/>
      <c r="AO54" s="66"/>
      <c r="AP54" s="66" t="str">
        <f t="shared" si="1"/>
        <v>Добавить источник для дифференциации</v>
      </c>
      <c r="AQ54" s="66"/>
      <c r="AR54" s="66"/>
    </row>
    <row r="55" spans="1:44" s="65" customFormat="1" ht="0.75" customHeight="1">
      <c r="A55" s="142" t="s">
        <v>182</v>
      </c>
      <c r="B55" s="142" t="s">
        <v>183</v>
      </c>
      <c r="C55" s="142"/>
      <c r="D55" s="142"/>
      <c r="E55" s="1286"/>
      <c r="F55" s="1285"/>
      <c r="G55" s="142"/>
      <c r="H55" s="142"/>
      <c r="I55" s="142"/>
      <c r="J55" s="142"/>
      <c r="K55" s="142"/>
      <c r="L55" s="357"/>
      <c r="M55" s="789"/>
      <c r="N55" s="789"/>
      <c r="P55" s="101"/>
      <c r="Q55" s="785"/>
      <c r="R55" s="101"/>
      <c r="S55" s="790"/>
      <c r="T55" s="792" t="s">
        <v>432</v>
      </c>
      <c r="U55" s="324"/>
      <c r="V55" s="324"/>
      <c r="W55" s="324"/>
      <c r="X55" s="324"/>
      <c r="Y55" s="324"/>
      <c r="Z55" s="324"/>
      <c r="AA55" s="324"/>
      <c r="AB55" s="324"/>
      <c r="AC55" s="324"/>
      <c r="AD55" s="324"/>
      <c r="AE55" s="324"/>
      <c r="AF55" s="324"/>
      <c r="AG55" s="324"/>
      <c r="AH55" s="324"/>
      <c r="AI55" s="324"/>
      <c r="AJ55" s="324"/>
      <c r="AK55" s="324"/>
      <c r="AL55" s="324"/>
      <c r="AM55" s="324"/>
      <c r="AO55" s="66"/>
      <c r="AP55" s="66" t="str">
        <f t="shared" si="1"/>
        <v>Добавить централизованную систему для дифференциации</v>
      </c>
      <c r="AQ55" s="66"/>
      <c r="AR55" s="66"/>
    </row>
    <row r="56" spans="1:44" s="65" customFormat="1" ht="0.75" customHeight="1">
      <c r="A56" s="142" t="s">
        <v>182</v>
      </c>
      <c r="B56" s="142"/>
      <c r="C56" s="142"/>
      <c r="D56" s="142"/>
      <c r="E56" s="1285"/>
      <c r="F56" s="142"/>
      <c r="G56" s="142"/>
      <c r="H56" s="142"/>
      <c r="I56" s="142"/>
      <c r="J56" s="142"/>
      <c r="K56" s="142"/>
      <c r="L56" s="357"/>
      <c r="M56" s="789"/>
      <c r="N56" s="789"/>
      <c r="P56" s="101"/>
      <c r="Q56" s="785"/>
      <c r="R56" s="101"/>
      <c r="S56" s="790"/>
      <c r="T56" s="792" t="s">
        <v>433</v>
      </c>
      <c r="U56" s="324"/>
      <c r="V56" s="324"/>
      <c r="W56" s="324"/>
      <c r="X56" s="324"/>
      <c r="Y56" s="324"/>
      <c r="Z56" s="324"/>
      <c r="AA56" s="324"/>
      <c r="AB56" s="324"/>
      <c r="AC56" s="324"/>
      <c r="AD56" s="324"/>
      <c r="AE56" s="324"/>
      <c r="AF56" s="324"/>
      <c r="AG56" s="324"/>
      <c r="AH56" s="324"/>
      <c r="AI56" s="324"/>
      <c r="AJ56" s="324"/>
      <c r="AK56" s="324"/>
      <c r="AL56" s="324"/>
      <c r="AM56" s="324"/>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7"/>
      <c r="M57" s="789"/>
      <c r="N57" s="789"/>
      <c r="P57" s="101"/>
      <c r="Q57" s="785"/>
      <c r="R57" s="101"/>
      <c r="S57" s="790"/>
      <c r="T57" s="792" t="s">
        <v>434</v>
      </c>
      <c r="U57" s="324"/>
      <c r="V57" s="324"/>
      <c r="W57" s="324"/>
      <c r="X57" s="324"/>
      <c r="Y57" s="324"/>
      <c r="Z57" s="324"/>
      <c r="AA57" s="324"/>
      <c r="AB57" s="324"/>
      <c r="AC57" s="324"/>
      <c r="AD57" s="324"/>
      <c r="AE57" s="324"/>
      <c r="AF57" s="324"/>
      <c r="AG57" s="324"/>
      <c r="AH57" s="324"/>
      <c r="AI57" s="324"/>
      <c r="AJ57" s="324"/>
      <c r="AK57" s="324"/>
      <c r="AL57" s="324"/>
      <c r="AM57" s="324"/>
      <c r="AO57" s="66"/>
      <c r="AP57" s="66" t="str">
        <f t="shared" si="1"/>
        <v>Добавить наименование тарифа</v>
      </c>
      <c r="AQ57" s="66"/>
      <c r="AR57" s="66"/>
    </row>
    <row r="58" spans="1:44" ht="11.25" hidden="1" customHeight="1">
      <c r="M58" s="60"/>
      <c r="N58" s="60"/>
      <c r="O58" s="60"/>
      <c r="P58" s="9"/>
      <c r="Q58" s="9"/>
      <c r="R58" s="9"/>
      <c r="S58" s="9"/>
      <c r="AN58" s="9"/>
      <c r="AO58" s="9"/>
      <c r="AP58" s="9"/>
      <c r="AQ58" s="9"/>
      <c r="AR58" s="9"/>
    </row>
    <row r="59" spans="1:44" ht="21.75" hidden="1" customHeight="1">
      <c r="O59" s="60"/>
      <c r="S59" s="204" t="s">
        <v>506</v>
      </c>
      <c r="T59" s="1284" t="s">
        <v>515</v>
      </c>
      <c r="U59" s="1284"/>
      <c r="V59" s="1284"/>
      <c r="W59" s="1284"/>
      <c r="X59" s="1284"/>
      <c r="Y59" s="1284"/>
      <c r="Z59" s="1284"/>
      <c r="AA59" s="1284"/>
      <c r="AB59" s="1284"/>
      <c r="AC59" s="1284"/>
      <c r="AD59" s="1284"/>
      <c r="AE59" s="1284"/>
      <c r="AF59" s="1284"/>
      <c r="AG59" s="1284"/>
      <c r="AH59" s="1284"/>
      <c r="AI59" s="1284"/>
      <c r="AJ59" s="1284"/>
      <c r="AK59" s="1284"/>
      <c r="AL59" s="1284"/>
      <c r="AM59" s="1284"/>
    </row>
    <row r="60" spans="1:44" ht="29.25" hidden="1" customHeight="1">
      <c r="O60" s="60"/>
      <c r="T60" s="1284" t="s">
        <v>516</v>
      </c>
      <c r="U60" s="1284"/>
      <c r="V60" s="1284"/>
      <c r="W60" s="1284"/>
      <c r="X60" s="1284"/>
      <c r="Y60" s="1284"/>
      <c r="Z60" s="1284"/>
      <c r="AA60" s="1284"/>
      <c r="AB60" s="1284"/>
      <c r="AC60" s="1284"/>
      <c r="AD60" s="1284"/>
      <c r="AE60" s="1284"/>
      <c r="AF60" s="1284"/>
      <c r="AG60" s="1284"/>
      <c r="AH60" s="1284"/>
      <c r="AI60" s="1284"/>
      <c r="AJ60" s="1284"/>
      <c r="AK60" s="1284"/>
      <c r="AL60" s="1284"/>
      <c r="AM60" s="1284"/>
    </row>
    <row r="61" spans="1:44" ht="39.75" hidden="1" customHeight="1">
      <c r="O61" s="60"/>
      <c r="T61" s="1284" t="s">
        <v>517</v>
      </c>
      <c r="U61" s="1284"/>
      <c r="V61" s="1284"/>
      <c r="W61" s="1284"/>
      <c r="X61" s="1284"/>
      <c r="Y61" s="1284"/>
      <c r="Z61" s="1284"/>
      <c r="AA61" s="1284"/>
      <c r="AB61" s="1284"/>
      <c r="AC61" s="1284"/>
      <c r="AD61" s="1284"/>
      <c r="AE61" s="1284"/>
      <c r="AF61" s="1284"/>
      <c r="AG61" s="1284"/>
      <c r="AH61" s="1284"/>
      <c r="AI61" s="1284"/>
      <c r="AJ61" s="1284"/>
      <c r="AK61" s="1284"/>
      <c r="AL61" s="1284"/>
      <c r="AM61" s="1284"/>
    </row>
    <row r="62" spans="1:44" ht="14.25" hidden="1" customHeight="1">
      <c r="O62" s="60"/>
    </row>
    <row r="63" spans="1:44" ht="19.5" hidden="1" customHeight="1">
      <c r="O63" s="60"/>
      <c r="S63" s="204" t="s">
        <v>506</v>
      </c>
      <c r="T63" s="1123" t="s">
        <v>509</v>
      </c>
      <c r="U63" s="1284"/>
      <c r="V63" s="1284"/>
      <c r="W63" s="1284"/>
      <c r="X63" s="1284"/>
      <c r="Y63" s="1284"/>
      <c r="Z63" s="1284"/>
      <c r="AA63" s="1284"/>
      <c r="AB63" s="1284"/>
      <c r="AC63" s="1284"/>
      <c r="AD63" s="1284"/>
      <c r="AE63" s="1284"/>
      <c r="AF63" s="1284"/>
      <c r="AG63" s="1284"/>
      <c r="AH63" s="1284"/>
      <c r="AI63" s="1284"/>
      <c r="AJ63" s="1284"/>
      <c r="AK63" s="1284"/>
      <c r="AL63" s="1284"/>
      <c r="AM63" s="1284"/>
    </row>
    <row r="64" spans="1:44" ht="27.75" hidden="1" customHeight="1">
      <c r="O64" s="60"/>
      <c r="T64" s="1284" t="s">
        <v>518</v>
      </c>
      <c r="U64" s="1284"/>
      <c r="V64" s="1284"/>
      <c r="W64" s="1284"/>
      <c r="X64" s="1284"/>
      <c r="Y64" s="1284"/>
      <c r="Z64" s="1284"/>
      <c r="AA64" s="1284"/>
      <c r="AB64" s="1284"/>
      <c r="AC64" s="1284"/>
      <c r="AD64" s="1284"/>
      <c r="AE64" s="1284"/>
      <c r="AF64" s="1284"/>
      <c r="AG64" s="1284"/>
      <c r="AH64" s="1284"/>
      <c r="AI64" s="1284"/>
      <c r="AJ64" s="1284"/>
      <c r="AK64" s="1284"/>
      <c r="AL64" s="1284"/>
      <c r="AM64" s="1284"/>
    </row>
    <row r="65" spans="20:39" ht="33.75" hidden="1" customHeight="1">
      <c r="T65" s="1284" t="s">
        <v>519</v>
      </c>
      <c r="U65" s="1284"/>
      <c r="V65" s="1284"/>
      <c r="W65" s="1284"/>
      <c r="X65" s="1284"/>
      <c r="Y65" s="1284"/>
      <c r="Z65" s="1284"/>
      <c r="AA65" s="1284"/>
      <c r="AB65" s="1284"/>
      <c r="AC65" s="1284"/>
      <c r="AD65" s="1284"/>
      <c r="AE65" s="1284"/>
      <c r="AF65" s="1284"/>
      <c r="AG65" s="1284"/>
      <c r="AH65" s="1284"/>
      <c r="AI65" s="1284"/>
      <c r="AJ65" s="1284"/>
      <c r="AK65" s="1284"/>
      <c r="AL65" s="1284"/>
      <c r="AM65" s="1284"/>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10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10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10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10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10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10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xr:uid="{00000000-0002-0000-10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10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CE6F2D-042A-0FCA-26E2-DA1CEBAE659E}">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32" hidden="1" customWidth="1"/>
    <col min="17" max="18" width="3.7109375" style="28" customWidth="1"/>
    <col min="19" max="19" width="12.7109375" style="353"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0"/>
      <c r="AC2" s="1281"/>
      <c r="AD2" s="1279" t="e">
        <f>INDEX(PT_DIFFERENTIATION_NTAR,MATCH(A2,PT_DIFFERENTIATION_NTAR_ID,0))</f>
        <v>#N/A</v>
      </c>
      <c r="AE2" s="1280"/>
      <c r="AF2" s="1280"/>
      <c r="AG2" s="1280"/>
      <c r="AH2" s="1280"/>
      <c r="AI2" s="1280"/>
      <c r="AJ2" s="1280"/>
      <c r="AK2" s="1280"/>
      <c r="AL2" s="1281"/>
      <c r="AM2" s="758" t="s">
        <v>457</v>
      </c>
      <c r="AO2" s="66"/>
      <c r="AP2" s="66" t="str">
        <f t="shared" ref="AP2:AP15" si="0">IF(T2="","",T2)</f>
        <v>Наименование тарифа</v>
      </c>
      <c r="AQ2" s="66"/>
      <c r="AR2" s="66"/>
    </row>
    <row r="3" spans="1:44" ht="21"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0"/>
      <c r="AC3" s="1281"/>
      <c r="AD3" s="1279" t="e">
        <f>INDEX(PT_DIFFERENTIATION_TER,MATCH(B3,PT_DIFFERENTIATION_TER_ID,0))</f>
        <v>#N/A</v>
      </c>
      <c r="AE3" s="1280"/>
      <c r="AF3" s="1280"/>
      <c r="AG3" s="1280"/>
      <c r="AH3" s="1280"/>
      <c r="AI3" s="1280"/>
      <c r="AJ3" s="1280"/>
      <c r="AK3" s="1280"/>
      <c r="AL3" s="1281"/>
      <c r="AM3" s="758" t="s">
        <v>459</v>
      </c>
      <c r="AO3" s="66"/>
      <c r="AP3" s="66" t="str">
        <f t="shared" si="0"/>
        <v>Территория действия тарифа</v>
      </c>
      <c r="AQ3" s="66"/>
      <c r="AR3" s="66"/>
    </row>
    <row r="4" spans="1:44"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460</v>
      </c>
      <c r="U4" s="170"/>
      <c r="V4" s="1279"/>
      <c r="W4" s="1280"/>
      <c r="X4" s="1280"/>
      <c r="Y4" s="1280"/>
      <c r="Z4" s="1280"/>
      <c r="AA4" s="1280"/>
      <c r="AB4" s="1280"/>
      <c r="AC4" s="1281"/>
      <c r="AD4" s="1279" t="e">
        <f>INDEX(PT_DIFFERENTIATION_CS,MATCH(C4,PT_DIFFERENTIATION_CS_ID,0))</f>
        <v>#N/A</v>
      </c>
      <c r="AE4" s="1280"/>
      <c r="AF4" s="1280"/>
      <c r="AG4" s="1280"/>
      <c r="AH4" s="1280"/>
      <c r="AI4" s="1280"/>
      <c r="AJ4" s="1280"/>
      <c r="AK4" s="1280"/>
      <c r="AL4" s="1281"/>
      <c r="AM4" s="758" t="s">
        <v>461</v>
      </c>
      <c r="AO4" s="66"/>
      <c r="AP4" s="66" t="str">
        <f t="shared" si="0"/>
        <v xml:space="preserve">Наименование системы теплоснабжения </v>
      </c>
      <c r="AQ4" s="66"/>
      <c r="AR4" s="66"/>
    </row>
    <row r="5" spans="1:44" ht="21" hidden="1" customHeight="1">
      <c r="A5" s="798"/>
      <c r="B5" s="798"/>
      <c r="C5" s="798"/>
      <c r="D5" s="798"/>
      <c r="E5" s="1286"/>
      <c r="F5" s="1286"/>
      <c r="G5" s="1286"/>
      <c r="H5" s="1285">
        <v>1</v>
      </c>
      <c r="I5" s="798"/>
      <c r="J5" s="798"/>
      <c r="K5" s="798"/>
      <c r="L5" s="799"/>
      <c r="M5" s="435"/>
      <c r="N5" s="435"/>
      <c r="O5" s="435"/>
      <c r="P5" s="212"/>
      <c r="Q5" s="210"/>
      <c r="R5" s="211"/>
      <c r="S5" s="730" t="e">
        <f>INDEX(PT_DIFFERENTIATION_NUM_IST_TE,MATCH(D5,PT_DIFFERENTIATION_IST_TE_ID,0))</f>
        <v>#N/A</v>
      </c>
      <c r="T5" s="180" t="s">
        <v>462</v>
      </c>
      <c r="U5" s="170"/>
      <c r="V5" s="1279"/>
      <c r="W5" s="1280"/>
      <c r="X5" s="1280"/>
      <c r="Y5" s="1280"/>
      <c r="Z5" s="1280"/>
      <c r="AA5" s="1280"/>
      <c r="AB5" s="1280"/>
      <c r="AC5" s="1281"/>
      <c r="AD5" s="1279" t="e">
        <f>INDEX(PT_DIFFERENTIATION_IST_TE,MATCH(D5,PT_DIFFERENTIATION_IST_TE_ID,0))</f>
        <v>#N/A</v>
      </c>
      <c r="AE5" s="1280"/>
      <c r="AF5" s="1280"/>
      <c r="AG5" s="1280"/>
      <c r="AH5" s="1280"/>
      <c r="AI5" s="1280"/>
      <c r="AJ5" s="1280"/>
      <c r="AK5" s="1280"/>
      <c r="AL5" s="1281"/>
      <c r="AM5" s="758" t="s">
        <v>463</v>
      </c>
      <c r="AO5" s="66"/>
      <c r="AP5" s="66" t="str">
        <f t="shared" si="0"/>
        <v xml:space="preserve">Источник тепловой энергии  </v>
      </c>
      <c r="AQ5" s="66"/>
      <c r="AR5" s="66"/>
    </row>
    <row r="6" spans="1:44" ht="14.25" hidden="1" customHeight="1">
      <c r="A6" s="798"/>
      <c r="B6" s="798"/>
      <c r="C6" s="798"/>
      <c r="D6" s="798"/>
      <c r="E6" s="1286"/>
      <c r="F6" s="1286"/>
      <c r="G6" s="1286"/>
      <c r="H6" s="1286"/>
      <c r="I6" s="1287" t="e">
        <f>S5&amp;".1"</f>
        <v>#N/A</v>
      </c>
      <c r="J6" s="798"/>
      <c r="K6" s="798"/>
      <c r="L6" s="799" t="s">
        <v>464</v>
      </c>
      <c r="M6" s="60"/>
      <c r="P6" s="1204">
        <v>1</v>
      </c>
      <c r="Q6" s="119"/>
      <c r="R6" s="214"/>
      <c r="S6" s="373"/>
      <c r="T6" s="808"/>
      <c r="U6" s="809"/>
      <c r="V6" s="1314"/>
      <c r="W6" s="1315"/>
      <c r="X6" s="1315"/>
      <c r="Y6" s="1315"/>
      <c r="Z6" s="1315"/>
      <c r="AA6" s="1315"/>
      <c r="AB6" s="1315"/>
      <c r="AC6" s="1316"/>
      <c r="AD6" s="1314"/>
      <c r="AE6" s="1315"/>
      <c r="AF6" s="1315"/>
      <c r="AG6" s="1315"/>
      <c r="AH6" s="1315"/>
      <c r="AI6" s="1315"/>
      <c r="AJ6" s="1315"/>
      <c r="AK6" s="1315"/>
      <c r="AL6" s="1316"/>
      <c r="AM6" s="810"/>
      <c r="AO6" s="66"/>
      <c r="AP6" s="66" t="str">
        <f t="shared" si="0"/>
        <v/>
      </c>
      <c r="AQ6" s="66"/>
      <c r="AR6" s="66"/>
    </row>
    <row r="7" spans="1:44" ht="21" hidden="1" customHeight="1">
      <c r="A7" s="798"/>
      <c r="B7" s="798"/>
      <c r="C7" s="798"/>
      <c r="D7" s="798"/>
      <c r="E7" s="1286"/>
      <c r="F7" s="1286"/>
      <c r="G7" s="1286"/>
      <c r="H7" s="1286"/>
      <c r="I7" s="1288"/>
      <c r="J7" s="1287" t="e">
        <f>I6&amp;".1"</f>
        <v>#N/A</v>
      </c>
      <c r="K7" s="798"/>
      <c r="L7" s="799" t="s">
        <v>467</v>
      </c>
      <c r="M7" s="60"/>
      <c r="N7" s="60"/>
      <c r="P7" s="1204"/>
      <c r="Q7" s="1204">
        <v>1</v>
      </c>
      <c r="R7" s="215"/>
      <c r="S7" s="730" t="e">
        <f>$J7</f>
        <v>#N/A</v>
      </c>
      <c r="T7" s="164" t="s">
        <v>468</v>
      </c>
      <c r="U7" s="170"/>
      <c r="V7" s="1273"/>
      <c r="W7" s="1274"/>
      <c r="X7" s="1274"/>
      <c r="Y7" s="1274"/>
      <c r="Z7" s="1274"/>
      <c r="AA7" s="1274"/>
      <c r="AB7" s="1274"/>
      <c r="AC7" s="1275"/>
      <c r="AD7" s="1273"/>
      <c r="AE7" s="1274"/>
      <c r="AF7" s="1274"/>
      <c r="AG7" s="1274"/>
      <c r="AH7" s="1274"/>
      <c r="AI7" s="1274"/>
      <c r="AJ7" s="1274"/>
      <c r="AK7" s="1274"/>
      <c r="AL7" s="1275"/>
      <c r="AM7" s="758" t="s">
        <v>469</v>
      </c>
      <c r="AO7" s="66"/>
      <c r="AP7" s="66" t="str">
        <f t="shared" si="0"/>
        <v>Группа потребителей</v>
      </c>
      <c r="AQ7" s="66"/>
      <c r="AR7" s="66"/>
    </row>
    <row r="8" spans="1:44" ht="21" hidden="1" customHeight="1">
      <c r="A8" s="798"/>
      <c r="B8" s="798"/>
      <c r="C8" s="798"/>
      <c r="D8" s="798"/>
      <c r="E8" s="1286"/>
      <c r="F8" s="1286"/>
      <c r="G8" s="1286"/>
      <c r="H8" s="1286"/>
      <c r="I8" s="1288"/>
      <c r="J8" s="1288"/>
      <c r="K8" s="1287" t="e">
        <f>J7&amp;".1"</f>
        <v>#N/A</v>
      </c>
      <c r="L8" s="799" t="s">
        <v>470</v>
      </c>
      <c r="M8" s="60"/>
      <c r="N8" s="60"/>
      <c r="O8" s="60"/>
      <c r="P8" s="1204"/>
      <c r="Q8" s="1204"/>
      <c r="R8" s="215">
        <v>1</v>
      </c>
      <c r="S8" s="730" t="e">
        <f>$K8</f>
        <v>#N/A</v>
      </c>
      <c r="T8" s="794"/>
      <c r="U8" s="170"/>
      <c r="V8" s="317"/>
      <c r="W8" s="196"/>
      <c r="X8" s="317"/>
      <c r="Y8" s="757"/>
      <c r="Z8" s="1289"/>
      <c r="AA8" s="1093" t="s">
        <v>59</v>
      </c>
      <c r="AB8" s="1289"/>
      <c r="AC8" s="1093" t="s">
        <v>59</v>
      </c>
      <c r="AD8" s="317"/>
      <c r="AE8" s="196"/>
      <c r="AF8" s="317"/>
      <c r="AG8" s="757"/>
      <c r="AH8" s="1289"/>
      <c r="AI8" s="1093" t="s">
        <v>59</v>
      </c>
      <c r="AJ8" s="1289"/>
      <c r="AK8" s="1093" t="s">
        <v>59</v>
      </c>
      <c r="AL8" s="196"/>
      <c r="AM8" s="1307" t="s">
        <v>471</v>
      </c>
      <c r="AN8" s="65" t="e">
        <f ca="1">STRCHECKDATE(V9:AL9)</f>
        <v>#NAME?</v>
      </c>
      <c r="AO8" s="66"/>
      <c r="AP8" s="66" t="str">
        <f t="shared" si="0"/>
        <v/>
      </c>
      <c r="AQ8" s="66"/>
      <c r="AR8" s="66"/>
    </row>
    <row r="9" spans="1:44" ht="14.25" hidden="1" customHeight="1">
      <c r="A9" s="798"/>
      <c r="B9" s="798"/>
      <c r="C9" s="798"/>
      <c r="D9" s="798"/>
      <c r="E9" s="1286"/>
      <c r="F9" s="1286"/>
      <c r="G9" s="1286"/>
      <c r="H9" s="1286"/>
      <c r="I9" s="1288"/>
      <c r="J9" s="1288"/>
      <c r="K9" s="1287"/>
      <c r="L9" s="799"/>
      <c r="M9" s="60"/>
      <c r="N9" s="60"/>
      <c r="O9" s="60"/>
      <c r="P9" s="1204"/>
      <c r="Q9" s="1204"/>
      <c r="R9" s="215"/>
      <c r="S9" s="62"/>
      <c r="T9" s="170"/>
      <c r="U9" s="170"/>
      <c r="V9" s="196"/>
      <c r="W9" s="196"/>
      <c r="X9" s="196"/>
      <c r="Y9" s="198" t="str">
        <f>Z8&amp;"-"&amp;AB8</f>
        <v>-</v>
      </c>
      <c r="Z9" s="1290"/>
      <c r="AA9" s="1093"/>
      <c r="AB9" s="1290"/>
      <c r="AC9" s="1093"/>
      <c r="AD9" s="196"/>
      <c r="AE9" s="196"/>
      <c r="AF9" s="196"/>
      <c r="AG9" s="198" t="str">
        <f>AH8&amp;"-"&amp;AJ8</f>
        <v>-</v>
      </c>
      <c r="AH9" s="1290"/>
      <c r="AI9" s="1093"/>
      <c r="AJ9" s="1290"/>
      <c r="AK9" s="1093"/>
      <c r="AL9" s="196"/>
      <c r="AM9" s="1308"/>
      <c r="AO9" s="66"/>
      <c r="AP9" s="66" t="str">
        <f t="shared" si="0"/>
        <v/>
      </c>
      <c r="AQ9" s="66"/>
      <c r="AR9" s="66"/>
    </row>
    <row r="10" spans="1:44" ht="15" hidden="1" customHeight="1">
      <c r="A10" s="798"/>
      <c r="B10" s="798"/>
      <c r="C10" s="798"/>
      <c r="D10" s="798"/>
      <c r="E10" s="1286"/>
      <c r="F10" s="1286"/>
      <c r="G10" s="1286"/>
      <c r="H10" s="1286"/>
      <c r="I10" s="1288"/>
      <c r="J10" s="1287"/>
      <c r="K10" s="798"/>
      <c r="L10" s="799"/>
      <c r="M10" s="60"/>
      <c r="N10" s="60"/>
      <c r="P10" s="1204"/>
      <c r="Q10" s="1204"/>
      <c r="R10" s="214"/>
      <c r="S10" s="772"/>
      <c r="T10" s="165" t="s">
        <v>472</v>
      </c>
      <c r="U10" s="221"/>
      <c r="V10" s="221"/>
      <c r="W10" s="221"/>
      <c r="X10" s="221"/>
      <c r="Y10" s="221"/>
      <c r="Z10" s="221"/>
      <c r="AA10" s="221"/>
      <c r="AB10" s="221"/>
      <c r="AC10" s="221"/>
      <c r="AD10" s="221"/>
      <c r="AE10" s="221"/>
      <c r="AF10" s="221"/>
      <c r="AG10" s="221"/>
      <c r="AH10" s="221"/>
      <c r="AI10" s="221"/>
      <c r="AJ10" s="221"/>
      <c r="AK10" s="221"/>
      <c r="AL10" s="195"/>
      <c r="AM10" s="1309"/>
      <c r="AO10" s="66"/>
      <c r="AP10" s="66" t="str">
        <f t="shared" si="0"/>
        <v>Добавить вид теплоносителя (параметры теплоносителя)</v>
      </c>
      <c r="AQ10" s="66"/>
      <c r="AR10" s="66"/>
    </row>
    <row r="11" spans="1:44" ht="11.25" hidden="1" customHeight="1">
      <c r="A11" s="798"/>
      <c r="B11" s="798"/>
      <c r="C11" s="798"/>
      <c r="D11" s="798"/>
      <c r="E11" s="1286"/>
      <c r="F11" s="1286"/>
      <c r="G11" s="1286"/>
      <c r="H11" s="1286"/>
      <c r="I11" s="1287"/>
      <c r="J11" s="798"/>
      <c r="K11" s="798"/>
      <c r="L11" s="799"/>
      <c r="M11" s="60"/>
      <c r="P11" s="1204"/>
      <c r="Q11" s="119"/>
      <c r="R11" s="214"/>
      <c r="S11" s="772"/>
      <c r="T11" s="219" t="s">
        <v>473</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8"/>
      <c r="B12" s="798"/>
      <c r="C12" s="798"/>
      <c r="D12" s="798"/>
      <c r="E12" s="1286"/>
      <c r="F12" s="1286"/>
      <c r="G12" s="1286"/>
      <c r="H12" s="1285"/>
      <c r="I12" s="798"/>
      <c r="J12" s="798"/>
      <c r="K12" s="798"/>
      <c r="L12" s="799"/>
      <c r="M12" s="435"/>
      <c r="N12" s="435"/>
      <c r="O12" s="60"/>
      <c r="P12" s="2"/>
      <c r="Q12" s="224"/>
      <c r="R12" s="213"/>
      <c r="S12" s="811"/>
      <c r="T12" s="812"/>
      <c r="U12" s="813"/>
      <c r="V12" s="813"/>
      <c r="W12" s="813"/>
      <c r="X12" s="813"/>
      <c r="Y12" s="813"/>
      <c r="Z12" s="813"/>
      <c r="AA12" s="813"/>
      <c r="AB12" s="813"/>
      <c r="AC12" s="813"/>
      <c r="AD12" s="813"/>
      <c r="AE12" s="813"/>
      <c r="AF12" s="813"/>
      <c r="AG12" s="813"/>
      <c r="AH12" s="813"/>
      <c r="AI12" s="813"/>
      <c r="AJ12" s="813"/>
      <c r="AK12" s="813"/>
      <c r="AL12" s="813"/>
      <c r="AM12" s="814"/>
      <c r="AO12" s="66"/>
      <c r="AP12" s="66" t="str">
        <f t="shared" si="0"/>
        <v/>
      </c>
      <c r="AQ12" s="66"/>
      <c r="AR12" s="66"/>
    </row>
    <row r="13" spans="1:44" s="65" customFormat="1" ht="14.25" hidden="1" customHeight="1">
      <c r="A13" s="142"/>
      <c r="B13" s="142"/>
      <c r="C13" s="142"/>
      <c r="D13" s="142"/>
      <c r="E13" s="1286"/>
      <c r="F13" s="1286"/>
      <c r="G13" s="1285"/>
      <c r="H13" s="142"/>
      <c r="I13" s="142"/>
      <c r="J13" s="142"/>
      <c r="K13" s="142"/>
      <c r="L13" s="357"/>
      <c r="M13" s="304"/>
      <c r="N13" s="304"/>
      <c r="P13" s="101"/>
      <c r="Q13" s="785"/>
      <c r="R13" s="101"/>
      <c r="S13" s="786"/>
      <c r="T13" s="787" t="s">
        <v>431</v>
      </c>
      <c r="U13" s="788"/>
      <c r="V13" s="788"/>
      <c r="W13" s="788"/>
      <c r="X13" s="788"/>
      <c r="Y13" s="788"/>
      <c r="Z13" s="788"/>
      <c r="AA13" s="788"/>
      <c r="AB13" s="788"/>
      <c r="AC13" s="788"/>
      <c r="AD13" s="788"/>
      <c r="AE13" s="788"/>
      <c r="AF13" s="788"/>
      <c r="AG13" s="788"/>
      <c r="AH13" s="788"/>
      <c r="AI13" s="788"/>
      <c r="AJ13" s="788"/>
      <c r="AK13" s="788"/>
      <c r="AL13" s="788"/>
      <c r="AM13" s="788"/>
      <c r="AO13" s="66"/>
      <c r="AP13" s="66" t="str">
        <f t="shared" si="0"/>
        <v>Добавить источник для дифференциации</v>
      </c>
      <c r="AQ13" s="66"/>
      <c r="AR13" s="66"/>
    </row>
    <row r="14" spans="1:44" s="65" customFormat="1" ht="14.25" hidden="1" customHeight="1">
      <c r="A14" s="142"/>
      <c r="B14" s="142"/>
      <c r="C14" s="142"/>
      <c r="D14" s="142"/>
      <c r="E14" s="1286"/>
      <c r="F14" s="1285"/>
      <c r="G14" s="142"/>
      <c r="H14" s="142"/>
      <c r="I14" s="142"/>
      <c r="J14" s="142"/>
      <c r="K14" s="142"/>
      <c r="L14" s="357"/>
      <c r="M14" s="789"/>
      <c r="N14" s="789"/>
      <c r="P14" s="101"/>
      <c r="Q14" s="785"/>
      <c r="R14" s="101"/>
      <c r="S14" s="790"/>
      <c r="T14" s="791" t="s">
        <v>432</v>
      </c>
      <c r="U14" s="324"/>
      <c r="V14" s="324"/>
      <c r="W14" s="324"/>
      <c r="X14" s="324"/>
      <c r="Y14" s="324"/>
      <c r="Z14" s="324"/>
      <c r="AA14" s="324"/>
      <c r="AB14" s="324"/>
      <c r="AC14" s="324"/>
      <c r="AD14" s="324"/>
      <c r="AE14" s="324"/>
      <c r="AF14" s="324"/>
      <c r="AG14" s="324"/>
      <c r="AH14" s="324"/>
      <c r="AI14" s="324"/>
      <c r="AJ14" s="324"/>
      <c r="AK14" s="324"/>
      <c r="AL14" s="324"/>
      <c r="AM14" s="324"/>
      <c r="AO14" s="66"/>
      <c r="AP14" s="66" t="str">
        <f t="shared" si="0"/>
        <v>Добавить централизованную систему для дифференциации</v>
      </c>
      <c r="AQ14" s="66"/>
      <c r="AR14" s="66"/>
    </row>
    <row r="15" spans="1:44" s="65" customFormat="1" ht="14.25" hidden="1" customHeight="1">
      <c r="A15" s="142"/>
      <c r="B15" s="142"/>
      <c r="C15" s="142"/>
      <c r="D15" s="142"/>
      <c r="E15" s="1285"/>
      <c r="F15" s="142"/>
      <c r="G15" s="142"/>
      <c r="H15" s="142"/>
      <c r="I15" s="142"/>
      <c r="J15" s="142"/>
      <c r="K15" s="142"/>
      <c r="L15" s="357"/>
      <c r="M15" s="789"/>
      <c r="N15" s="789"/>
      <c r="P15" s="101"/>
      <c r="Q15" s="785"/>
      <c r="R15" s="101"/>
      <c r="S15" s="790"/>
      <c r="T15" s="792" t="s">
        <v>433</v>
      </c>
      <c r="U15" s="324"/>
      <c r="V15" s="324"/>
      <c r="W15" s="324"/>
      <c r="X15" s="324"/>
      <c r="Y15" s="324"/>
      <c r="Z15" s="324"/>
      <c r="AA15" s="324"/>
      <c r="AB15" s="324"/>
      <c r="AC15" s="324"/>
      <c r="AD15" s="324"/>
      <c r="AE15" s="324"/>
      <c r="AF15" s="324"/>
      <c r="AG15" s="324"/>
      <c r="AH15" s="324"/>
      <c r="AI15" s="324"/>
      <c r="AJ15" s="324"/>
      <c r="AK15" s="324"/>
      <c r="AL15" s="324"/>
      <c r="AM15" s="324"/>
      <c r="AO15" s="66"/>
      <c r="AP15" s="66" t="str">
        <f t="shared" si="0"/>
        <v>Добавить территорию для дифференциации</v>
      </c>
      <c r="AQ15" s="66"/>
      <c r="AR15" s="66"/>
    </row>
    <row r="16" spans="1:44" ht="14.25" hidden="1" customHeight="1"/>
    <row r="17" spans="1:44" ht="14.25" hidden="1" customHeight="1">
      <c r="AD17" s="378"/>
      <c r="AE17" s="378"/>
      <c r="AF17" s="378"/>
      <c r="AG17" s="797"/>
      <c r="AH17" s="1283"/>
      <c r="AI17" s="1282" t="s">
        <v>59</v>
      </c>
      <c r="AJ17" s="1283"/>
      <c r="AK17" s="1282" t="s">
        <v>59</v>
      </c>
    </row>
    <row r="18" spans="1:44" ht="14.25" hidden="1" customHeight="1">
      <c r="AD18" s="378"/>
      <c r="AE18" s="378"/>
      <c r="AF18" s="378"/>
      <c r="AG18" s="198" t="str">
        <f>AH17&amp;"-"&amp;AJ17</f>
        <v>-</v>
      </c>
      <c r="AH18" s="1282"/>
      <c r="AI18" s="1282"/>
      <c r="AJ18" s="1282"/>
      <c r="AK18" s="1282"/>
    </row>
    <row r="19" spans="1:44" ht="14.25" hidden="1" customHeight="1"/>
    <row r="20" spans="1:44" s="60" customFormat="1" ht="22.5" hidden="1" customHeight="1">
      <c r="L20" s="312"/>
      <c r="M20" s="522"/>
      <c r="N20" s="522"/>
      <c r="O20" s="800" t="s">
        <v>475</v>
      </c>
      <c r="P20" s="522"/>
      <c r="Q20" s="801"/>
      <c r="R20" s="801"/>
      <c r="S20" s="435"/>
      <c r="Z20" s="800"/>
      <c r="AB20" s="800"/>
      <c r="AH20" s="800"/>
      <c r="AJ20" s="800"/>
      <c r="AN20" s="65"/>
      <c r="AO20" s="65"/>
      <c r="AP20" s="65"/>
      <c r="AQ20" s="65"/>
      <c r="AR20" s="65"/>
    </row>
    <row r="21" spans="1:44" s="60" customFormat="1" ht="14.25" hidden="1" customHeight="1">
      <c r="L21" s="312"/>
      <c r="M21" s="522"/>
      <c r="N21" s="522"/>
      <c r="O21" s="522"/>
      <c r="P21" s="522"/>
      <c r="Q21" s="801"/>
      <c r="R21" s="801"/>
      <c r="S21" s="435"/>
      <c r="AN21" s="65"/>
      <c r="AO21" s="65"/>
      <c r="AP21" s="65"/>
      <c r="AQ21" s="65"/>
      <c r="AR21" s="65"/>
    </row>
    <row r="22" spans="1:44" s="60" customFormat="1" ht="14.25" hidden="1" customHeight="1">
      <c r="L22" s="312"/>
      <c r="M22" s="522"/>
      <c r="N22" s="522"/>
      <c r="O22" s="799" t="s">
        <v>476</v>
      </c>
      <c r="P22" s="522"/>
      <c r="Q22" s="801"/>
      <c r="R22" s="801"/>
      <c r="S22" s="435"/>
      <c r="T22" s="60" t="s">
        <v>477</v>
      </c>
      <c r="AA22" s="79" t="s">
        <v>478</v>
      </c>
      <c r="AC22" s="79" t="s">
        <v>479</v>
      </c>
      <c r="AD22" s="60" t="s">
        <v>477</v>
      </c>
      <c r="AI22" s="79" t="s">
        <v>480</v>
      </c>
      <c r="AK22" s="79" t="s">
        <v>479</v>
      </c>
      <c r="AN22" s="65"/>
      <c r="AO22" s="65"/>
      <c r="AP22" s="65"/>
      <c r="AQ22" s="65"/>
      <c r="AR22" s="65"/>
    </row>
    <row r="23" spans="1:44" ht="14.25" hidden="1" customHeight="1">
      <c r="O23" s="799"/>
    </row>
    <row r="24" spans="1:44" ht="14.25" hidden="1" customHeight="1">
      <c r="O24" s="799"/>
    </row>
    <row r="25" spans="1:44" ht="14.25" customHeight="1">
      <c r="Q25" s="27"/>
      <c r="R25" s="27"/>
      <c r="S25" s="769"/>
      <c r="T25" s="8"/>
      <c r="U25" s="8"/>
    </row>
    <row r="26" spans="1:44" ht="64.5" customHeight="1">
      <c r="Q26" s="27"/>
      <c r="R26" s="27"/>
      <c r="S26" s="131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310"/>
      <c r="U26" s="1310"/>
      <c r="V26" s="1310"/>
      <c r="W26" s="1310"/>
      <c r="X26" s="1310"/>
      <c r="Y26" s="1310"/>
      <c r="Z26" s="1310"/>
      <c r="AA26" s="1310"/>
      <c r="AB26" s="1310"/>
      <c r="AC26" s="1310"/>
      <c r="AD26" s="1310"/>
      <c r="AE26" s="1310"/>
      <c r="AF26" s="1310"/>
      <c r="AG26" s="1310"/>
      <c r="AH26" s="1310"/>
      <c r="AI26" s="1310"/>
      <c r="AJ26" s="1310"/>
      <c r="AK26" s="57"/>
    </row>
    <row r="27" spans="1:44" ht="14.25" customHeight="1">
      <c r="Q27" s="27"/>
      <c r="R27" s="27"/>
      <c r="S27" s="1170" t="str">
        <f>IF(org=0,"Не определено",org)</f>
        <v>ИМУП «ПОСЖИЛКОМСЕРВИС»</v>
      </c>
      <c r="T27" s="1170"/>
      <c r="U27" s="1170"/>
      <c r="V27" s="1170"/>
      <c r="W27" s="1170"/>
      <c r="X27" s="1170"/>
      <c r="Y27" s="1170"/>
      <c r="Z27" s="1170"/>
      <c r="AA27" s="1170"/>
      <c r="AB27" s="1170"/>
      <c r="AC27" s="1170"/>
      <c r="AD27" s="1170"/>
      <c r="AE27" s="1170"/>
      <c r="AF27" s="1170"/>
      <c r="AG27" s="1170"/>
      <c r="AH27" s="1170"/>
      <c r="AI27" s="1170"/>
      <c r="AJ27" s="1170"/>
      <c r="AK27" s="57"/>
    </row>
    <row r="28" spans="1:44" ht="14.25" hidden="1" customHeight="1">
      <c r="Q28" s="27"/>
      <c r="R28" s="27"/>
      <c r="S28" s="769"/>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9"/>
      <c r="M29" s="79"/>
      <c r="N29" s="79"/>
      <c r="O29" s="79"/>
      <c r="S29" s="1276" t="s">
        <v>40</v>
      </c>
      <c r="T29" s="1276"/>
      <c r="U29" s="802"/>
      <c r="V29" s="1278" t="str">
        <f>IF(TITLE_NAME_OR_PR_CHANGE="",IF(TITLE_NAME_OR_PR="","",TITLE_NAME_OR_PR),TITLE_NAME_OR_PR_CHANGE)</f>
        <v/>
      </c>
      <c r="W29" s="1278"/>
      <c r="X29" s="1278"/>
      <c r="Y29" s="1278"/>
      <c r="Z29" s="1278"/>
      <c r="AA29" s="1278"/>
      <c r="AB29" s="1278"/>
      <c r="AC29" s="9"/>
      <c r="AD29" s="1278" t="str">
        <f>IF(TITLE_NAME_OR_PR_CHANGE="",IF(TITLE_NAME_OR_PR="","",TITLE_NAME_OR_PR),TITLE_NAME_OR_PR_CHANGE)</f>
        <v/>
      </c>
      <c r="AE29" s="1278"/>
      <c r="AF29" s="1278"/>
      <c r="AG29" s="1278"/>
      <c r="AH29" s="1278"/>
      <c r="AI29" s="1278"/>
      <c r="AJ29" s="1278"/>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9"/>
      <c r="M30" s="79"/>
      <c r="N30" s="79"/>
      <c r="O30" s="79"/>
      <c r="S30" s="1276" t="s">
        <v>481</v>
      </c>
      <c r="T30" s="1276"/>
      <c r="U30" s="802"/>
      <c r="V30" s="1277" t="str">
        <f>IF(TITLE_DATE_CHANGE_PERIOD="",IF(TITLE_DATE_PR="","",TITLE_DATE_PR),TITLE_DATE_CHANGE_PERIOD)</f>
        <v/>
      </c>
      <c r="W30" s="1277"/>
      <c r="X30" s="1277"/>
      <c r="Y30" s="1277"/>
      <c r="Z30" s="1277"/>
      <c r="AA30" s="1277"/>
      <c r="AB30" s="1277"/>
      <c r="AC30" s="9"/>
      <c r="AD30" s="1277" t="str">
        <f>IF(TITLE_DATE_CHANGE_PERIOD="",IF(TITLE_DATE_PR="","",TITLE_DATE_PR),TITLE_DATE_CHANGE_PERIOD)</f>
        <v/>
      </c>
      <c r="AE30" s="1277"/>
      <c r="AF30" s="1277"/>
      <c r="AG30" s="1277"/>
      <c r="AH30" s="1277"/>
      <c r="AI30" s="1277"/>
      <c r="AJ30" s="1277"/>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9"/>
      <c r="M31" s="79"/>
      <c r="N31" s="79"/>
      <c r="O31" s="79"/>
      <c r="S31" s="1276" t="s">
        <v>482</v>
      </c>
      <c r="T31" s="1276"/>
      <c r="U31" s="802"/>
      <c r="V31" s="1278" t="str">
        <f>IF(TITLE_NUMBER_PR_CHANGE="",IF(TITLE_NUMBER_PR="","",TITLE_NUMBER_PR),TITLE_NUMBER_PR_CHANGE)</f>
        <v/>
      </c>
      <c r="W31" s="1278"/>
      <c r="X31" s="1278"/>
      <c r="Y31" s="1278"/>
      <c r="Z31" s="1278"/>
      <c r="AA31" s="1278"/>
      <c r="AB31" s="1278"/>
      <c r="AC31" s="9"/>
      <c r="AD31" s="1278" t="str">
        <f>IF(TITLE_NUMBER_PR_CHANGE="",IF(TITLE_NUMBER_PR="","",TITLE_NUMBER_PR),TITLE_NUMBER_PR_CHANGE)</f>
        <v/>
      </c>
      <c r="AE31" s="1278"/>
      <c r="AF31" s="1278"/>
      <c r="AG31" s="1278"/>
      <c r="AH31" s="1278"/>
      <c r="AI31" s="1278"/>
      <c r="AJ31" s="1278"/>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9"/>
      <c r="M32" s="79"/>
      <c r="N32" s="79"/>
      <c r="O32" s="79"/>
      <c r="S32" s="1276" t="s">
        <v>41</v>
      </c>
      <c r="T32" s="1276"/>
      <c r="U32" s="802"/>
      <c r="V32" s="1278" t="str">
        <f>IF(TITLE_IST_PUB_CHANGE="",IF(TITLE_IST_PUB="","",TITLE_IST_PUB),TITLE_IST_PUB_CHANGE)</f>
        <v/>
      </c>
      <c r="W32" s="1278"/>
      <c r="X32" s="1278"/>
      <c r="Y32" s="1278"/>
      <c r="Z32" s="1278"/>
      <c r="AA32" s="1278"/>
      <c r="AB32" s="1278"/>
      <c r="AC32" s="9"/>
      <c r="AD32" s="1278" t="str">
        <f>IF(TITLE_IST_PUB_CHANGE="",IF(TITLE_IST_PUB="","",TITLE_IST_PUB),TITLE_IST_PUB_CHANGE)</f>
        <v/>
      </c>
      <c r="AE32" s="1278"/>
      <c r="AF32" s="1278"/>
      <c r="AG32" s="1278"/>
      <c r="AH32" s="1278"/>
      <c r="AI32" s="1278"/>
      <c r="AJ32" s="1278"/>
      <c r="AK32" s="9"/>
      <c r="AL32" s="9"/>
      <c r="AM32" s="162"/>
      <c r="AN32" s="66"/>
      <c r="AO32" s="66"/>
      <c r="AP32" s="66"/>
      <c r="AQ32" s="66"/>
      <c r="AR32" s="66"/>
    </row>
    <row r="33" spans="1:44" ht="14.25" hidden="1" customHeight="1">
      <c r="Q33" s="27"/>
      <c r="R33" s="27"/>
      <c r="S33" s="769"/>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9"/>
      <c r="M34" s="79"/>
      <c r="N34" s="79"/>
      <c r="O34" s="79"/>
      <c r="S34" s="1276" t="s">
        <v>483</v>
      </c>
      <c r="T34" s="1276"/>
      <c r="U34" s="802"/>
      <c r="V34" s="1277" t="str">
        <f>IF(TITLE_DATE_CHANGE_PERIOD="",IF(TITLE_DATE_PR="","",TITLE_DATE_PR),TITLE_DATE_CHANGE_PERIOD)</f>
        <v/>
      </c>
      <c r="W34" s="1277"/>
      <c r="X34" s="1277"/>
      <c r="Y34" s="1277"/>
      <c r="Z34" s="1277"/>
      <c r="AA34" s="1277"/>
      <c r="AB34" s="1277"/>
      <c r="AC34" s="9"/>
      <c r="AD34" s="1277" t="str">
        <f>IF(TITLE_DATE_CHANGE_PERIOD="",IF(TITLE_DATE_PR="","",TITLE_DATE_PR),TITLE_DATE_CHANGE_PERIOD)</f>
        <v/>
      </c>
      <c r="AE34" s="1277"/>
      <c r="AF34" s="1277"/>
      <c r="AG34" s="1277"/>
      <c r="AH34" s="1277"/>
      <c r="AI34" s="1277"/>
      <c r="AJ34" s="1277"/>
      <c r="AK34" s="9"/>
      <c r="AL34" s="9"/>
      <c r="AM34" s="162"/>
      <c r="AN34" s="66"/>
      <c r="AO34" s="66"/>
      <c r="AP34" s="66"/>
      <c r="AQ34" s="66"/>
      <c r="AR34" s="66"/>
    </row>
    <row r="35" spans="1:44" s="33" customFormat="1" ht="25.5" hidden="1" customHeight="1">
      <c r="A35" s="79"/>
      <c r="B35" s="79"/>
      <c r="C35" s="79"/>
      <c r="D35" s="79"/>
      <c r="E35" s="79"/>
      <c r="F35" s="79"/>
      <c r="G35" s="79"/>
      <c r="H35" s="79"/>
      <c r="I35" s="79"/>
      <c r="J35" s="79"/>
      <c r="K35" s="79"/>
      <c r="L35" s="799"/>
      <c r="M35" s="79"/>
      <c r="N35" s="79"/>
      <c r="O35" s="79"/>
      <c r="S35" s="1276" t="s">
        <v>484</v>
      </c>
      <c r="T35" s="1276"/>
      <c r="U35" s="802"/>
      <c r="V35" s="1278" t="str">
        <f>IF(TITLE_NUMBER_PR_CHANGE="",IF(TITLE_NUMBER_PR="","",TITLE_NUMBER_PR),TITLE_NUMBER_PR_CHANGE)</f>
        <v/>
      </c>
      <c r="W35" s="1278"/>
      <c r="X35" s="1278"/>
      <c r="Y35" s="1278"/>
      <c r="Z35" s="1278"/>
      <c r="AA35" s="1278"/>
      <c r="AB35" s="1278"/>
      <c r="AC35" s="9"/>
      <c r="AD35" s="1278" t="str">
        <f>IF(TITLE_NUMBER_PR_CHANGE="",IF(TITLE_NUMBER_PR="","",TITLE_NUMBER_PR),TITLE_NUMBER_PR_CHANGE)</f>
        <v/>
      </c>
      <c r="AE35" s="1278"/>
      <c r="AF35" s="1278"/>
      <c r="AG35" s="1278"/>
      <c r="AH35" s="1278"/>
      <c r="AI35" s="1278"/>
      <c r="AJ35" s="1278"/>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9"/>
      <c r="M36" s="79"/>
      <c r="N36" s="79"/>
      <c r="O36" s="79"/>
      <c r="S36" s="9"/>
      <c r="T36" s="9"/>
      <c r="U36" s="75"/>
      <c r="V36" s="9"/>
      <c r="W36" s="9"/>
      <c r="X36" s="9"/>
      <c r="Y36" s="9"/>
      <c r="Z36" s="9"/>
      <c r="AA36" s="9"/>
      <c r="AB36" s="9"/>
      <c r="AC36" s="65" t="s">
        <v>485</v>
      </c>
      <c r="AD36" s="9"/>
      <c r="AE36" s="9"/>
      <c r="AF36" s="9"/>
      <c r="AG36" s="9"/>
      <c r="AH36" s="9"/>
      <c r="AI36" s="9"/>
      <c r="AJ36" s="9"/>
      <c r="AK36" s="65" t="s">
        <v>485</v>
      </c>
      <c r="AN36" s="66"/>
      <c r="AO36" s="66"/>
      <c r="AP36" s="66"/>
      <c r="AQ36" s="66"/>
      <c r="AR36" s="66"/>
    </row>
    <row r="37" spans="1:44" ht="14.25" customHeight="1">
      <c r="Q37" s="27"/>
      <c r="R37" s="27"/>
      <c r="S37" s="769"/>
      <c r="T37" s="8"/>
      <c r="U37" s="741"/>
      <c r="V37" s="1296"/>
      <c r="W37" s="1296"/>
      <c r="X37" s="1296"/>
      <c r="Y37" s="1296"/>
      <c r="Z37" s="1296"/>
      <c r="AA37" s="1296"/>
      <c r="AB37" s="1296"/>
      <c r="AC37" s="1296"/>
      <c r="AD37" s="1296"/>
      <c r="AE37" s="1296"/>
      <c r="AF37" s="1296"/>
      <c r="AG37" s="1296"/>
      <c r="AH37" s="1296"/>
      <c r="AI37" s="1296"/>
      <c r="AJ37" s="1296"/>
      <c r="AK37" s="1296"/>
    </row>
    <row r="38" spans="1:44" ht="14.25" customHeight="1">
      <c r="Q38" s="27"/>
      <c r="R38" s="27"/>
      <c r="S38" s="1083" t="s">
        <v>288</v>
      </c>
      <c r="T38" s="1083"/>
      <c r="U38" s="1083"/>
      <c r="V38" s="1083"/>
      <c r="W38" s="1083"/>
      <c r="X38" s="1083"/>
      <c r="Y38" s="1083"/>
      <c r="Z38" s="1083"/>
      <c r="AA38" s="1083"/>
      <c r="AB38" s="1083"/>
      <c r="AC38" s="1083"/>
      <c r="AD38" s="1083"/>
      <c r="AE38" s="1083"/>
      <c r="AF38" s="1083"/>
      <c r="AG38" s="1083"/>
      <c r="AH38" s="1083"/>
      <c r="AI38" s="1083"/>
      <c r="AJ38" s="1083"/>
      <c r="AK38" s="1083"/>
      <c r="AL38" s="1083"/>
      <c r="AM38" s="1083" t="s">
        <v>289</v>
      </c>
    </row>
    <row r="39" spans="1:44" ht="14.25" customHeight="1">
      <c r="Q39" s="27"/>
      <c r="R39" s="27"/>
      <c r="S39" s="1297" t="s">
        <v>88</v>
      </c>
      <c r="T39" s="1168" t="s">
        <v>486</v>
      </c>
      <c r="U39" s="171"/>
      <c r="V39" s="1298" t="s">
        <v>487</v>
      </c>
      <c r="W39" s="1299"/>
      <c r="X39" s="1299"/>
      <c r="Y39" s="1299"/>
      <c r="Z39" s="1299"/>
      <c r="AA39" s="1299"/>
      <c r="AB39" s="1300"/>
      <c r="AC39" s="1301" t="s">
        <v>488</v>
      </c>
      <c r="AD39" s="1298" t="s">
        <v>487</v>
      </c>
      <c r="AE39" s="1299"/>
      <c r="AF39" s="1299"/>
      <c r="AG39" s="1299"/>
      <c r="AH39" s="1299"/>
      <c r="AI39" s="1299"/>
      <c r="AJ39" s="1300"/>
      <c r="AK39" s="1301" t="s">
        <v>489</v>
      </c>
      <c r="AL39" s="1304" t="s">
        <v>490</v>
      </c>
      <c r="AM39" s="1083"/>
    </row>
    <row r="40" spans="1:44" ht="33.75" customHeight="1">
      <c r="Q40" s="27"/>
      <c r="R40" s="27"/>
      <c r="S40" s="1297"/>
      <c r="T40" s="1168"/>
      <c r="U40" s="626"/>
      <c r="V40" s="1137" t="s">
        <v>491</v>
      </c>
      <c r="W40" s="1293"/>
      <c r="X40" s="1065" t="s">
        <v>493</v>
      </c>
      <c r="Y40" s="1064"/>
      <c r="Z40" s="1065" t="s">
        <v>494</v>
      </c>
      <c r="AA40" s="1070"/>
      <c r="AB40" s="1064"/>
      <c r="AC40" s="1302"/>
      <c r="AD40" s="1137" t="s">
        <v>491</v>
      </c>
      <c r="AE40" s="1293"/>
      <c r="AF40" s="1065" t="s">
        <v>493</v>
      </c>
      <c r="AG40" s="1064"/>
      <c r="AH40" s="1065" t="s">
        <v>494</v>
      </c>
      <c r="AI40" s="1070"/>
      <c r="AJ40" s="1064"/>
      <c r="AK40" s="1302"/>
      <c r="AL40" s="1305"/>
      <c r="AM40" s="1083"/>
    </row>
    <row r="41" spans="1:44" ht="33.75" customHeight="1">
      <c r="A41" s="79"/>
      <c r="B41" s="79" t="s">
        <v>137</v>
      </c>
      <c r="C41" s="79" t="s">
        <v>138</v>
      </c>
      <c r="D41" s="79" t="s">
        <v>139</v>
      </c>
      <c r="E41" s="799" t="s">
        <v>495</v>
      </c>
      <c r="F41" s="799" t="s">
        <v>496</v>
      </c>
      <c r="G41" s="799" t="s">
        <v>497</v>
      </c>
      <c r="H41" s="799" t="s">
        <v>498</v>
      </c>
      <c r="I41" s="799" t="s">
        <v>499</v>
      </c>
      <c r="J41" s="799" t="s">
        <v>500</v>
      </c>
      <c r="K41" s="799" t="s">
        <v>501</v>
      </c>
      <c r="L41" s="799" t="s">
        <v>476</v>
      </c>
      <c r="Q41" s="27"/>
      <c r="R41" s="27"/>
      <c r="S41" s="1297"/>
      <c r="T41" s="1168"/>
      <c r="U41" s="172"/>
      <c r="V41" s="1193"/>
      <c r="W41" s="1294"/>
      <c r="X41" s="37" t="s">
        <v>502</v>
      </c>
      <c r="Y41" s="37" t="s">
        <v>503</v>
      </c>
      <c r="Z41" s="37" t="s">
        <v>504</v>
      </c>
      <c r="AA41" s="1174" t="s">
        <v>505</v>
      </c>
      <c r="AB41" s="1188"/>
      <c r="AC41" s="1303"/>
      <c r="AD41" s="1193"/>
      <c r="AE41" s="1294"/>
      <c r="AF41" s="37" t="s">
        <v>502</v>
      </c>
      <c r="AG41" s="37" t="s">
        <v>503</v>
      </c>
      <c r="AH41" s="37" t="s">
        <v>504</v>
      </c>
      <c r="AI41" s="1174" t="s">
        <v>505</v>
      </c>
      <c r="AJ41" s="1188"/>
      <c r="AK41" s="1303"/>
      <c r="AL41" s="1306"/>
      <c r="AM41" s="1083"/>
    </row>
    <row r="42" spans="1:44" s="209" customFormat="1" ht="11.25" hidden="1" customHeight="1">
      <c r="A42" s="79"/>
      <c r="B42" s="79"/>
      <c r="C42" s="79"/>
      <c r="D42" s="79"/>
      <c r="E42" s="79"/>
      <c r="F42" s="79"/>
      <c r="G42" s="79"/>
      <c r="H42" s="79"/>
      <c r="I42" s="79"/>
      <c r="J42" s="79"/>
      <c r="K42" s="79"/>
      <c r="L42" s="799"/>
      <c r="M42" s="522"/>
      <c r="N42" s="522"/>
      <c r="O42" s="522"/>
      <c r="P42" s="743"/>
      <c r="Q42" s="744"/>
      <c r="R42" s="752">
        <v>1</v>
      </c>
      <c r="S42" s="771" t="s">
        <v>110</v>
      </c>
      <c r="T42" s="753" t="s">
        <v>111</v>
      </c>
      <c r="U42" s="742" t="str">
        <f ca="1">OFFSET(U42,0,-1)</f>
        <v>2</v>
      </c>
      <c r="V42" s="754">
        <f ca="1">OFFSET(V42,0,-1)+1</f>
        <v>3</v>
      </c>
      <c r="W42" s="754"/>
      <c r="X42" s="754">
        <f ca="1">OFFSET(X42,0,-1)+1</f>
        <v>1</v>
      </c>
      <c r="Y42" s="754">
        <f ca="1">OFFSET(Y42,0,-1)+1</f>
        <v>2</v>
      </c>
      <c r="Z42" s="754">
        <f ca="1">OFFSET(Z42,0,-1)+1</f>
        <v>3</v>
      </c>
      <c r="AA42" s="1295">
        <f ca="1">OFFSET(AA42,0,-1)+1</f>
        <v>4</v>
      </c>
      <c r="AB42" s="1295"/>
      <c r="AC42" s="754">
        <f ca="1">OFFSET(AC42,0,-2)+1</f>
        <v>5</v>
      </c>
      <c r="AD42" s="754">
        <f ca="1">OFFSET(AD42,0,-1)+1</f>
        <v>6</v>
      </c>
      <c r="AE42" s="754"/>
      <c r="AF42" s="754">
        <f ca="1">OFFSET(AF42,0,-1)+1</f>
        <v>1</v>
      </c>
      <c r="AG42" s="754">
        <f ca="1">OFFSET(AG42,0,-1)+1</f>
        <v>2</v>
      </c>
      <c r="AH42" s="754">
        <f ca="1">OFFSET(AH42,0,-1)+1</f>
        <v>3</v>
      </c>
      <c r="AI42" s="1295">
        <f ca="1">OFFSET(AI42,0,-1)+1</f>
        <v>4</v>
      </c>
      <c r="AJ42" s="1295"/>
      <c r="AK42" s="754">
        <f ca="1">OFFSET(AK42,0,-2)+1</f>
        <v>5</v>
      </c>
      <c r="AL42" s="742">
        <f ca="1">OFFSET(AL42,0,-1)</f>
        <v>5</v>
      </c>
      <c r="AM42" s="754">
        <f ca="1">OFFSET(AM42,0,-1)+1</f>
        <v>6</v>
      </c>
      <c r="AN42" s="65"/>
      <c r="AO42" s="65"/>
      <c r="AP42" s="65"/>
      <c r="AQ42" s="65"/>
      <c r="AR42" s="65"/>
    </row>
    <row r="43" spans="1:44" ht="21" customHeight="1">
      <c r="A43" s="798" t="s">
        <v>188</v>
      </c>
      <c r="B43" s="798"/>
      <c r="C43" s="798"/>
      <c r="D43" s="798"/>
      <c r="E43" s="1285">
        <v>1</v>
      </c>
      <c r="F43" s="798"/>
      <c r="G43" s="798"/>
      <c r="H43" s="798"/>
      <c r="I43" s="798"/>
      <c r="J43" s="798"/>
      <c r="K43" s="798"/>
      <c r="L43" s="799"/>
      <c r="M43" s="435"/>
      <c r="N43" s="435"/>
      <c r="O43" s="435"/>
      <c r="Q43" s="2"/>
      <c r="R43" s="213"/>
      <c r="S43" s="730">
        <f>INDEX(PT_DIFFERENTIATION_NUM_NTAR,MATCH(A43,PT_DIFFERENTIATION_NTAR_ID,0))</f>
        <v>0</v>
      </c>
      <c r="T43" s="64" t="s">
        <v>125</v>
      </c>
      <c r="U43" s="170"/>
      <c r="V43" s="1279"/>
      <c r="W43" s="1280"/>
      <c r="X43" s="1280"/>
      <c r="Y43" s="1280"/>
      <c r="Z43" s="1280"/>
      <c r="AA43" s="1280"/>
      <c r="AB43" s="1280"/>
      <c r="AC43" s="1281"/>
      <c r="AD43" s="1279" t="str">
        <f>INDEX(PT_DIFFERENTIATION_NTAR,MATCH(A43,PT_DIFFERENTIATION_NTAR_ID,0))</f>
        <v/>
      </c>
      <c r="AE43" s="1280"/>
      <c r="AF43" s="1280"/>
      <c r="AG43" s="1280"/>
      <c r="AH43" s="1280"/>
      <c r="AI43" s="1280"/>
      <c r="AJ43" s="1280"/>
      <c r="AK43" s="1280"/>
      <c r="AL43" s="1281"/>
      <c r="AM43" s="758"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8" t="s">
        <v>188</v>
      </c>
      <c r="B44" s="798" t="s">
        <v>189</v>
      </c>
      <c r="C44" s="798"/>
      <c r="D44" s="798"/>
      <c r="E44" s="1286"/>
      <c r="F44" s="1285">
        <v>1</v>
      </c>
      <c r="G44" s="798"/>
      <c r="H44" s="798"/>
      <c r="I44" s="798"/>
      <c r="J44" s="798"/>
      <c r="K44" s="798"/>
      <c r="L44" s="799"/>
      <c r="M44" s="435"/>
      <c r="N44" s="435"/>
      <c r="O44" s="435"/>
      <c r="P44" s="56"/>
      <c r="Q44" s="210"/>
      <c r="R44" s="211"/>
      <c r="S44" s="730" t="str">
        <f>INDEX(PT_DIFFERENTIATION_NUM_TER,MATCH(B44,PT_DIFFERENTIATION_TER_ID,0))</f>
        <v>.</v>
      </c>
      <c r="T44" s="178" t="s">
        <v>458</v>
      </c>
      <c r="U44" s="170"/>
      <c r="V44" s="1279"/>
      <c r="W44" s="1280"/>
      <c r="X44" s="1280"/>
      <c r="Y44" s="1280"/>
      <c r="Z44" s="1280"/>
      <c r="AA44" s="1280"/>
      <c r="AB44" s="1280"/>
      <c r="AC44" s="1281"/>
      <c r="AD44" s="1279" t="str">
        <f>INDEX(PT_DIFFERENTIATION_TER,MATCH(B44,PT_DIFFERENTIATION_TER_ID,0))</f>
        <v/>
      </c>
      <c r="AE44" s="1280"/>
      <c r="AF44" s="1280"/>
      <c r="AG44" s="1280"/>
      <c r="AH44" s="1280"/>
      <c r="AI44" s="1280"/>
      <c r="AJ44" s="1280"/>
      <c r="AK44" s="1280"/>
      <c r="AL44" s="1281"/>
      <c r="AM44" s="758" t="s">
        <v>459</v>
      </c>
      <c r="AO44" s="66"/>
      <c r="AP44" s="66" t="str">
        <f t="shared" si="1"/>
        <v>Территория действия тарифа</v>
      </c>
      <c r="AQ44" s="66"/>
      <c r="AR44" s="66"/>
    </row>
    <row r="45" spans="1:44" ht="23.25" customHeight="1">
      <c r="A45" s="798" t="s">
        <v>188</v>
      </c>
      <c r="B45" s="798" t="s">
        <v>189</v>
      </c>
      <c r="C45" s="798" t="s">
        <v>190</v>
      </c>
      <c r="D45" s="798"/>
      <c r="E45" s="1286"/>
      <c r="F45" s="1286"/>
      <c r="G45" s="1285">
        <v>1</v>
      </c>
      <c r="H45" s="798"/>
      <c r="I45" s="798"/>
      <c r="J45" s="798"/>
      <c r="K45" s="798"/>
      <c r="L45" s="799"/>
      <c r="M45" s="435"/>
      <c r="N45" s="435"/>
      <c r="O45" s="435"/>
      <c r="P45" s="212"/>
      <c r="Q45" s="210"/>
      <c r="R45" s="211"/>
      <c r="S45" s="730" t="str">
        <f>INDEX(PT_DIFFERENTIATION_NUM_CS,MATCH(C45,PT_DIFFERENTIATION_CS_ID,0))</f>
        <v>..</v>
      </c>
      <c r="T45" s="179" t="s">
        <v>460</v>
      </c>
      <c r="U45" s="170"/>
      <c r="V45" s="1279"/>
      <c r="W45" s="1280"/>
      <c r="X45" s="1280"/>
      <c r="Y45" s="1280"/>
      <c r="Z45" s="1280"/>
      <c r="AA45" s="1280"/>
      <c r="AB45" s="1280"/>
      <c r="AC45" s="1281"/>
      <c r="AD45" s="1279" t="str">
        <f>INDEX(PT_DIFFERENTIATION_CS,MATCH(C45,PT_DIFFERENTIATION_CS_ID,0))</f>
        <v/>
      </c>
      <c r="AE45" s="1280"/>
      <c r="AF45" s="1280"/>
      <c r="AG45" s="1280"/>
      <c r="AH45" s="1280"/>
      <c r="AI45" s="1280"/>
      <c r="AJ45" s="1280"/>
      <c r="AK45" s="1280"/>
      <c r="AL45" s="1281"/>
      <c r="AM45" s="758" t="s">
        <v>461</v>
      </c>
      <c r="AO45" s="66"/>
      <c r="AP45" s="66" t="str">
        <f t="shared" si="1"/>
        <v xml:space="preserve">Наименование системы теплоснабжения </v>
      </c>
      <c r="AQ45" s="66"/>
      <c r="AR45" s="66"/>
    </row>
    <row r="46" spans="1:44" ht="21" customHeight="1">
      <c r="A46" s="798" t="s">
        <v>188</v>
      </c>
      <c r="B46" s="798" t="s">
        <v>189</v>
      </c>
      <c r="C46" s="798" t="s">
        <v>190</v>
      </c>
      <c r="D46" s="798" t="s">
        <v>191</v>
      </c>
      <c r="E46" s="1286"/>
      <c r="F46" s="1286"/>
      <c r="G46" s="1286"/>
      <c r="H46" s="1285">
        <v>1</v>
      </c>
      <c r="I46" s="798"/>
      <c r="J46" s="798"/>
      <c r="K46" s="798"/>
      <c r="L46" s="799"/>
      <c r="M46" s="435"/>
      <c r="N46" s="435"/>
      <c r="O46" s="435"/>
      <c r="P46" s="212"/>
      <c r="Q46" s="210"/>
      <c r="R46" s="211"/>
      <c r="S46" s="730" t="str">
        <f>INDEX(PT_DIFFERENTIATION_NUM_IST_TE,MATCH(D46,PT_DIFFERENTIATION_IST_TE_ID,0))</f>
        <v>...</v>
      </c>
      <c r="T46" s="180" t="s">
        <v>462</v>
      </c>
      <c r="U46" s="170"/>
      <c r="V46" s="1279"/>
      <c r="W46" s="1280"/>
      <c r="X46" s="1280"/>
      <c r="Y46" s="1280"/>
      <c r="Z46" s="1280"/>
      <c r="AA46" s="1280"/>
      <c r="AB46" s="1280"/>
      <c r="AC46" s="1281"/>
      <c r="AD46" s="1279" t="str">
        <f>INDEX(PT_DIFFERENTIATION_IST_TE,MATCH(D46,PT_DIFFERENTIATION_IST_TE_ID,0))</f>
        <v/>
      </c>
      <c r="AE46" s="1280"/>
      <c r="AF46" s="1280"/>
      <c r="AG46" s="1280"/>
      <c r="AH46" s="1280"/>
      <c r="AI46" s="1280"/>
      <c r="AJ46" s="1280"/>
      <c r="AK46" s="1280"/>
      <c r="AL46" s="1281"/>
      <c r="AM46" s="758" t="s">
        <v>463</v>
      </c>
      <c r="AO46" s="66"/>
      <c r="AP46" s="66" t="str">
        <f t="shared" si="1"/>
        <v xml:space="preserve">Источник тепловой энергии  </v>
      </c>
      <c r="AQ46" s="66"/>
      <c r="AR46" s="66"/>
    </row>
    <row r="47" spans="1:44" s="65" customFormat="1" ht="0" hidden="1" customHeight="1">
      <c r="A47" s="142" t="s">
        <v>188</v>
      </c>
      <c r="B47" s="142" t="s">
        <v>189</v>
      </c>
      <c r="C47" s="142" t="s">
        <v>190</v>
      </c>
      <c r="D47" s="142" t="s">
        <v>191</v>
      </c>
      <c r="E47" s="1286"/>
      <c r="F47" s="1286"/>
      <c r="G47" s="1286"/>
      <c r="H47" s="1286"/>
      <c r="I47" s="1287" t="str">
        <f>S46&amp;".1"</f>
        <v>....1</v>
      </c>
      <c r="J47" s="142"/>
      <c r="K47" s="142"/>
      <c r="L47" s="357" t="s">
        <v>464</v>
      </c>
      <c r="M47" s="228"/>
      <c r="N47" s="228"/>
      <c r="O47" s="228"/>
      <c r="P47" s="1204">
        <v>1</v>
      </c>
      <c r="Q47" s="119"/>
      <c r="R47" s="214"/>
      <c r="S47" s="373"/>
      <c r="T47" s="808"/>
      <c r="U47" s="809"/>
      <c r="V47" s="1314"/>
      <c r="W47" s="1315"/>
      <c r="X47" s="1315"/>
      <c r="Y47" s="1315"/>
      <c r="Z47" s="1315"/>
      <c r="AA47" s="1315"/>
      <c r="AB47" s="1315"/>
      <c r="AC47" s="1316"/>
      <c r="AD47" s="1314"/>
      <c r="AE47" s="1315"/>
      <c r="AF47" s="1315"/>
      <c r="AG47" s="1315"/>
      <c r="AH47" s="1315"/>
      <c r="AI47" s="1315"/>
      <c r="AJ47" s="1315"/>
      <c r="AK47" s="1315"/>
      <c r="AL47" s="1316"/>
      <c r="AM47" s="810"/>
      <c r="AO47" s="66"/>
      <c r="AP47" s="66" t="str">
        <f t="shared" si="1"/>
        <v/>
      </c>
      <c r="AQ47" s="66"/>
      <c r="AR47" s="66"/>
    </row>
    <row r="48" spans="1:44" ht="21" customHeight="1">
      <c r="A48" s="798" t="s">
        <v>188</v>
      </c>
      <c r="B48" s="798" t="s">
        <v>189</v>
      </c>
      <c r="C48" s="798" t="s">
        <v>190</v>
      </c>
      <c r="D48" s="798" t="s">
        <v>191</v>
      </c>
      <c r="E48" s="1286"/>
      <c r="F48" s="1286"/>
      <c r="G48" s="1286"/>
      <c r="H48" s="1286"/>
      <c r="I48" s="1288"/>
      <c r="J48" s="1287" t="str">
        <f>S46&amp;".1"</f>
        <v>....1</v>
      </c>
      <c r="K48" s="798"/>
      <c r="L48" s="799" t="s">
        <v>467</v>
      </c>
      <c r="P48" s="1204"/>
      <c r="Q48" s="1204">
        <v>1</v>
      </c>
      <c r="R48" s="215"/>
      <c r="S48" s="730" t="str">
        <f>$J48</f>
        <v>....1</v>
      </c>
      <c r="T48" s="164" t="s">
        <v>468</v>
      </c>
      <c r="U48" s="170"/>
      <c r="V48" s="1273"/>
      <c r="W48" s="1274"/>
      <c r="X48" s="1274"/>
      <c r="Y48" s="1274"/>
      <c r="Z48" s="1274"/>
      <c r="AA48" s="1274"/>
      <c r="AB48" s="1274"/>
      <c r="AC48" s="1275"/>
      <c r="AD48" s="1273"/>
      <c r="AE48" s="1274"/>
      <c r="AF48" s="1274"/>
      <c r="AG48" s="1274"/>
      <c r="AH48" s="1274"/>
      <c r="AI48" s="1274"/>
      <c r="AJ48" s="1274"/>
      <c r="AK48" s="1274"/>
      <c r="AL48" s="1275"/>
      <c r="AM48" s="758" t="s">
        <v>469</v>
      </c>
      <c r="AO48" s="66"/>
      <c r="AP48" s="66" t="str">
        <f t="shared" si="1"/>
        <v>Группа потребителей</v>
      </c>
      <c r="AQ48" s="66"/>
      <c r="AR48" s="66"/>
    </row>
    <row r="49" spans="1:44" ht="21" customHeight="1">
      <c r="A49" s="798" t="s">
        <v>188</v>
      </c>
      <c r="B49" s="798" t="s">
        <v>189</v>
      </c>
      <c r="C49" s="798" t="s">
        <v>190</v>
      </c>
      <c r="D49" s="798" t="s">
        <v>191</v>
      </c>
      <c r="E49" s="1286"/>
      <c r="F49" s="1286"/>
      <c r="G49" s="1286"/>
      <c r="H49" s="1286"/>
      <c r="I49" s="1288"/>
      <c r="J49" s="1288"/>
      <c r="K49" s="1287" t="str">
        <f>J48&amp;".1"</f>
        <v>....1.1</v>
      </c>
      <c r="L49" s="799" t="s">
        <v>470</v>
      </c>
      <c r="P49" s="1204"/>
      <c r="Q49" s="1204"/>
      <c r="R49" s="215">
        <v>1</v>
      </c>
      <c r="S49" s="730" t="str">
        <f>$K49</f>
        <v>....1.1</v>
      </c>
      <c r="T49" s="794"/>
      <c r="U49" s="170"/>
      <c r="V49" s="317"/>
      <c r="W49" s="196"/>
      <c r="X49" s="317"/>
      <c r="Y49" s="757"/>
      <c r="Z49" s="1289"/>
      <c r="AA49" s="1093" t="s">
        <v>59</v>
      </c>
      <c r="AB49" s="1289"/>
      <c r="AC49" s="1093" t="s">
        <v>59</v>
      </c>
      <c r="AD49" s="317"/>
      <c r="AE49" s="196"/>
      <c r="AF49" s="317"/>
      <c r="AG49" s="757"/>
      <c r="AH49" s="1289"/>
      <c r="AI49" s="1093" t="s">
        <v>59</v>
      </c>
      <c r="AJ49" s="1291"/>
      <c r="AK49" s="1093" t="s">
        <v>59</v>
      </c>
      <c r="AL49" s="795"/>
      <c r="AM49" s="1307" t="s">
        <v>514</v>
      </c>
      <c r="AN49" s="65" t="e">
        <f ca="1">STRCHECKDATE(V50:AL50)</f>
        <v>#NAME?</v>
      </c>
      <c r="AO49" s="66"/>
      <c r="AP49" s="66" t="str">
        <f t="shared" si="1"/>
        <v/>
      </c>
      <c r="AQ49" s="66"/>
      <c r="AR49" s="66"/>
    </row>
    <row r="50" spans="1:44" ht="0" hidden="1" customHeight="1">
      <c r="A50" s="798" t="s">
        <v>188</v>
      </c>
      <c r="B50" s="798" t="s">
        <v>189</v>
      </c>
      <c r="C50" s="798" t="s">
        <v>190</v>
      </c>
      <c r="D50" s="798" t="s">
        <v>191</v>
      </c>
      <c r="E50" s="1286"/>
      <c r="F50" s="1286"/>
      <c r="G50" s="1286"/>
      <c r="H50" s="1286"/>
      <c r="I50" s="1288"/>
      <c r="J50" s="1288"/>
      <c r="K50" s="1287"/>
      <c r="L50" s="799"/>
      <c r="P50" s="1204"/>
      <c r="Q50" s="1204"/>
      <c r="R50" s="215"/>
      <c r="S50" s="62"/>
      <c r="T50" s="170"/>
      <c r="U50" s="170"/>
      <c r="V50" s="196"/>
      <c r="W50" s="196"/>
      <c r="X50" s="196"/>
      <c r="Y50" s="198" t="str">
        <f>Z49&amp;"-"&amp;AB49</f>
        <v>-</v>
      </c>
      <c r="Z50" s="1290"/>
      <c r="AA50" s="1093"/>
      <c r="AB50" s="1290"/>
      <c r="AC50" s="1093"/>
      <c r="AD50" s="196"/>
      <c r="AE50" s="196"/>
      <c r="AF50" s="196"/>
      <c r="AG50" s="198" t="str">
        <f>AH49&amp;"-"&amp;AJ49</f>
        <v>-</v>
      </c>
      <c r="AH50" s="1290"/>
      <c r="AI50" s="1093"/>
      <c r="AJ50" s="1292"/>
      <c r="AK50" s="1093"/>
      <c r="AL50" s="796"/>
      <c r="AM50" s="1308"/>
      <c r="AO50" s="66"/>
      <c r="AP50" s="66" t="str">
        <f t="shared" si="1"/>
        <v/>
      </c>
      <c r="AQ50" s="66"/>
      <c r="AR50" s="66"/>
    </row>
    <row r="51" spans="1:44" ht="11.25" customHeight="1">
      <c r="A51" s="798" t="s">
        <v>188</v>
      </c>
      <c r="B51" s="798" t="s">
        <v>189</v>
      </c>
      <c r="C51" s="798" t="s">
        <v>190</v>
      </c>
      <c r="D51" s="798" t="s">
        <v>191</v>
      </c>
      <c r="E51" s="1286"/>
      <c r="F51" s="1286"/>
      <c r="G51" s="1286"/>
      <c r="H51" s="1286"/>
      <c r="I51" s="1288"/>
      <c r="J51" s="1287"/>
      <c r="K51" s="798"/>
      <c r="L51" s="799"/>
      <c r="P51" s="1204"/>
      <c r="Q51" s="1204"/>
      <c r="R51" s="214"/>
      <c r="S51" s="772"/>
      <c r="T51" s="165" t="s">
        <v>472</v>
      </c>
      <c r="U51" s="221"/>
      <c r="V51" s="221"/>
      <c r="W51" s="221"/>
      <c r="X51" s="221"/>
      <c r="Y51" s="221"/>
      <c r="Z51" s="221"/>
      <c r="AA51" s="221"/>
      <c r="AB51" s="221"/>
      <c r="AC51" s="221"/>
      <c r="AD51" s="221"/>
      <c r="AE51" s="221"/>
      <c r="AF51" s="221"/>
      <c r="AG51" s="221"/>
      <c r="AH51" s="221"/>
      <c r="AI51" s="221"/>
      <c r="AJ51" s="221"/>
      <c r="AK51" s="221"/>
      <c r="AL51" s="195"/>
      <c r="AM51" s="1309"/>
      <c r="AO51" s="66"/>
      <c r="AP51" s="66" t="str">
        <f t="shared" si="1"/>
        <v>Добавить вид теплоносителя (параметры теплоносителя)</v>
      </c>
      <c r="AQ51" s="66"/>
      <c r="AR51" s="66"/>
    </row>
    <row r="52" spans="1:44" ht="11.25" customHeight="1">
      <c r="A52" s="798" t="s">
        <v>188</v>
      </c>
      <c r="B52" s="798" t="s">
        <v>189</v>
      </c>
      <c r="C52" s="798" t="s">
        <v>190</v>
      </c>
      <c r="D52" s="798" t="s">
        <v>191</v>
      </c>
      <c r="E52" s="1286"/>
      <c r="F52" s="1286"/>
      <c r="G52" s="1286"/>
      <c r="H52" s="1286"/>
      <c r="I52" s="1287"/>
      <c r="J52" s="798"/>
      <c r="K52" s="798"/>
      <c r="L52" s="799"/>
      <c r="P52" s="1204"/>
      <c r="Q52" s="119"/>
      <c r="R52" s="214"/>
      <c r="S52" s="772"/>
      <c r="T52" s="219" t="s">
        <v>473</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8" t="s">
        <v>188</v>
      </c>
      <c r="B53" s="798" t="s">
        <v>189</v>
      </c>
      <c r="C53" s="798" t="s">
        <v>190</v>
      </c>
      <c r="D53" s="798" t="s">
        <v>191</v>
      </c>
      <c r="E53" s="1286"/>
      <c r="F53" s="1286"/>
      <c r="G53" s="1286"/>
      <c r="H53" s="1285"/>
      <c r="I53" s="798"/>
      <c r="J53" s="798"/>
      <c r="K53" s="798"/>
      <c r="L53" s="799"/>
      <c r="M53" s="435"/>
      <c r="N53" s="435"/>
      <c r="O53" s="60"/>
      <c r="P53" s="2"/>
      <c r="Q53" s="224"/>
      <c r="R53" s="213"/>
      <c r="S53" s="811"/>
      <c r="T53" s="812"/>
      <c r="U53" s="813"/>
      <c r="V53" s="813"/>
      <c r="W53" s="813"/>
      <c r="X53" s="813"/>
      <c r="Y53" s="813"/>
      <c r="Z53" s="813"/>
      <c r="AA53" s="813"/>
      <c r="AB53" s="813"/>
      <c r="AC53" s="813"/>
      <c r="AD53" s="813"/>
      <c r="AE53" s="813"/>
      <c r="AF53" s="813"/>
      <c r="AG53" s="813"/>
      <c r="AH53" s="813"/>
      <c r="AI53" s="813"/>
      <c r="AJ53" s="813"/>
      <c r="AK53" s="813"/>
      <c r="AL53" s="813"/>
      <c r="AM53" s="814"/>
      <c r="AO53" s="66"/>
      <c r="AP53" s="66" t="str">
        <f t="shared" si="1"/>
        <v/>
      </c>
      <c r="AQ53" s="66"/>
      <c r="AR53" s="66"/>
    </row>
    <row r="54" spans="1:44" s="65" customFormat="1" ht="0" hidden="1" customHeight="1">
      <c r="A54" s="142" t="s">
        <v>188</v>
      </c>
      <c r="B54" s="142" t="s">
        <v>189</v>
      </c>
      <c r="C54" s="142" t="s">
        <v>190</v>
      </c>
      <c r="D54" s="142"/>
      <c r="E54" s="1286"/>
      <c r="F54" s="1286"/>
      <c r="G54" s="1285"/>
      <c r="H54" s="142"/>
      <c r="I54" s="142"/>
      <c r="J54" s="142"/>
      <c r="K54" s="142"/>
      <c r="L54" s="357"/>
      <c r="M54" s="304"/>
      <c r="N54" s="304"/>
      <c r="P54" s="101"/>
      <c r="Q54" s="785"/>
      <c r="R54" s="101"/>
      <c r="S54" s="790"/>
      <c r="T54" s="792" t="s">
        <v>431</v>
      </c>
      <c r="U54" s="324"/>
      <c r="V54" s="324"/>
      <c r="W54" s="324"/>
      <c r="X54" s="324"/>
      <c r="Y54" s="324"/>
      <c r="Z54" s="324"/>
      <c r="AA54" s="324"/>
      <c r="AB54" s="324"/>
      <c r="AC54" s="324"/>
      <c r="AD54" s="324"/>
      <c r="AE54" s="324"/>
      <c r="AF54" s="324"/>
      <c r="AG54" s="324"/>
      <c r="AH54" s="324"/>
      <c r="AI54" s="324"/>
      <c r="AJ54" s="324"/>
      <c r="AK54" s="324"/>
      <c r="AL54" s="324"/>
      <c r="AM54" s="324"/>
      <c r="AO54" s="66"/>
      <c r="AP54" s="66" t="str">
        <f t="shared" si="1"/>
        <v>Добавить источник для дифференциации</v>
      </c>
      <c r="AQ54" s="66"/>
      <c r="AR54" s="66"/>
    </row>
    <row r="55" spans="1:44" s="65" customFormat="1" ht="0" hidden="1" customHeight="1">
      <c r="A55" s="142" t="s">
        <v>188</v>
      </c>
      <c r="B55" s="142" t="s">
        <v>189</v>
      </c>
      <c r="C55" s="142"/>
      <c r="D55" s="142"/>
      <c r="E55" s="1286"/>
      <c r="F55" s="1285"/>
      <c r="G55" s="142"/>
      <c r="H55" s="142"/>
      <c r="I55" s="142"/>
      <c r="J55" s="142"/>
      <c r="K55" s="142"/>
      <c r="L55" s="357"/>
      <c r="M55" s="789"/>
      <c r="N55" s="789"/>
      <c r="P55" s="101"/>
      <c r="Q55" s="785"/>
      <c r="R55" s="101"/>
      <c r="S55" s="790"/>
      <c r="T55" s="792" t="s">
        <v>432</v>
      </c>
      <c r="U55" s="324"/>
      <c r="V55" s="324"/>
      <c r="W55" s="324"/>
      <c r="X55" s="324"/>
      <c r="Y55" s="324"/>
      <c r="Z55" s="324"/>
      <c r="AA55" s="324"/>
      <c r="AB55" s="324"/>
      <c r="AC55" s="324"/>
      <c r="AD55" s="324"/>
      <c r="AE55" s="324"/>
      <c r="AF55" s="324"/>
      <c r="AG55" s="324"/>
      <c r="AH55" s="324"/>
      <c r="AI55" s="324"/>
      <c r="AJ55" s="324"/>
      <c r="AK55" s="324"/>
      <c r="AL55" s="324"/>
      <c r="AM55" s="324"/>
      <c r="AO55" s="66"/>
      <c r="AP55" s="66" t="str">
        <f t="shared" si="1"/>
        <v>Добавить централизованную систему для дифференциации</v>
      </c>
      <c r="AQ55" s="66"/>
      <c r="AR55" s="66"/>
    </row>
    <row r="56" spans="1:44" s="65" customFormat="1" ht="0" hidden="1" customHeight="1">
      <c r="A56" s="142" t="s">
        <v>188</v>
      </c>
      <c r="B56" s="142"/>
      <c r="C56" s="142"/>
      <c r="D56" s="142"/>
      <c r="E56" s="1285"/>
      <c r="F56" s="142"/>
      <c r="G56" s="142"/>
      <c r="H56" s="142"/>
      <c r="I56" s="142"/>
      <c r="J56" s="142"/>
      <c r="K56" s="142"/>
      <c r="L56" s="357"/>
      <c r="M56" s="789"/>
      <c r="N56" s="789"/>
      <c r="P56" s="101"/>
      <c r="Q56" s="785"/>
      <c r="R56" s="101"/>
      <c r="S56" s="790"/>
      <c r="T56" s="792" t="s">
        <v>433</v>
      </c>
      <c r="U56" s="324"/>
      <c r="V56" s="324"/>
      <c r="W56" s="324"/>
      <c r="X56" s="324"/>
      <c r="Y56" s="324"/>
      <c r="Z56" s="324"/>
      <c r="AA56" s="324"/>
      <c r="AB56" s="324"/>
      <c r="AC56" s="324"/>
      <c r="AD56" s="324"/>
      <c r="AE56" s="324"/>
      <c r="AF56" s="324"/>
      <c r="AG56" s="324"/>
      <c r="AH56" s="324"/>
      <c r="AI56" s="324"/>
      <c r="AJ56" s="324"/>
      <c r="AK56" s="324"/>
      <c r="AL56" s="324"/>
      <c r="AM56" s="324"/>
      <c r="AO56" s="66"/>
      <c r="AP56" s="66" t="str">
        <f t="shared" si="1"/>
        <v>Добавить территорию для дифференциации</v>
      </c>
      <c r="AQ56" s="66"/>
      <c r="AR56" s="66"/>
    </row>
    <row r="57" spans="1:44" s="65" customFormat="1" ht="5.25" customHeight="1">
      <c r="A57" s="142"/>
      <c r="B57" s="142"/>
      <c r="C57" s="142"/>
      <c r="D57" s="142"/>
      <c r="E57" s="142"/>
      <c r="F57" s="142"/>
      <c r="G57" s="142"/>
      <c r="H57" s="142"/>
      <c r="I57" s="142"/>
      <c r="J57" s="142"/>
      <c r="K57" s="142"/>
      <c r="L57" s="357"/>
      <c r="M57" s="789"/>
      <c r="N57" s="789"/>
      <c r="P57" s="101"/>
      <c r="Q57" s="785"/>
      <c r="R57" s="101"/>
      <c r="S57" s="790"/>
      <c r="T57" s="792" t="s">
        <v>434</v>
      </c>
      <c r="U57" s="324"/>
      <c r="V57" s="324"/>
      <c r="W57" s="324"/>
      <c r="X57" s="324"/>
      <c r="Y57" s="324"/>
      <c r="Z57" s="324"/>
      <c r="AA57" s="324"/>
      <c r="AB57" s="324"/>
      <c r="AC57" s="324"/>
      <c r="AD57" s="324"/>
      <c r="AE57" s="324"/>
      <c r="AF57" s="324"/>
      <c r="AG57" s="324"/>
      <c r="AH57" s="324"/>
      <c r="AI57" s="324"/>
      <c r="AJ57" s="324"/>
      <c r="AK57" s="324"/>
      <c r="AL57" s="324"/>
      <c r="AM57" s="324"/>
      <c r="AO57" s="66"/>
      <c r="AP57" s="66" t="str">
        <f t="shared" si="1"/>
        <v>Добавить наименование тарифа</v>
      </c>
      <c r="AQ57" s="66"/>
      <c r="AR57" s="66"/>
    </row>
    <row r="58" spans="1:44" ht="11.25" hidden="1" customHeight="1">
      <c r="M58" s="60"/>
      <c r="N58" s="60"/>
      <c r="O58" s="60"/>
      <c r="P58" s="9"/>
      <c r="Q58" s="9"/>
      <c r="R58" s="9"/>
      <c r="S58" s="9"/>
      <c r="AN58" s="9"/>
      <c r="AO58" s="9"/>
      <c r="AP58" s="9"/>
      <c r="AQ58" s="9"/>
      <c r="AR58" s="9"/>
    </row>
    <row r="59" spans="1:44" ht="14.25" hidden="1" customHeight="1">
      <c r="O59" s="60"/>
      <c r="S59" s="204" t="s">
        <v>506</v>
      </c>
      <c r="T59" s="1284" t="s">
        <v>515</v>
      </c>
      <c r="U59" s="1284"/>
      <c r="V59" s="1284"/>
      <c r="W59" s="1284"/>
      <c r="X59" s="1284"/>
      <c r="Y59" s="1284"/>
      <c r="Z59" s="1284"/>
      <c r="AA59" s="1284"/>
      <c r="AB59" s="1284"/>
      <c r="AC59" s="1284"/>
      <c r="AD59" s="1284"/>
      <c r="AE59" s="1284"/>
      <c r="AF59" s="1284"/>
      <c r="AG59" s="1284"/>
      <c r="AH59" s="1284"/>
      <c r="AI59" s="1284"/>
      <c r="AJ59" s="1284"/>
      <c r="AK59" s="1284"/>
      <c r="AL59" s="1284"/>
      <c r="AM59" s="1284"/>
    </row>
    <row r="60" spans="1:44" ht="14.25" hidden="1" customHeight="1">
      <c r="O60" s="60"/>
      <c r="T60" s="1284" t="s">
        <v>516</v>
      </c>
      <c r="U60" s="1284"/>
      <c r="V60" s="1284"/>
      <c r="W60" s="1284"/>
      <c r="X60" s="1284"/>
      <c r="Y60" s="1284"/>
      <c r="Z60" s="1284"/>
      <c r="AA60" s="1284"/>
      <c r="AB60" s="1284"/>
      <c r="AC60" s="1284"/>
      <c r="AD60" s="1284"/>
      <c r="AE60" s="1284"/>
      <c r="AF60" s="1284"/>
      <c r="AG60" s="1284"/>
      <c r="AH60" s="1284"/>
      <c r="AI60" s="1284"/>
      <c r="AJ60" s="1284"/>
      <c r="AK60" s="1284"/>
      <c r="AL60" s="1284"/>
      <c r="AM60" s="1284"/>
    </row>
    <row r="61" spans="1:44" ht="14.25" hidden="1" customHeight="1">
      <c r="O61" s="60"/>
      <c r="T61" s="1284" t="s">
        <v>517</v>
      </c>
      <c r="U61" s="1284"/>
      <c r="V61" s="1284"/>
      <c r="W61" s="1284"/>
      <c r="X61" s="1284"/>
      <c r="Y61" s="1284"/>
      <c r="Z61" s="1284"/>
      <c r="AA61" s="1284"/>
      <c r="AB61" s="1284"/>
      <c r="AC61" s="1284"/>
      <c r="AD61" s="1284"/>
      <c r="AE61" s="1284"/>
      <c r="AF61" s="1284"/>
      <c r="AG61" s="1284"/>
      <c r="AH61" s="1284"/>
      <c r="AI61" s="1284"/>
      <c r="AJ61" s="1284"/>
      <c r="AK61" s="1284"/>
      <c r="AL61" s="1284"/>
      <c r="AM61" s="1284"/>
    </row>
    <row r="62" spans="1:44" ht="14.25" hidden="1" customHeight="1">
      <c r="O62" s="60"/>
    </row>
    <row r="63" spans="1:44" ht="14.25" hidden="1" customHeight="1">
      <c r="O63" s="60"/>
      <c r="S63" s="204" t="s">
        <v>506</v>
      </c>
      <c r="T63" s="1123" t="s">
        <v>509</v>
      </c>
      <c r="U63" s="1284"/>
      <c r="V63" s="1284"/>
      <c r="W63" s="1284"/>
      <c r="X63" s="1284"/>
      <c r="Y63" s="1284"/>
      <c r="Z63" s="1284"/>
      <c r="AA63" s="1284"/>
      <c r="AB63" s="1284"/>
      <c r="AC63" s="1284"/>
      <c r="AD63" s="1284"/>
      <c r="AE63" s="1284"/>
      <c r="AF63" s="1284"/>
      <c r="AG63" s="1284"/>
      <c r="AH63" s="1284"/>
      <c r="AI63" s="1284"/>
      <c r="AJ63" s="1284"/>
      <c r="AK63" s="1284"/>
      <c r="AL63" s="1284"/>
      <c r="AM63" s="1284"/>
    </row>
    <row r="64" spans="1:44" ht="14.25" hidden="1" customHeight="1">
      <c r="O64" s="60"/>
      <c r="T64" s="1284" t="s">
        <v>518</v>
      </c>
      <c r="U64" s="1284"/>
      <c r="V64" s="1284"/>
      <c r="W64" s="1284"/>
      <c r="X64" s="1284"/>
      <c r="Y64" s="1284"/>
      <c r="Z64" s="1284"/>
      <c r="AA64" s="1284"/>
      <c r="AB64" s="1284"/>
      <c r="AC64" s="1284"/>
      <c r="AD64" s="1284"/>
      <c r="AE64" s="1284"/>
      <c r="AF64" s="1284"/>
      <c r="AG64" s="1284"/>
      <c r="AH64" s="1284"/>
      <c r="AI64" s="1284"/>
      <c r="AJ64" s="1284"/>
      <c r="AK64" s="1284"/>
      <c r="AL64" s="1284"/>
      <c r="AM64" s="1284"/>
    </row>
    <row r="65" spans="20:39" ht="14.25" hidden="1" customHeight="1">
      <c r="T65" s="1284" t="s">
        <v>519</v>
      </c>
      <c r="U65" s="1284"/>
      <c r="V65" s="1284"/>
      <c r="W65" s="1284"/>
      <c r="X65" s="1284"/>
      <c r="Y65" s="1284"/>
      <c r="Z65" s="1284"/>
      <c r="AA65" s="1284"/>
      <c r="AB65" s="1284"/>
      <c r="AC65" s="1284"/>
      <c r="AD65" s="1284"/>
      <c r="AE65" s="1284"/>
      <c r="AF65" s="1284"/>
      <c r="AG65" s="1284"/>
      <c r="AH65" s="1284"/>
      <c r="AI65" s="1284"/>
      <c r="AJ65" s="1284"/>
      <c r="AK65" s="1284"/>
      <c r="AL65" s="1284"/>
      <c r="AM65" s="1284"/>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1100-000000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1100-000001000000}">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1100-000002000000}">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11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11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1100-000005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11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11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84189-6A7F-D63E-3873-32FF0DA0D2D9}">
  <sheetPr>
    <tabColor theme="6" tint="0.39997558519241921"/>
  </sheetPr>
  <dimension ref="A1:AV73"/>
  <sheetViews>
    <sheetView showGridLines="0" topLeftCell="R29" zoomScale="90" workbookViewId="0"/>
  </sheetViews>
  <sheetFormatPr defaultColWidth="10.5703125" defaultRowHeight="14.25" customHeight="1"/>
  <cols>
    <col min="1" max="1" width="10.5703125" style="9" hidden="1"/>
    <col min="2" max="2" width="11" style="9" hidden="1" customWidth="1"/>
    <col min="3" max="3" width="10.5703125" style="9" hidden="1"/>
    <col min="4" max="4" width="11.85546875" style="9" hidden="1" customWidth="1"/>
    <col min="5" max="5" width="10" style="9" hidden="1" customWidth="1"/>
    <col min="6" max="6" width="8.7109375" style="9" hidden="1" customWidth="1"/>
    <col min="7" max="7" width="7.5703125" style="9" hidden="1" customWidth="1"/>
    <col min="8" max="8" width="11.42578125" style="9" hidden="1" customWidth="1"/>
    <col min="9" max="9" width="12" style="9" hidden="1" customWidth="1"/>
    <col min="10" max="10" width="9.85546875" style="9" hidden="1" customWidth="1"/>
    <col min="11" max="12" width="11.42578125" style="9" hidden="1" customWidth="1"/>
    <col min="13" max="13" width="19.140625" style="56" hidden="1" customWidth="1"/>
    <col min="14" max="15" width="12.28515625" style="32" hidden="1" customWidth="1"/>
    <col min="16" max="16" width="23.42578125" style="32" hidden="1" customWidth="1"/>
    <col min="17" max="17" width="3.7109375" style="32" hidden="1" customWidth="1"/>
    <col min="18" max="20" width="3.7109375" style="28" customWidth="1"/>
    <col min="21" max="21" width="12.7109375" style="353" customWidth="1"/>
    <col min="22" max="22" width="32" style="9" customWidth="1"/>
    <col min="23" max="23" width="0.140625" style="9" customWidth="1"/>
    <col min="24" max="28" width="21.7109375" style="9" hidden="1" customWidth="1"/>
    <col min="29" max="29" width="11.7109375" style="9" hidden="1" customWidth="1"/>
    <col min="30" max="30" width="3.7109375" style="9" hidden="1" customWidth="1"/>
    <col min="31" max="31" width="11.7109375" style="9" hidden="1" customWidth="1"/>
    <col min="32" max="32" width="8.5703125" style="9" hidden="1" customWidth="1"/>
    <col min="33" max="37" width="21.7109375" style="9" customWidth="1"/>
    <col min="38" max="38" width="11.7109375" style="9" customWidth="1"/>
    <col min="39" max="39" width="3.7109375" style="9" customWidth="1"/>
    <col min="40" max="40" width="11.7109375" style="9" customWidth="1"/>
    <col min="41" max="41" width="8.5703125" style="9" customWidth="1"/>
    <col min="42" max="42" width="4.7109375" style="9" customWidth="1"/>
    <col min="43" max="43" width="115.7109375" style="9" customWidth="1"/>
    <col min="44" max="45" width="10.5703125" style="65"/>
    <col min="46" max="46" width="11.140625" style="65" customWidth="1"/>
    <col min="47" max="48" width="10.5703125" style="65"/>
  </cols>
  <sheetData>
    <row r="1" spans="1:48" ht="14.25" hidden="1" customHeight="1"/>
    <row r="2" spans="1:48" ht="21" hidden="1" customHeight="1">
      <c r="A2" s="761"/>
      <c r="B2" s="761"/>
      <c r="C2" s="761"/>
      <c r="D2" s="761"/>
      <c r="E2" s="1320">
        <v>1</v>
      </c>
      <c r="F2" s="761"/>
      <c r="G2" s="761"/>
      <c r="H2" s="761"/>
      <c r="I2" s="761"/>
      <c r="J2" s="761"/>
      <c r="K2" s="761"/>
      <c r="L2" s="761"/>
      <c r="M2" s="784"/>
      <c r="N2" s="353"/>
      <c r="O2" s="353"/>
      <c r="P2" s="353"/>
      <c r="R2" s="2"/>
      <c r="S2" s="2"/>
      <c r="T2" s="213"/>
      <c r="U2" s="730" t="e">
        <f>INDEX(PT_DIFFERENTIATION_NUM_NTAR,MATCH(A2,PT_DIFFERENTIATION_NTAR_ID,0))</f>
        <v>#N/A</v>
      </c>
      <c r="V2" s="64" t="s">
        <v>125</v>
      </c>
      <c r="W2" s="170"/>
      <c r="X2" s="1279"/>
      <c r="Y2" s="1280"/>
      <c r="Z2" s="1280"/>
      <c r="AA2" s="1280"/>
      <c r="AB2" s="1280"/>
      <c r="AC2" s="1280"/>
      <c r="AD2" s="1280"/>
      <c r="AE2" s="1280"/>
      <c r="AF2" s="1281"/>
      <c r="AG2" s="1279" t="e">
        <f>INDEX(PT_DIFFERENTIATION_NTAR,MATCH(A2,PT_DIFFERENTIATION_NTAR_ID,0))</f>
        <v>#N/A</v>
      </c>
      <c r="AH2" s="1280"/>
      <c r="AI2" s="1280"/>
      <c r="AJ2" s="1280"/>
      <c r="AK2" s="1280"/>
      <c r="AL2" s="1280"/>
      <c r="AM2" s="1280"/>
      <c r="AN2" s="1280"/>
      <c r="AO2" s="1280"/>
      <c r="AP2" s="1281"/>
      <c r="AQ2" s="758" t="s">
        <v>457</v>
      </c>
      <c r="AS2" s="66"/>
      <c r="AT2" s="66" t="str">
        <f t="shared" ref="AT2:AT8" si="0">IF(V2="","",V2)</f>
        <v>Наименование тарифа</v>
      </c>
      <c r="AU2" s="66"/>
      <c r="AV2" s="66"/>
    </row>
    <row r="3" spans="1:48" ht="21" hidden="1" customHeight="1">
      <c r="A3" s="761"/>
      <c r="B3" s="761"/>
      <c r="C3" s="761"/>
      <c r="D3" s="761"/>
      <c r="E3" s="1321"/>
      <c r="F3" s="1320">
        <v>1</v>
      </c>
      <c r="G3" s="761"/>
      <c r="H3" s="761"/>
      <c r="I3" s="761"/>
      <c r="J3" s="761"/>
      <c r="K3" s="761"/>
      <c r="L3" s="761"/>
      <c r="M3" s="784"/>
      <c r="N3" s="353"/>
      <c r="O3" s="353"/>
      <c r="P3" s="353"/>
      <c r="Q3" s="56"/>
      <c r="R3" s="210"/>
      <c r="S3" s="9"/>
      <c r="T3" s="211"/>
      <c r="U3" s="730" t="e">
        <f>INDEX(PT_DIFFERENTIATION_NUM_TER,MATCH(B3,PT_DIFFERENTIATION_TER_ID,0))</f>
        <v>#N/A</v>
      </c>
      <c r="V3" s="178" t="s">
        <v>458</v>
      </c>
      <c r="W3" s="170"/>
      <c r="X3" s="1279"/>
      <c r="Y3" s="1280"/>
      <c r="Z3" s="1280"/>
      <c r="AA3" s="1280"/>
      <c r="AB3" s="1280"/>
      <c r="AC3" s="1280"/>
      <c r="AD3" s="1280"/>
      <c r="AE3" s="1280"/>
      <c r="AF3" s="1281"/>
      <c r="AG3" s="1279" t="e">
        <f>INDEX(PT_DIFFERENTIATION_TER,MATCH(B3,PT_DIFFERENTIATION_TER_ID,0))</f>
        <v>#N/A</v>
      </c>
      <c r="AH3" s="1280"/>
      <c r="AI3" s="1280"/>
      <c r="AJ3" s="1280"/>
      <c r="AK3" s="1280"/>
      <c r="AL3" s="1280"/>
      <c r="AM3" s="1280"/>
      <c r="AN3" s="1280"/>
      <c r="AO3" s="1280"/>
      <c r="AP3" s="1281"/>
      <c r="AQ3" s="758" t="s">
        <v>459</v>
      </c>
      <c r="AS3" s="66"/>
      <c r="AT3" s="66" t="str">
        <f t="shared" si="0"/>
        <v>Территория действия тарифа</v>
      </c>
      <c r="AU3" s="66"/>
      <c r="AV3" s="66"/>
    </row>
    <row r="4" spans="1:48" ht="22.5" hidden="1" customHeight="1">
      <c r="A4" s="761"/>
      <c r="B4" s="761"/>
      <c r="C4" s="761"/>
      <c r="D4" s="761"/>
      <c r="E4" s="1321"/>
      <c r="F4" s="1321"/>
      <c r="G4" s="1320">
        <v>1</v>
      </c>
      <c r="H4" s="761"/>
      <c r="I4" s="761"/>
      <c r="J4" s="761"/>
      <c r="K4" s="761"/>
      <c r="L4" s="761"/>
      <c r="M4" s="784"/>
      <c r="N4" s="353"/>
      <c r="O4" s="353"/>
      <c r="P4" s="353"/>
      <c r="Q4" s="212"/>
      <c r="R4" s="210"/>
      <c r="S4" s="9"/>
      <c r="T4" s="211"/>
      <c r="U4" s="730" t="e">
        <f>INDEX(PT_DIFFERENTIATION_NUM_CS,MATCH(C4,PT_DIFFERENTIATION_CS_ID,0))</f>
        <v>#N/A</v>
      </c>
      <c r="V4" s="179" t="s">
        <v>460</v>
      </c>
      <c r="W4" s="170"/>
      <c r="X4" s="1279"/>
      <c r="Y4" s="1280"/>
      <c r="Z4" s="1280"/>
      <c r="AA4" s="1280"/>
      <c r="AB4" s="1280"/>
      <c r="AC4" s="1280"/>
      <c r="AD4" s="1280"/>
      <c r="AE4" s="1280"/>
      <c r="AF4" s="1281"/>
      <c r="AG4" s="1279" t="e">
        <f>INDEX(PT_DIFFERENTIATION_CS,MATCH(C4,PT_DIFFERENTIATION_CS_ID,0))</f>
        <v>#N/A</v>
      </c>
      <c r="AH4" s="1280"/>
      <c r="AI4" s="1280"/>
      <c r="AJ4" s="1280"/>
      <c r="AK4" s="1280"/>
      <c r="AL4" s="1280"/>
      <c r="AM4" s="1280"/>
      <c r="AN4" s="1280"/>
      <c r="AO4" s="1280"/>
      <c r="AP4" s="1281"/>
      <c r="AQ4" s="758" t="s">
        <v>461</v>
      </c>
      <c r="AS4" s="66"/>
      <c r="AT4" s="66" t="str">
        <f t="shared" si="0"/>
        <v xml:space="preserve">Наименование системы теплоснабжения </v>
      </c>
      <c r="AU4" s="66"/>
      <c r="AV4" s="66"/>
    </row>
    <row r="5" spans="1:48" ht="21" hidden="1" customHeight="1">
      <c r="A5" s="761"/>
      <c r="B5" s="761"/>
      <c r="C5" s="761"/>
      <c r="D5" s="761"/>
      <c r="E5" s="1321"/>
      <c r="F5" s="1321"/>
      <c r="G5" s="1321"/>
      <c r="H5" s="1320">
        <v>1</v>
      </c>
      <c r="I5" s="761"/>
      <c r="J5" s="761"/>
      <c r="K5" s="761"/>
      <c r="L5" s="761"/>
      <c r="M5" s="784"/>
      <c r="N5" s="353"/>
      <c r="O5" s="353"/>
      <c r="P5" s="353"/>
      <c r="Q5" s="212"/>
      <c r="R5" s="210"/>
      <c r="S5" s="9"/>
      <c r="T5" s="211"/>
      <c r="U5" s="730" t="e">
        <f>INDEX(PT_DIFFERENTIATION_NUM_IST_TE,MATCH(D5,PT_DIFFERENTIATION_IST_TE_ID,0))</f>
        <v>#N/A</v>
      </c>
      <c r="V5" s="180" t="s">
        <v>462</v>
      </c>
      <c r="W5" s="170"/>
      <c r="X5" s="1279"/>
      <c r="Y5" s="1280"/>
      <c r="Z5" s="1280"/>
      <c r="AA5" s="1280"/>
      <c r="AB5" s="1280"/>
      <c r="AC5" s="1280"/>
      <c r="AD5" s="1280"/>
      <c r="AE5" s="1280"/>
      <c r="AF5" s="1281"/>
      <c r="AG5" s="1279" t="e">
        <f>INDEX(PT_DIFFERENTIATION_IST_TE,MATCH(D5,PT_DIFFERENTIATION_IST_TE_ID,0))</f>
        <v>#N/A</v>
      </c>
      <c r="AH5" s="1280"/>
      <c r="AI5" s="1280"/>
      <c r="AJ5" s="1280"/>
      <c r="AK5" s="1280"/>
      <c r="AL5" s="1280"/>
      <c r="AM5" s="1280"/>
      <c r="AN5" s="1280"/>
      <c r="AO5" s="1280"/>
      <c r="AP5" s="1281"/>
      <c r="AQ5" s="758" t="s">
        <v>463</v>
      </c>
      <c r="AS5" s="66"/>
      <c r="AT5" s="66" t="str">
        <f t="shared" si="0"/>
        <v xml:space="preserve">Источник тепловой энергии  </v>
      </c>
      <c r="AU5" s="66"/>
      <c r="AV5" s="66"/>
    </row>
    <row r="6" spans="1:48" ht="14.25" hidden="1" customHeight="1">
      <c r="A6" s="761"/>
      <c r="B6" s="761"/>
      <c r="C6" s="761"/>
      <c r="D6" s="761"/>
      <c r="E6" s="1321"/>
      <c r="F6" s="1321"/>
      <c r="G6" s="1321"/>
      <c r="H6" s="1321"/>
      <c r="I6" s="1083" t="e">
        <f>U5&amp;".1"</f>
        <v>#N/A</v>
      </c>
      <c r="J6" s="761"/>
      <c r="K6" s="761"/>
      <c r="L6" s="761"/>
      <c r="M6" s="784" t="s">
        <v>464</v>
      </c>
      <c r="N6" s="9"/>
      <c r="Q6" s="1204">
        <v>1</v>
      </c>
      <c r="R6" s="119"/>
      <c r="S6" s="119"/>
      <c r="T6" s="214"/>
      <c r="U6" s="373"/>
      <c r="V6" s="808"/>
      <c r="W6" s="809"/>
      <c r="X6" s="1314"/>
      <c r="Y6" s="1315"/>
      <c r="Z6" s="1315"/>
      <c r="AA6" s="1315"/>
      <c r="AB6" s="1315"/>
      <c r="AC6" s="1315"/>
      <c r="AD6" s="1315"/>
      <c r="AE6" s="1315"/>
      <c r="AF6" s="1316"/>
      <c r="AG6" s="1314"/>
      <c r="AH6" s="1315"/>
      <c r="AI6" s="1315"/>
      <c r="AJ6" s="1315"/>
      <c r="AK6" s="1315"/>
      <c r="AL6" s="1315"/>
      <c r="AM6" s="1315"/>
      <c r="AN6" s="1315"/>
      <c r="AO6" s="1315"/>
      <c r="AP6" s="1316"/>
      <c r="AQ6" s="810"/>
      <c r="AS6" s="66"/>
      <c r="AT6" s="66" t="str">
        <f t="shared" si="0"/>
        <v/>
      </c>
      <c r="AU6" s="66"/>
      <c r="AV6" s="66"/>
    </row>
    <row r="7" spans="1:48" ht="21" hidden="1" customHeight="1">
      <c r="A7" s="761"/>
      <c r="B7" s="761"/>
      <c r="C7" s="761"/>
      <c r="D7" s="761"/>
      <c r="E7" s="1321"/>
      <c r="F7" s="1321"/>
      <c r="G7" s="1321"/>
      <c r="H7" s="1321"/>
      <c r="I7" s="1065"/>
      <c r="J7" s="1083" t="e">
        <f>I6&amp;".1"</f>
        <v>#N/A</v>
      </c>
      <c r="K7" s="761"/>
      <c r="L7" s="761"/>
      <c r="M7" s="784" t="s">
        <v>467</v>
      </c>
      <c r="N7" s="9"/>
      <c r="O7" s="9"/>
      <c r="Q7" s="1204"/>
      <c r="R7" s="1204">
        <v>1</v>
      </c>
      <c r="S7" s="65"/>
      <c r="T7" s="215"/>
      <c r="U7" s="730" t="e">
        <f>$J7</f>
        <v>#N/A</v>
      </c>
      <c r="V7" s="164" t="s">
        <v>468</v>
      </c>
      <c r="W7" s="170"/>
      <c r="X7" s="1273"/>
      <c r="Y7" s="1274"/>
      <c r="Z7" s="1274"/>
      <c r="AA7" s="1274"/>
      <c r="AB7" s="1274"/>
      <c r="AC7" s="1191"/>
      <c r="AD7" s="1191"/>
      <c r="AE7" s="1191"/>
      <c r="AF7" s="1322"/>
      <c r="AG7" s="1273"/>
      <c r="AH7" s="1274"/>
      <c r="AI7" s="1274"/>
      <c r="AJ7" s="1274"/>
      <c r="AK7" s="1274"/>
      <c r="AL7" s="1274"/>
      <c r="AM7" s="1274"/>
      <c r="AN7" s="1274"/>
      <c r="AO7" s="1274"/>
      <c r="AP7" s="1275"/>
      <c r="AQ7" s="758" t="s">
        <v>469</v>
      </c>
      <c r="AS7" s="66"/>
      <c r="AT7" s="66" t="str">
        <f t="shared" si="0"/>
        <v>Группа потребителей</v>
      </c>
      <c r="AU7" s="66"/>
      <c r="AV7" s="66"/>
    </row>
    <row r="8" spans="1:48" ht="21" hidden="1" customHeight="1">
      <c r="A8" s="761"/>
      <c r="B8" s="761"/>
      <c r="C8" s="761"/>
      <c r="D8" s="761"/>
      <c r="E8" s="1321"/>
      <c r="F8" s="1321"/>
      <c r="G8" s="1321"/>
      <c r="H8" s="1321"/>
      <c r="I8" s="1065"/>
      <c r="J8" s="1065"/>
      <c r="K8" s="1083" t="e">
        <f>J7&amp;".1"</f>
        <v>#N/A</v>
      </c>
      <c r="L8" s="56"/>
      <c r="M8" s="784" t="s">
        <v>470</v>
      </c>
      <c r="N8" s="9"/>
      <c r="O8" s="9"/>
      <c r="P8" s="9"/>
      <c r="Q8" s="1204"/>
      <c r="R8" s="1204"/>
      <c r="S8" s="1204">
        <v>1</v>
      </c>
      <c r="T8" s="215"/>
      <c r="U8" s="730" t="e">
        <f>$K8</f>
        <v>#N/A</v>
      </c>
      <c r="V8" s="794"/>
      <c r="W8" s="170"/>
      <c r="X8" s="317"/>
      <c r="Y8" s="317"/>
      <c r="Z8" s="317"/>
      <c r="AA8" s="317"/>
      <c r="AB8" s="827"/>
      <c r="AC8" s="1289"/>
      <c r="AD8" s="1093" t="s">
        <v>59</v>
      </c>
      <c r="AE8" s="1289"/>
      <c r="AF8" s="1093" t="s">
        <v>59</v>
      </c>
      <c r="AG8" s="829"/>
      <c r="AH8" s="317"/>
      <c r="AI8" s="317"/>
      <c r="AJ8" s="317"/>
      <c r="AK8" s="757"/>
      <c r="AL8" s="1289"/>
      <c r="AM8" s="1093" t="s">
        <v>59</v>
      </c>
      <c r="AN8" s="1289"/>
      <c r="AO8" s="1093" t="s">
        <v>59</v>
      </c>
      <c r="AP8" s="196"/>
      <c r="AQ8" s="783" t="s">
        <v>520</v>
      </c>
      <c r="AR8" s="65" t="e">
        <f ca="1">STRCHECKDATE(X10:AP10)</f>
        <v>#NAME?</v>
      </c>
      <c r="AS8" s="66"/>
      <c r="AT8" s="66" t="str">
        <f t="shared" si="0"/>
        <v/>
      </c>
      <c r="AU8" s="66"/>
      <c r="AV8" s="66"/>
    </row>
    <row r="9" spans="1:48" ht="21" hidden="1" customHeight="1">
      <c r="A9" s="761"/>
      <c r="B9" s="761"/>
      <c r="C9" s="761"/>
      <c r="D9" s="761"/>
      <c r="E9" s="1321"/>
      <c r="F9" s="1321"/>
      <c r="G9" s="1321"/>
      <c r="H9" s="1321"/>
      <c r="I9" s="1065"/>
      <c r="J9" s="1065"/>
      <c r="K9" s="1065"/>
      <c r="L9" s="1083" t="e">
        <f>K8&amp;".1"</f>
        <v>#N/A</v>
      </c>
      <c r="M9" s="784"/>
      <c r="N9" s="9"/>
      <c r="O9" s="9"/>
      <c r="P9" s="9"/>
      <c r="Q9" s="1204"/>
      <c r="R9" s="1204"/>
      <c r="S9" s="1204"/>
      <c r="T9" s="215"/>
      <c r="U9" s="730" t="e">
        <f>$L9</f>
        <v>#N/A</v>
      </c>
      <c r="V9" s="816"/>
      <c r="W9" s="170"/>
      <c r="X9" s="196"/>
      <c r="Y9" s="317"/>
      <c r="Z9" s="317"/>
      <c r="AA9" s="317"/>
      <c r="AB9" s="827"/>
      <c r="AC9" s="1290"/>
      <c r="AD9" s="1093"/>
      <c r="AE9" s="1290"/>
      <c r="AF9" s="1093"/>
      <c r="AG9" s="829"/>
      <c r="AH9" s="317"/>
      <c r="AI9" s="317"/>
      <c r="AJ9" s="317"/>
      <c r="AK9" s="757"/>
      <c r="AL9" s="1290"/>
      <c r="AM9" s="1093"/>
      <c r="AN9" s="1290"/>
      <c r="AO9" s="1093"/>
      <c r="AP9" s="196"/>
      <c r="AQ9" s="1307" t="s">
        <v>521</v>
      </c>
      <c r="AS9" s="66"/>
      <c r="AT9" s="66"/>
      <c r="AU9" s="66"/>
      <c r="AV9" s="66"/>
    </row>
    <row r="10" spans="1:48" ht="14.25" hidden="1" customHeight="1">
      <c r="A10" s="761"/>
      <c r="B10" s="761"/>
      <c r="C10" s="761"/>
      <c r="D10" s="761"/>
      <c r="E10" s="1321"/>
      <c r="F10" s="1321"/>
      <c r="G10" s="1321"/>
      <c r="H10" s="1321"/>
      <c r="I10" s="1065"/>
      <c r="J10" s="1065"/>
      <c r="K10" s="1065"/>
      <c r="L10" s="1083"/>
      <c r="M10" s="784"/>
      <c r="N10" s="9"/>
      <c r="O10" s="9"/>
      <c r="P10" s="9"/>
      <c r="Q10" s="1204"/>
      <c r="R10" s="1204"/>
      <c r="S10" s="1204"/>
      <c r="T10" s="215"/>
      <c r="U10" s="62"/>
      <c r="V10" s="170"/>
      <c r="W10" s="170"/>
      <c r="X10" s="196"/>
      <c r="Y10" s="196"/>
      <c r="Z10" s="196"/>
      <c r="AA10" s="196"/>
      <c r="AB10" s="828" t="str">
        <f>AC8&amp;"-"&amp;AE8</f>
        <v>-</v>
      </c>
      <c r="AC10" s="1290"/>
      <c r="AD10" s="1093"/>
      <c r="AE10" s="1290"/>
      <c r="AF10" s="1093"/>
      <c r="AG10" s="807"/>
      <c r="AH10" s="196"/>
      <c r="AI10" s="196"/>
      <c r="AJ10" s="196"/>
      <c r="AK10" s="198" t="str">
        <f>AL8&amp;"-"&amp;AN8</f>
        <v>-</v>
      </c>
      <c r="AL10" s="1290"/>
      <c r="AM10" s="1093"/>
      <c r="AN10" s="1290"/>
      <c r="AO10" s="1093"/>
      <c r="AP10" s="196"/>
      <c r="AQ10" s="1308"/>
      <c r="AS10" s="66"/>
      <c r="AT10" s="66" t="str">
        <f>IF(V10="","",V10)</f>
        <v/>
      </c>
      <c r="AU10" s="66"/>
      <c r="AV10" s="66"/>
    </row>
    <row r="11" spans="1:48" ht="11.25" hidden="1" customHeight="1">
      <c r="A11" s="761"/>
      <c r="B11" s="761"/>
      <c r="C11" s="761"/>
      <c r="D11" s="761"/>
      <c r="E11" s="1321"/>
      <c r="F11" s="1321"/>
      <c r="G11" s="1321"/>
      <c r="H11" s="1321"/>
      <c r="I11" s="1065"/>
      <c r="J11" s="1065"/>
      <c r="K11" s="1083"/>
      <c r="L11" s="761"/>
      <c r="M11" s="784"/>
      <c r="N11" s="9"/>
      <c r="O11" s="9"/>
      <c r="P11" s="9"/>
      <c r="Q11" s="1204"/>
      <c r="R11" s="1204"/>
      <c r="S11" s="1204"/>
      <c r="T11" s="215"/>
      <c r="U11" s="772"/>
      <c r="V11" s="166" t="s">
        <v>522</v>
      </c>
      <c r="W11" s="817"/>
      <c r="X11" s="818"/>
      <c r="Y11" s="818"/>
      <c r="Z11" s="818"/>
      <c r="AA11" s="818"/>
      <c r="AB11" s="819"/>
      <c r="AC11" s="1290"/>
      <c r="AD11" s="1093"/>
      <c r="AE11" s="1290"/>
      <c r="AF11" s="1093"/>
      <c r="AG11" s="818"/>
      <c r="AH11" s="818"/>
      <c r="AI11" s="818"/>
      <c r="AJ11" s="818"/>
      <c r="AK11" s="819"/>
      <c r="AL11" s="1290"/>
      <c r="AM11" s="1093"/>
      <c r="AN11" s="1290"/>
      <c r="AO11" s="1093"/>
      <c r="AP11" s="820"/>
      <c r="AQ11" s="1308"/>
      <c r="AS11" s="66"/>
      <c r="AT11" s="66"/>
      <c r="AU11" s="66"/>
      <c r="AV11" s="66"/>
    </row>
    <row r="12" spans="1:48" ht="15" hidden="1" customHeight="1">
      <c r="A12" s="761"/>
      <c r="B12" s="761"/>
      <c r="C12" s="761"/>
      <c r="D12" s="761"/>
      <c r="E12" s="1321"/>
      <c r="F12" s="1321"/>
      <c r="G12" s="1321"/>
      <c r="H12" s="1321"/>
      <c r="I12" s="1065"/>
      <c r="J12" s="1083"/>
      <c r="K12" s="761"/>
      <c r="L12" s="761"/>
      <c r="M12" s="784"/>
      <c r="N12" s="9"/>
      <c r="O12" s="9"/>
      <c r="Q12" s="1204"/>
      <c r="R12" s="1204"/>
      <c r="S12" s="119"/>
      <c r="T12" s="214"/>
      <c r="U12" s="772"/>
      <c r="V12" s="165" t="s">
        <v>472</v>
      </c>
      <c r="W12" s="221"/>
      <c r="X12" s="221"/>
      <c r="Y12" s="221"/>
      <c r="Z12" s="221"/>
      <c r="AA12" s="221"/>
      <c r="AB12" s="221"/>
      <c r="AC12" s="830"/>
      <c r="AD12" s="830"/>
      <c r="AE12" s="830"/>
      <c r="AF12" s="830"/>
      <c r="AG12" s="221"/>
      <c r="AH12" s="221"/>
      <c r="AI12" s="221"/>
      <c r="AJ12" s="221"/>
      <c r="AK12" s="221"/>
      <c r="AL12" s="221"/>
      <c r="AM12" s="221"/>
      <c r="AN12" s="221"/>
      <c r="AO12" s="221"/>
      <c r="AP12" s="195"/>
      <c r="AQ12" s="1309"/>
      <c r="AS12" s="66"/>
      <c r="AT12" s="66" t="str">
        <f t="shared" ref="AT12:AT17" si="1">IF(V12="","",V12)</f>
        <v>Добавить вид теплоносителя (параметры теплоносителя)</v>
      </c>
      <c r="AU12" s="66"/>
      <c r="AV12" s="66"/>
    </row>
    <row r="13" spans="1:48" ht="11.25" hidden="1" customHeight="1">
      <c r="A13" s="761"/>
      <c r="B13" s="761"/>
      <c r="C13" s="761"/>
      <c r="D13" s="761"/>
      <c r="E13" s="1321"/>
      <c r="F13" s="1321"/>
      <c r="G13" s="1321"/>
      <c r="H13" s="1321"/>
      <c r="I13" s="1083"/>
      <c r="J13" s="761"/>
      <c r="K13" s="761"/>
      <c r="L13" s="761"/>
      <c r="M13" s="784"/>
      <c r="N13" s="9"/>
      <c r="Q13" s="1204"/>
      <c r="R13" s="119"/>
      <c r="S13" s="119"/>
      <c r="T13" s="214"/>
      <c r="U13" s="772"/>
      <c r="V13" s="219" t="s">
        <v>473</v>
      </c>
      <c r="W13" s="221"/>
      <c r="X13" s="221"/>
      <c r="Y13" s="221"/>
      <c r="Z13" s="221"/>
      <c r="AA13" s="221"/>
      <c r="AB13" s="221"/>
      <c r="AC13" s="221"/>
      <c r="AD13" s="221"/>
      <c r="AE13" s="221"/>
      <c r="AF13" s="197"/>
      <c r="AG13" s="221"/>
      <c r="AH13" s="221"/>
      <c r="AI13" s="221"/>
      <c r="AJ13" s="221"/>
      <c r="AK13" s="221"/>
      <c r="AL13" s="221"/>
      <c r="AM13" s="221"/>
      <c r="AN13" s="221"/>
      <c r="AO13" s="197"/>
      <c r="AP13" s="221"/>
      <c r="AQ13" s="173"/>
      <c r="AS13" s="66"/>
      <c r="AT13" s="66" t="str">
        <f t="shared" si="1"/>
        <v>Добавить группу потребителей</v>
      </c>
      <c r="AU13" s="66"/>
      <c r="AV13" s="66"/>
    </row>
    <row r="14" spans="1:48" ht="14.25" hidden="1" customHeight="1">
      <c r="A14" s="761"/>
      <c r="B14" s="761"/>
      <c r="C14" s="761"/>
      <c r="D14" s="761"/>
      <c r="E14" s="1321"/>
      <c r="F14" s="1321"/>
      <c r="G14" s="1321"/>
      <c r="H14" s="1320"/>
      <c r="I14" s="761"/>
      <c r="J14" s="761"/>
      <c r="K14" s="761"/>
      <c r="L14" s="761"/>
      <c r="M14" s="784"/>
      <c r="N14" s="353"/>
      <c r="O14" s="353"/>
      <c r="P14" s="9"/>
      <c r="Q14" s="2"/>
      <c r="R14" s="224"/>
      <c r="S14" s="213"/>
      <c r="T14" s="2"/>
      <c r="U14" s="811"/>
      <c r="V14" s="812"/>
      <c r="W14" s="813"/>
      <c r="X14" s="813"/>
      <c r="Y14" s="813"/>
      <c r="Z14" s="813"/>
      <c r="AA14" s="813"/>
      <c r="AB14" s="813"/>
      <c r="AC14" s="813"/>
      <c r="AD14" s="813"/>
      <c r="AE14" s="813"/>
      <c r="AF14" s="813"/>
      <c r="AG14" s="813"/>
      <c r="AH14" s="813"/>
      <c r="AI14" s="813"/>
      <c r="AJ14" s="813"/>
      <c r="AK14" s="813"/>
      <c r="AL14" s="813"/>
      <c r="AM14" s="813"/>
      <c r="AN14" s="813"/>
      <c r="AO14" s="813"/>
      <c r="AP14" s="813"/>
      <c r="AQ14" s="814"/>
      <c r="AS14" s="66"/>
      <c r="AT14" s="66" t="str">
        <f t="shared" si="1"/>
        <v/>
      </c>
      <c r="AU14" s="66"/>
      <c r="AV14" s="66"/>
    </row>
    <row r="15" spans="1:48" s="65" customFormat="1" ht="14.25" hidden="1" customHeight="1">
      <c r="A15" s="803"/>
      <c r="B15" s="803"/>
      <c r="C15" s="803"/>
      <c r="D15" s="803"/>
      <c r="E15" s="1321"/>
      <c r="F15" s="1321"/>
      <c r="G15" s="1320"/>
      <c r="H15" s="803"/>
      <c r="I15" s="803"/>
      <c r="J15" s="803"/>
      <c r="K15" s="803"/>
      <c r="L15" s="803"/>
      <c r="M15" s="804"/>
      <c r="N15" s="805"/>
      <c r="O15" s="805"/>
      <c r="P15" s="209"/>
      <c r="Q15" s="101"/>
      <c r="R15" s="785"/>
      <c r="S15" s="101"/>
      <c r="T15" s="101"/>
      <c r="U15" s="786"/>
      <c r="V15" s="787" t="s">
        <v>431</v>
      </c>
      <c r="W15" s="788"/>
      <c r="X15" s="788"/>
      <c r="Y15" s="788"/>
      <c r="Z15" s="788"/>
      <c r="AA15" s="788"/>
      <c r="AB15" s="788"/>
      <c r="AC15" s="788"/>
      <c r="AD15" s="788"/>
      <c r="AE15" s="788"/>
      <c r="AF15" s="788"/>
      <c r="AG15" s="788"/>
      <c r="AH15" s="788"/>
      <c r="AI15" s="788"/>
      <c r="AJ15" s="788"/>
      <c r="AK15" s="788"/>
      <c r="AL15" s="788"/>
      <c r="AM15" s="788"/>
      <c r="AN15" s="788"/>
      <c r="AO15" s="788"/>
      <c r="AP15" s="788"/>
      <c r="AQ15" s="788"/>
      <c r="AS15" s="66"/>
      <c r="AT15" s="66" t="str">
        <f t="shared" si="1"/>
        <v>Добавить источник для дифференциации</v>
      </c>
      <c r="AU15" s="66"/>
      <c r="AV15" s="66"/>
    </row>
    <row r="16" spans="1:48" s="65" customFormat="1" ht="14.25" hidden="1" customHeight="1">
      <c r="A16" s="803"/>
      <c r="B16" s="803"/>
      <c r="C16" s="803"/>
      <c r="D16" s="803"/>
      <c r="E16" s="1321"/>
      <c r="F16" s="1320"/>
      <c r="G16" s="803"/>
      <c r="H16" s="803"/>
      <c r="I16" s="803"/>
      <c r="J16" s="803"/>
      <c r="K16" s="803"/>
      <c r="L16" s="803"/>
      <c r="M16" s="804"/>
      <c r="N16" s="806"/>
      <c r="O16" s="806"/>
      <c r="P16" s="209"/>
      <c r="Q16" s="101"/>
      <c r="R16" s="785"/>
      <c r="S16" s="101"/>
      <c r="T16" s="101"/>
      <c r="U16" s="790"/>
      <c r="V16" s="791" t="s">
        <v>432</v>
      </c>
      <c r="W16" s="324"/>
      <c r="X16" s="324"/>
      <c r="Y16" s="324"/>
      <c r="Z16" s="324"/>
      <c r="AA16" s="324"/>
      <c r="AB16" s="324"/>
      <c r="AC16" s="324"/>
      <c r="AD16" s="324"/>
      <c r="AE16" s="324"/>
      <c r="AF16" s="324"/>
      <c r="AG16" s="324"/>
      <c r="AH16" s="324"/>
      <c r="AI16" s="324"/>
      <c r="AJ16" s="324"/>
      <c r="AK16" s="324"/>
      <c r="AL16" s="324"/>
      <c r="AM16" s="324"/>
      <c r="AN16" s="324"/>
      <c r="AO16" s="324"/>
      <c r="AP16" s="324"/>
      <c r="AQ16" s="324"/>
      <c r="AS16" s="66"/>
      <c r="AT16" s="66" t="str">
        <f t="shared" si="1"/>
        <v>Добавить централизованную систему для дифференциации</v>
      </c>
      <c r="AU16" s="66"/>
      <c r="AV16" s="66"/>
    </row>
    <row r="17" spans="1:48" s="65" customFormat="1" ht="14.25" hidden="1" customHeight="1">
      <c r="A17" s="803"/>
      <c r="B17" s="803"/>
      <c r="C17" s="803"/>
      <c r="D17" s="803"/>
      <c r="E17" s="1320"/>
      <c r="F17" s="803"/>
      <c r="G17" s="803"/>
      <c r="H17" s="803"/>
      <c r="I17" s="803"/>
      <c r="J17" s="803"/>
      <c r="K17" s="803"/>
      <c r="L17" s="803"/>
      <c r="M17" s="804"/>
      <c r="N17" s="806"/>
      <c r="O17" s="806"/>
      <c r="P17" s="209"/>
      <c r="Q17" s="101"/>
      <c r="R17" s="785"/>
      <c r="S17" s="101"/>
      <c r="T17" s="101"/>
      <c r="U17" s="790"/>
      <c r="V17" s="792" t="s">
        <v>433</v>
      </c>
      <c r="W17" s="324"/>
      <c r="X17" s="324"/>
      <c r="Y17" s="324"/>
      <c r="Z17" s="324"/>
      <c r="AA17" s="324"/>
      <c r="AB17" s="324"/>
      <c r="AC17" s="324"/>
      <c r="AD17" s="324"/>
      <c r="AE17" s="324"/>
      <c r="AF17" s="324"/>
      <c r="AG17" s="324"/>
      <c r="AH17" s="324"/>
      <c r="AI17" s="324"/>
      <c r="AJ17" s="324"/>
      <c r="AK17" s="324"/>
      <c r="AL17" s="324"/>
      <c r="AM17" s="324"/>
      <c r="AN17" s="324"/>
      <c r="AO17" s="324"/>
      <c r="AP17" s="324"/>
      <c r="AQ17" s="324"/>
      <c r="AS17" s="66"/>
      <c r="AT17" s="66" t="str">
        <f t="shared" si="1"/>
        <v>Добавить территорию для дифференциации</v>
      </c>
      <c r="AU17" s="66"/>
      <c r="AV17" s="66"/>
    </row>
    <row r="18" spans="1:48" ht="14.25" hidden="1" customHeight="1"/>
    <row r="19" spans="1:48" ht="14.25" hidden="1" customHeight="1">
      <c r="AG19" s="378"/>
      <c r="AH19" s="378"/>
      <c r="AI19" s="378"/>
      <c r="AJ19" s="378"/>
      <c r="AK19" s="797"/>
      <c r="AL19" s="1283"/>
      <c r="AM19" s="1282" t="s">
        <v>59</v>
      </c>
      <c r="AN19" s="1283"/>
      <c r="AO19" s="1282" t="s">
        <v>59</v>
      </c>
    </row>
    <row r="20" spans="1:48" ht="14.25" hidden="1" customHeight="1">
      <c r="AG20" s="378"/>
      <c r="AH20" s="378"/>
      <c r="AI20" s="378"/>
      <c r="AJ20" s="378"/>
      <c r="AK20" s="797"/>
      <c r="AL20" s="1283"/>
      <c r="AM20" s="1282"/>
      <c r="AN20" s="1283"/>
      <c r="AO20" s="1282"/>
    </row>
    <row r="21" spans="1:48" ht="14.25" hidden="1" customHeight="1">
      <c r="AG21" s="378"/>
      <c r="AH21" s="378"/>
      <c r="AI21" s="378"/>
      <c r="AJ21" s="378"/>
      <c r="AK21" s="797"/>
      <c r="AL21" s="1283"/>
      <c r="AM21" s="1282"/>
      <c r="AN21" s="1283"/>
      <c r="AO21" s="1282"/>
    </row>
    <row r="22" spans="1:48" ht="14.25" hidden="1" customHeight="1">
      <c r="AG22" s="378"/>
      <c r="AH22" s="378"/>
      <c r="AI22" s="378"/>
      <c r="AJ22" s="378"/>
      <c r="AK22" s="198" t="str">
        <f>AL19&amp;"-"&amp;AN19</f>
        <v>-</v>
      </c>
      <c r="AL22" s="1282"/>
      <c r="AM22" s="1282"/>
      <c r="AN22" s="1282"/>
      <c r="AO22" s="1282"/>
    </row>
    <row r="23" spans="1:48" ht="14.25" hidden="1" customHeight="1"/>
    <row r="24" spans="1:48" s="60" customFormat="1" ht="22.5" hidden="1" customHeight="1">
      <c r="A24" s="9"/>
      <c r="B24" s="9"/>
      <c r="C24" s="9"/>
      <c r="D24" s="9"/>
      <c r="E24" s="9"/>
      <c r="F24" s="9"/>
      <c r="G24" s="9"/>
      <c r="H24" s="9"/>
      <c r="I24" s="9"/>
      <c r="J24" s="9"/>
      <c r="K24" s="9"/>
      <c r="L24" s="9"/>
      <c r="M24" s="56"/>
      <c r="N24" s="32"/>
      <c r="O24" s="32"/>
      <c r="P24" s="185" t="s">
        <v>475</v>
      </c>
      <c r="Q24" s="522"/>
      <c r="R24" s="801"/>
      <c r="S24" s="801"/>
      <c r="T24" s="801"/>
      <c r="U24" s="435"/>
      <c r="AC24" s="800"/>
      <c r="AE24" s="800"/>
      <c r="AL24" s="800"/>
      <c r="AN24" s="800"/>
      <c r="AR24" s="65"/>
      <c r="AS24" s="65"/>
      <c r="AT24" s="65"/>
      <c r="AU24" s="65"/>
      <c r="AV24" s="65"/>
    </row>
    <row r="25" spans="1:48" s="60" customFormat="1" ht="14.25" hidden="1" customHeight="1">
      <c r="A25" s="9"/>
      <c r="B25" s="9"/>
      <c r="C25" s="9"/>
      <c r="D25" s="9"/>
      <c r="E25" s="9"/>
      <c r="F25" s="9"/>
      <c r="G25" s="9"/>
      <c r="H25" s="9"/>
      <c r="I25" s="9"/>
      <c r="J25" s="9"/>
      <c r="K25" s="9"/>
      <c r="L25" s="9"/>
      <c r="M25" s="56"/>
      <c r="N25" s="32"/>
      <c r="O25" s="32"/>
      <c r="P25" s="32"/>
      <c r="Q25" s="522"/>
      <c r="R25" s="801"/>
      <c r="S25" s="801"/>
      <c r="T25" s="801"/>
      <c r="U25" s="435"/>
      <c r="AR25" s="65"/>
      <c r="AS25" s="65"/>
      <c r="AT25" s="65"/>
      <c r="AU25" s="65"/>
      <c r="AV25" s="65"/>
    </row>
    <row r="26" spans="1:48" s="60" customFormat="1" ht="14.25" hidden="1" customHeight="1">
      <c r="A26" s="9"/>
      <c r="B26" s="9"/>
      <c r="C26" s="9"/>
      <c r="D26" s="9"/>
      <c r="E26" s="9"/>
      <c r="F26" s="9"/>
      <c r="G26" s="9"/>
      <c r="H26" s="9"/>
      <c r="I26" s="9"/>
      <c r="J26" s="9"/>
      <c r="K26" s="9"/>
      <c r="L26" s="9"/>
      <c r="M26" s="56"/>
      <c r="N26" s="32"/>
      <c r="O26" s="32"/>
      <c r="P26" s="784" t="s">
        <v>476</v>
      </c>
      <c r="Q26" s="522"/>
      <c r="R26" s="801"/>
      <c r="S26" s="801"/>
      <c r="T26" s="801"/>
      <c r="U26" s="435"/>
      <c r="V26" s="60" t="s">
        <v>477</v>
      </c>
      <c r="AD26" s="79" t="s">
        <v>478</v>
      </c>
      <c r="AF26" s="79" t="s">
        <v>479</v>
      </c>
      <c r="AG26" s="60" t="s">
        <v>477</v>
      </c>
      <c r="AM26" s="79" t="s">
        <v>480</v>
      </c>
      <c r="AO26" s="79" t="s">
        <v>479</v>
      </c>
      <c r="AR26" s="65"/>
      <c r="AS26" s="65"/>
      <c r="AT26" s="65"/>
      <c r="AU26" s="65"/>
      <c r="AV26" s="65"/>
    </row>
    <row r="27" spans="1:48" ht="14.25" hidden="1" customHeight="1">
      <c r="P27" s="784"/>
    </row>
    <row r="28" spans="1:48" ht="14.25" hidden="1" customHeight="1">
      <c r="P28" s="784"/>
    </row>
    <row r="29" spans="1:48" ht="14.25" customHeight="1">
      <c r="R29" s="27"/>
      <c r="S29" s="27"/>
      <c r="T29" s="27"/>
      <c r="U29" s="769"/>
      <c r="V29" s="8"/>
      <c r="W29" s="8"/>
    </row>
    <row r="30" spans="1:48" ht="64.5" customHeight="1">
      <c r="R30" s="27"/>
      <c r="S30" s="27"/>
      <c r="T30" s="27"/>
      <c r="U30" s="131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1310"/>
      <c r="W30" s="1310"/>
      <c r="X30" s="1310"/>
      <c r="Y30" s="1310"/>
      <c r="Z30" s="1310"/>
      <c r="AA30" s="1310"/>
      <c r="AB30" s="1310"/>
      <c r="AC30" s="1310"/>
      <c r="AD30" s="1310"/>
      <c r="AE30" s="1310"/>
      <c r="AF30" s="1310"/>
      <c r="AG30" s="1310"/>
      <c r="AH30" s="1310"/>
      <c r="AI30" s="1310"/>
      <c r="AJ30" s="1310"/>
      <c r="AK30" s="1310"/>
      <c r="AL30" s="1310"/>
      <c r="AM30" s="1310"/>
      <c r="AN30" s="1310"/>
      <c r="AO30" s="57"/>
    </row>
    <row r="31" spans="1:48" ht="14.25" customHeight="1">
      <c r="R31" s="27"/>
      <c r="S31" s="27"/>
      <c r="T31" s="27"/>
      <c r="U31" s="1170" t="str">
        <f>IF(org=0,"Не определено",org)</f>
        <v>ИМУП «ПОСЖИЛКОМСЕРВИС»</v>
      </c>
      <c r="V31" s="1170"/>
      <c r="W31" s="1170"/>
      <c r="X31" s="1170"/>
      <c r="Y31" s="1170"/>
      <c r="Z31" s="1170"/>
      <c r="AA31" s="1170"/>
      <c r="AB31" s="1170"/>
      <c r="AC31" s="1170"/>
      <c r="AD31" s="1170"/>
      <c r="AE31" s="1170"/>
      <c r="AF31" s="1170"/>
      <c r="AG31" s="1170"/>
      <c r="AH31" s="1170"/>
      <c r="AI31" s="1170"/>
      <c r="AJ31" s="1170"/>
      <c r="AK31" s="1170"/>
      <c r="AL31" s="1170"/>
      <c r="AM31" s="1170"/>
      <c r="AN31" s="1170"/>
      <c r="AO31" s="57"/>
    </row>
    <row r="32" spans="1:48" ht="14.25" hidden="1" customHeight="1">
      <c r="R32" s="27"/>
      <c r="S32" s="27"/>
      <c r="T32" s="27"/>
      <c r="U32" s="769"/>
      <c r="V32" s="8"/>
      <c r="W32" s="8"/>
      <c r="X32" s="193"/>
      <c r="Y32" s="193"/>
      <c r="Z32" s="193"/>
      <c r="AA32" s="193"/>
      <c r="AB32" s="193"/>
      <c r="AC32" s="193"/>
      <c r="AD32" s="193"/>
      <c r="AE32" s="193"/>
      <c r="AF32" s="193"/>
      <c r="AG32" s="193"/>
      <c r="AH32" s="193"/>
      <c r="AI32" s="193"/>
      <c r="AJ32" s="193"/>
      <c r="AK32" s="193"/>
      <c r="AL32" s="193"/>
      <c r="AM32" s="193"/>
      <c r="AN32" s="193"/>
      <c r="AO32" s="193"/>
    </row>
    <row r="33" spans="1:48" s="33" customFormat="1" ht="25.5" hidden="1" customHeight="1">
      <c r="A33" s="15"/>
      <c r="B33" s="15"/>
      <c r="C33" s="15"/>
      <c r="D33" s="15"/>
      <c r="E33" s="15"/>
      <c r="F33" s="15"/>
      <c r="G33" s="15"/>
      <c r="H33" s="15"/>
      <c r="I33" s="15"/>
      <c r="J33" s="15"/>
      <c r="K33" s="15"/>
      <c r="L33" s="15"/>
      <c r="M33" s="784"/>
      <c r="N33" s="15"/>
      <c r="O33" s="15"/>
      <c r="P33" s="15"/>
      <c r="U33" s="1276" t="s">
        <v>40</v>
      </c>
      <c r="V33" s="1276"/>
      <c r="W33" s="802"/>
      <c r="X33" s="1278" t="str">
        <f>IF(TITLE_NAME_OR_PR_CHANGE="",IF(TITLE_NAME_OR_PR="","",TITLE_NAME_OR_PR),TITLE_NAME_OR_PR_CHANGE)</f>
        <v/>
      </c>
      <c r="Y33" s="1278"/>
      <c r="Z33" s="1278"/>
      <c r="AA33" s="1278"/>
      <c r="AB33" s="1278"/>
      <c r="AC33" s="1278"/>
      <c r="AD33" s="1278"/>
      <c r="AE33" s="1278"/>
      <c r="AF33" s="9"/>
      <c r="AG33" s="1278" t="str">
        <f>IF(TITLE_NAME_OR_PR_CHANGE="",IF(TITLE_NAME_OR_PR="","",TITLE_NAME_OR_PR),TITLE_NAME_OR_PR_CHANGE)</f>
        <v/>
      </c>
      <c r="AH33" s="1278"/>
      <c r="AI33" s="1278"/>
      <c r="AJ33" s="1278"/>
      <c r="AK33" s="1278"/>
      <c r="AL33" s="1278"/>
      <c r="AM33" s="1278"/>
      <c r="AN33" s="1278"/>
      <c r="AO33" s="9"/>
      <c r="AP33" s="9"/>
      <c r="AQ33" s="162"/>
      <c r="AR33" s="66"/>
      <c r="AS33" s="66"/>
      <c r="AT33" s="66"/>
      <c r="AU33" s="66"/>
      <c r="AV33" s="66"/>
    </row>
    <row r="34" spans="1:48" s="33" customFormat="1" ht="18.75" hidden="1" customHeight="1">
      <c r="A34" s="15"/>
      <c r="B34" s="15"/>
      <c r="C34" s="15"/>
      <c r="D34" s="15"/>
      <c r="E34" s="15"/>
      <c r="F34" s="15"/>
      <c r="G34" s="15"/>
      <c r="H34" s="15"/>
      <c r="I34" s="15"/>
      <c r="J34" s="15"/>
      <c r="K34" s="15"/>
      <c r="L34" s="15"/>
      <c r="M34" s="784"/>
      <c r="N34" s="15"/>
      <c r="O34" s="15"/>
      <c r="P34" s="15"/>
      <c r="U34" s="1276" t="s">
        <v>481</v>
      </c>
      <c r="V34" s="1276"/>
      <c r="W34" s="802"/>
      <c r="X34" s="1277" t="str">
        <f>IF(TITLE_DATE_CHANGE_PERIOD="",IF(TITLE_DATE_PR="","",TITLE_DATE_PR),TITLE_DATE_CHANGE_PERIOD)</f>
        <v/>
      </c>
      <c r="Y34" s="1277"/>
      <c r="Z34" s="1277"/>
      <c r="AA34" s="1277"/>
      <c r="AB34" s="1277"/>
      <c r="AC34" s="1277"/>
      <c r="AD34" s="1277"/>
      <c r="AE34" s="1277"/>
      <c r="AF34" s="9"/>
      <c r="AG34" s="1277" t="str">
        <f>IF(TITLE_DATE_CHANGE_PERIOD="",IF(TITLE_DATE_PR="","",TITLE_DATE_PR),TITLE_DATE_CHANGE_PERIOD)</f>
        <v/>
      </c>
      <c r="AH34" s="1277"/>
      <c r="AI34" s="1277"/>
      <c r="AJ34" s="1277"/>
      <c r="AK34" s="1277"/>
      <c r="AL34" s="1277"/>
      <c r="AM34" s="1277"/>
      <c r="AN34" s="1277"/>
      <c r="AO34" s="9"/>
      <c r="AP34" s="9"/>
      <c r="AQ34" s="162"/>
      <c r="AR34" s="66"/>
      <c r="AS34" s="66"/>
      <c r="AT34" s="66"/>
      <c r="AU34" s="66"/>
      <c r="AV34" s="66"/>
    </row>
    <row r="35" spans="1:48" s="33" customFormat="1" ht="18.75" hidden="1" customHeight="1">
      <c r="A35" s="15"/>
      <c r="B35" s="15"/>
      <c r="C35" s="15"/>
      <c r="D35" s="15"/>
      <c r="E35" s="15"/>
      <c r="F35" s="15"/>
      <c r="G35" s="15"/>
      <c r="H35" s="15"/>
      <c r="I35" s="15"/>
      <c r="J35" s="15"/>
      <c r="K35" s="15"/>
      <c r="L35" s="15"/>
      <c r="M35" s="784"/>
      <c r="N35" s="15"/>
      <c r="O35" s="15"/>
      <c r="P35" s="15"/>
      <c r="U35" s="1276" t="s">
        <v>482</v>
      </c>
      <c r="V35" s="1276"/>
      <c r="W35" s="802"/>
      <c r="X35" s="1278" t="str">
        <f>IF(TITLE_NUMBER_PR_CHANGE="",IF(TITLE_NUMBER_PR="","",TITLE_NUMBER_PR),TITLE_NUMBER_PR_CHANGE)</f>
        <v/>
      </c>
      <c r="Y35" s="1278"/>
      <c r="Z35" s="1278"/>
      <c r="AA35" s="1278"/>
      <c r="AB35" s="1278"/>
      <c r="AC35" s="1278"/>
      <c r="AD35" s="1278"/>
      <c r="AE35" s="1278"/>
      <c r="AF35" s="9"/>
      <c r="AG35" s="1278" t="str">
        <f>IF(TITLE_NUMBER_PR_CHANGE="",IF(TITLE_NUMBER_PR="","",TITLE_NUMBER_PR),TITLE_NUMBER_PR_CHANGE)</f>
        <v/>
      </c>
      <c r="AH35" s="1278"/>
      <c r="AI35" s="1278"/>
      <c r="AJ35" s="1278"/>
      <c r="AK35" s="1278"/>
      <c r="AL35" s="1278"/>
      <c r="AM35" s="1278"/>
      <c r="AN35" s="1278"/>
      <c r="AO35" s="9"/>
      <c r="AP35" s="9"/>
      <c r="AQ35" s="162"/>
      <c r="AR35" s="66"/>
      <c r="AS35" s="66"/>
      <c r="AT35" s="66"/>
      <c r="AU35" s="66"/>
      <c r="AV35" s="66"/>
    </row>
    <row r="36" spans="1:48" s="33" customFormat="1" ht="18.75" hidden="1" customHeight="1">
      <c r="A36" s="15"/>
      <c r="B36" s="15"/>
      <c r="C36" s="15"/>
      <c r="D36" s="15"/>
      <c r="E36" s="15"/>
      <c r="F36" s="15"/>
      <c r="G36" s="15"/>
      <c r="H36" s="15"/>
      <c r="I36" s="15"/>
      <c r="J36" s="15"/>
      <c r="K36" s="15"/>
      <c r="L36" s="15"/>
      <c r="M36" s="784"/>
      <c r="N36" s="15"/>
      <c r="O36" s="15"/>
      <c r="P36" s="15"/>
      <c r="U36" s="1276" t="s">
        <v>41</v>
      </c>
      <c r="V36" s="1276"/>
      <c r="W36" s="802"/>
      <c r="X36" s="1278" t="str">
        <f>IF(TITLE_IST_PUB_CHANGE="",IF(TITLE_IST_PUB="","",TITLE_IST_PUB),TITLE_IST_PUB_CHANGE)</f>
        <v/>
      </c>
      <c r="Y36" s="1278"/>
      <c r="Z36" s="1278"/>
      <c r="AA36" s="1278"/>
      <c r="AB36" s="1278"/>
      <c r="AC36" s="1278"/>
      <c r="AD36" s="1278"/>
      <c r="AE36" s="1278"/>
      <c r="AF36" s="9"/>
      <c r="AG36" s="1278" t="str">
        <f>IF(TITLE_IST_PUB_CHANGE="",IF(TITLE_IST_PUB="","",TITLE_IST_PUB),TITLE_IST_PUB_CHANGE)</f>
        <v/>
      </c>
      <c r="AH36" s="1278"/>
      <c r="AI36" s="1278"/>
      <c r="AJ36" s="1278"/>
      <c r="AK36" s="1278"/>
      <c r="AL36" s="1278"/>
      <c r="AM36" s="1278"/>
      <c r="AN36" s="1278"/>
      <c r="AO36" s="9"/>
      <c r="AP36" s="9"/>
      <c r="AQ36" s="162"/>
      <c r="AR36" s="66"/>
      <c r="AS36" s="66"/>
      <c r="AT36" s="66"/>
      <c r="AU36" s="66"/>
      <c r="AV36" s="66"/>
    </row>
    <row r="37" spans="1:48" ht="14.25" hidden="1" customHeight="1">
      <c r="R37" s="27"/>
      <c r="S37" s="27"/>
      <c r="T37" s="27"/>
      <c r="U37" s="769"/>
      <c r="V37" s="8"/>
      <c r="W37" s="8"/>
      <c r="X37" s="193"/>
      <c r="Y37" s="193"/>
      <c r="Z37" s="193"/>
      <c r="AA37" s="193"/>
      <c r="AB37" s="193"/>
      <c r="AC37" s="193"/>
      <c r="AD37" s="193"/>
      <c r="AE37" s="193"/>
      <c r="AF37" s="193"/>
      <c r="AG37" s="193"/>
      <c r="AH37" s="193"/>
      <c r="AI37" s="193"/>
      <c r="AJ37" s="193"/>
      <c r="AK37" s="193"/>
      <c r="AL37" s="193"/>
      <c r="AM37" s="193"/>
      <c r="AN37" s="193"/>
      <c r="AO37" s="193"/>
    </row>
    <row r="38" spans="1:48" s="33" customFormat="1" ht="18.75" hidden="1" customHeight="1">
      <c r="A38" s="15"/>
      <c r="B38" s="15"/>
      <c r="C38" s="15"/>
      <c r="D38" s="15"/>
      <c r="E38" s="15"/>
      <c r="F38" s="15"/>
      <c r="G38" s="15"/>
      <c r="H38" s="15"/>
      <c r="I38" s="15"/>
      <c r="J38" s="15"/>
      <c r="K38" s="15"/>
      <c r="L38" s="15"/>
      <c r="M38" s="784"/>
      <c r="N38" s="15"/>
      <c r="O38" s="15"/>
      <c r="P38" s="15"/>
      <c r="U38" s="1276" t="s">
        <v>483</v>
      </c>
      <c r="V38" s="1276"/>
      <c r="W38" s="802"/>
      <c r="X38" s="1277" t="str">
        <f>IF(TITLE_DATE_CHANGE_PERIOD="",IF(TITLE_DATE_PR="","",TITLE_DATE_PR),TITLE_DATE_CHANGE_PERIOD)</f>
        <v/>
      </c>
      <c r="Y38" s="1277"/>
      <c r="Z38" s="1277"/>
      <c r="AA38" s="1277"/>
      <c r="AB38" s="1277"/>
      <c r="AC38" s="1277"/>
      <c r="AD38" s="1277"/>
      <c r="AE38" s="1277"/>
      <c r="AF38" s="9"/>
      <c r="AG38" s="1277" t="str">
        <f>IF(TITLE_DATE_CHANGE_PERIOD="",IF(TITLE_DATE_PR="","",TITLE_DATE_PR),TITLE_DATE_CHANGE_PERIOD)</f>
        <v/>
      </c>
      <c r="AH38" s="1277"/>
      <c r="AI38" s="1277"/>
      <c r="AJ38" s="1277"/>
      <c r="AK38" s="1277"/>
      <c r="AL38" s="1277"/>
      <c r="AM38" s="1277"/>
      <c r="AN38" s="1277"/>
      <c r="AO38" s="9"/>
      <c r="AP38" s="9"/>
      <c r="AQ38" s="162"/>
      <c r="AR38" s="66"/>
      <c r="AS38" s="66"/>
      <c r="AT38" s="66"/>
      <c r="AU38" s="66"/>
      <c r="AV38" s="66"/>
    </row>
    <row r="39" spans="1:48" s="33" customFormat="1" ht="18.75" hidden="1" customHeight="1">
      <c r="A39" s="15"/>
      <c r="B39" s="15"/>
      <c r="C39" s="15"/>
      <c r="D39" s="15"/>
      <c r="E39" s="15"/>
      <c r="F39" s="15"/>
      <c r="G39" s="15"/>
      <c r="H39" s="15"/>
      <c r="I39" s="15"/>
      <c r="J39" s="15"/>
      <c r="K39" s="15"/>
      <c r="L39" s="15"/>
      <c r="M39" s="784"/>
      <c r="N39" s="15"/>
      <c r="O39" s="15"/>
      <c r="P39" s="15"/>
      <c r="U39" s="1276" t="s">
        <v>484</v>
      </c>
      <c r="V39" s="1276"/>
      <c r="W39" s="802"/>
      <c r="X39" s="1278" t="str">
        <f>IF(TITLE_NUMBER_PR_CHANGE="",IF(TITLE_NUMBER_PR="","",TITLE_NUMBER_PR),TITLE_NUMBER_PR_CHANGE)</f>
        <v/>
      </c>
      <c r="Y39" s="1278"/>
      <c r="Z39" s="1278"/>
      <c r="AA39" s="1278"/>
      <c r="AB39" s="1278"/>
      <c r="AC39" s="1278"/>
      <c r="AD39" s="1278"/>
      <c r="AE39" s="1278"/>
      <c r="AF39" s="9"/>
      <c r="AG39" s="1278" t="str">
        <f>IF(TITLE_NUMBER_PR_CHANGE="",IF(TITLE_NUMBER_PR="","",TITLE_NUMBER_PR),TITLE_NUMBER_PR_CHANGE)</f>
        <v/>
      </c>
      <c r="AH39" s="1278"/>
      <c r="AI39" s="1278"/>
      <c r="AJ39" s="1278"/>
      <c r="AK39" s="1278"/>
      <c r="AL39" s="1278"/>
      <c r="AM39" s="1278"/>
      <c r="AN39" s="1278"/>
      <c r="AO39" s="9"/>
      <c r="AP39" s="9"/>
      <c r="AQ39" s="162"/>
      <c r="AR39" s="66"/>
      <c r="AS39" s="66"/>
      <c r="AT39" s="66"/>
      <c r="AU39" s="66"/>
      <c r="AV39" s="66"/>
    </row>
    <row r="40" spans="1:48" s="33" customFormat="1" ht="0" hidden="1" customHeight="1">
      <c r="A40" s="15"/>
      <c r="B40" s="15"/>
      <c r="C40" s="15"/>
      <c r="D40" s="15"/>
      <c r="E40" s="15"/>
      <c r="F40" s="15"/>
      <c r="G40" s="15"/>
      <c r="H40" s="15"/>
      <c r="I40" s="15"/>
      <c r="J40" s="15"/>
      <c r="K40" s="15"/>
      <c r="L40" s="15"/>
      <c r="M40" s="784"/>
      <c r="N40" s="15"/>
      <c r="O40" s="15"/>
      <c r="P40" s="15"/>
      <c r="U40" s="9"/>
      <c r="V40" s="9"/>
      <c r="W40" s="75"/>
      <c r="X40" s="9"/>
      <c r="Y40" s="9"/>
      <c r="Z40" s="9"/>
      <c r="AA40" s="9"/>
      <c r="AB40" s="9"/>
      <c r="AC40" s="9"/>
      <c r="AD40" s="9"/>
      <c r="AE40" s="9"/>
      <c r="AF40" s="65" t="s">
        <v>485</v>
      </c>
      <c r="AG40" s="9"/>
      <c r="AH40" s="9"/>
      <c r="AI40" s="9"/>
      <c r="AJ40" s="9"/>
      <c r="AK40" s="9"/>
      <c r="AL40" s="9"/>
      <c r="AM40" s="9"/>
      <c r="AN40" s="9"/>
      <c r="AO40" s="65" t="s">
        <v>485</v>
      </c>
      <c r="AR40" s="66"/>
      <c r="AS40" s="66"/>
      <c r="AT40" s="66"/>
      <c r="AU40" s="66"/>
      <c r="AV40" s="66"/>
    </row>
    <row r="41" spans="1:48" ht="14.25" customHeight="1">
      <c r="R41" s="27"/>
      <c r="S41" s="27"/>
      <c r="T41" s="27"/>
      <c r="U41" s="769"/>
      <c r="V41" s="8"/>
      <c r="W41" s="741"/>
      <c r="X41" s="1296"/>
      <c r="Y41" s="1296"/>
      <c r="Z41" s="1296"/>
      <c r="AA41" s="1296"/>
      <c r="AB41" s="1296"/>
      <c r="AC41" s="1296"/>
      <c r="AD41" s="1296"/>
      <c r="AE41" s="1296"/>
      <c r="AF41" s="1296"/>
      <c r="AG41" s="1296"/>
      <c r="AH41" s="1296"/>
      <c r="AI41" s="1296"/>
      <c r="AJ41" s="1296"/>
      <c r="AK41" s="1296"/>
      <c r="AL41" s="1296"/>
      <c r="AM41" s="1296"/>
      <c r="AN41" s="1296"/>
      <c r="AO41" s="1296"/>
    </row>
    <row r="42" spans="1:48" ht="14.25" customHeight="1">
      <c r="R42" s="27"/>
      <c r="S42" s="27"/>
      <c r="T42" s="27"/>
      <c r="U42" s="1083" t="s">
        <v>288</v>
      </c>
      <c r="V42" s="1083"/>
      <c r="W42" s="1083"/>
      <c r="X42" s="1083"/>
      <c r="Y42" s="1083"/>
      <c r="Z42" s="1083"/>
      <c r="AA42" s="1083"/>
      <c r="AB42" s="1083"/>
      <c r="AC42" s="1083"/>
      <c r="AD42" s="1083"/>
      <c r="AE42" s="1083"/>
      <c r="AF42" s="1083"/>
      <c r="AG42" s="1083"/>
      <c r="AH42" s="1083"/>
      <c r="AI42" s="1083"/>
      <c r="AJ42" s="1083"/>
      <c r="AK42" s="1083"/>
      <c r="AL42" s="1083"/>
      <c r="AM42" s="1083"/>
      <c r="AN42" s="1083"/>
      <c r="AO42" s="1083"/>
      <c r="AP42" s="1083"/>
      <c r="AQ42" s="1083" t="s">
        <v>289</v>
      </c>
    </row>
    <row r="43" spans="1:48" ht="14.25" customHeight="1">
      <c r="R43" s="27"/>
      <c r="S43" s="27"/>
      <c r="T43" s="27"/>
      <c r="U43" s="1297" t="s">
        <v>88</v>
      </c>
      <c r="V43" s="1168" t="s">
        <v>486</v>
      </c>
      <c r="W43" s="171"/>
      <c r="X43" s="1298" t="s">
        <v>487</v>
      </c>
      <c r="Y43" s="1313"/>
      <c r="Z43" s="1313"/>
      <c r="AA43" s="1313"/>
      <c r="AB43" s="1313"/>
      <c r="AC43" s="1299"/>
      <c r="AD43" s="1299"/>
      <c r="AE43" s="1300"/>
      <c r="AF43" s="1301" t="s">
        <v>488</v>
      </c>
      <c r="AG43" s="1298" t="s">
        <v>487</v>
      </c>
      <c r="AH43" s="1313"/>
      <c r="AI43" s="1313"/>
      <c r="AJ43" s="1313"/>
      <c r="AK43" s="1313"/>
      <c r="AL43" s="1299"/>
      <c r="AM43" s="1299"/>
      <c r="AN43" s="1300"/>
      <c r="AO43" s="1301" t="s">
        <v>489</v>
      </c>
      <c r="AP43" s="1304" t="s">
        <v>490</v>
      </c>
      <c r="AQ43" s="1083"/>
    </row>
    <row r="44" spans="1:48" ht="33.75" customHeight="1">
      <c r="R44" s="27"/>
      <c r="S44" s="27"/>
      <c r="T44" s="27"/>
      <c r="U44" s="1297"/>
      <c r="V44" s="1168"/>
      <c r="W44" s="626"/>
      <c r="X44" s="1138" t="s">
        <v>523</v>
      </c>
      <c r="Y44" s="1083" t="s">
        <v>524</v>
      </c>
      <c r="Z44" s="1083"/>
      <c r="AA44" s="1083"/>
      <c r="AB44" s="1083"/>
      <c r="AC44" s="1138" t="s">
        <v>494</v>
      </c>
      <c r="AD44" s="1318"/>
      <c r="AE44" s="1139"/>
      <c r="AF44" s="1302"/>
      <c r="AG44" s="1138" t="s">
        <v>523</v>
      </c>
      <c r="AH44" s="1083" t="s">
        <v>524</v>
      </c>
      <c r="AI44" s="1083"/>
      <c r="AJ44" s="1083"/>
      <c r="AK44" s="1083"/>
      <c r="AL44" s="1138" t="s">
        <v>494</v>
      </c>
      <c r="AM44" s="1318"/>
      <c r="AN44" s="1139"/>
      <c r="AO44" s="1302"/>
      <c r="AP44" s="1305"/>
      <c r="AQ44" s="1083"/>
    </row>
    <row r="45" spans="1:48" ht="14.25" customHeight="1">
      <c r="R45" s="27"/>
      <c r="S45" s="27"/>
      <c r="T45" s="27"/>
      <c r="U45" s="1297"/>
      <c r="V45" s="1168"/>
      <c r="W45" s="626"/>
      <c r="X45" s="1140"/>
      <c r="Y45" s="1175" t="s">
        <v>525</v>
      </c>
      <c r="Z45" s="1174" t="s">
        <v>526</v>
      </c>
      <c r="AA45" s="1187"/>
      <c r="AB45" s="1188"/>
      <c r="AC45" s="1143"/>
      <c r="AD45" s="1319"/>
      <c r="AE45" s="1144"/>
      <c r="AF45" s="1302"/>
      <c r="AG45" s="1140"/>
      <c r="AH45" s="1175" t="s">
        <v>525</v>
      </c>
      <c r="AI45" s="1174" t="s">
        <v>526</v>
      </c>
      <c r="AJ45" s="1187"/>
      <c r="AK45" s="1188"/>
      <c r="AL45" s="1143"/>
      <c r="AM45" s="1319"/>
      <c r="AN45" s="1144"/>
      <c r="AO45" s="1302"/>
      <c r="AP45" s="1305"/>
      <c r="AQ45" s="1083"/>
    </row>
    <row r="46" spans="1:48" ht="25.5" customHeight="1">
      <c r="R46" s="27"/>
      <c r="S46" s="27"/>
      <c r="T46" s="27"/>
      <c r="U46" s="1297"/>
      <c r="V46" s="1168"/>
      <c r="W46" s="626"/>
      <c r="X46" s="1140"/>
      <c r="Y46" s="1317"/>
      <c r="Z46" s="1175" t="s">
        <v>527</v>
      </c>
      <c r="AA46" s="1174" t="s">
        <v>528</v>
      </c>
      <c r="AB46" s="1188"/>
      <c r="AC46" s="1175" t="s">
        <v>504</v>
      </c>
      <c r="AD46" s="1179" t="s">
        <v>505</v>
      </c>
      <c r="AE46" s="1177"/>
      <c r="AF46" s="1302"/>
      <c r="AG46" s="1140"/>
      <c r="AH46" s="1317"/>
      <c r="AI46" s="1175" t="s">
        <v>527</v>
      </c>
      <c r="AJ46" s="1174" t="s">
        <v>528</v>
      </c>
      <c r="AK46" s="1188"/>
      <c r="AL46" s="1175" t="s">
        <v>504</v>
      </c>
      <c r="AM46" s="1179" t="s">
        <v>505</v>
      </c>
      <c r="AN46" s="1177"/>
      <c r="AO46" s="1302"/>
      <c r="AP46" s="1305"/>
      <c r="AQ46" s="1083"/>
    </row>
    <row r="47" spans="1:48" ht="62.25" customHeight="1">
      <c r="A47" s="15"/>
      <c r="B47" s="15" t="s">
        <v>137</v>
      </c>
      <c r="C47" s="15" t="s">
        <v>138</v>
      </c>
      <c r="D47" s="15" t="s">
        <v>139</v>
      </c>
      <c r="E47" s="784" t="s">
        <v>495</v>
      </c>
      <c r="F47" s="784" t="s">
        <v>496</v>
      </c>
      <c r="G47" s="784" t="s">
        <v>497</v>
      </c>
      <c r="H47" s="784" t="s">
        <v>498</v>
      </c>
      <c r="I47" s="784" t="s">
        <v>499</v>
      </c>
      <c r="J47" s="784" t="s">
        <v>500</v>
      </c>
      <c r="K47" s="784" t="s">
        <v>501</v>
      </c>
      <c r="L47" s="784" t="s">
        <v>529</v>
      </c>
      <c r="M47" s="784" t="s">
        <v>476</v>
      </c>
      <c r="R47" s="27"/>
      <c r="S47" s="27"/>
      <c r="T47" s="27"/>
      <c r="U47" s="1297"/>
      <c r="V47" s="1168"/>
      <c r="W47" s="172"/>
      <c r="X47" s="1143"/>
      <c r="Y47" s="1176"/>
      <c r="Z47" s="1176"/>
      <c r="AA47" s="37" t="s">
        <v>530</v>
      </c>
      <c r="AB47" s="37" t="s">
        <v>531</v>
      </c>
      <c r="AC47" s="1176"/>
      <c r="AD47" s="1180"/>
      <c r="AE47" s="1178"/>
      <c r="AF47" s="1303"/>
      <c r="AG47" s="1143"/>
      <c r="AH47" s="1176"/>
      <c r="AI47" s="1176"/>
      <c r="AJ47" s="37" t="s">
        <v>530</v>
      </c>
      <c r="AK47" s="37" t="s">
        <v>531</v>
      </c>
      <c r="AL47" s="1176"/>
      <c r="AM47" s="1180"/>
      <c r="AN47" s="1178"/>
      <c r="AO47" s="1303"/>
      <c r="AP47" s="1306"/>
      <c r="AQ47" s="1083"/>
    </row>
    <row r="48" spans="1:48" s="209" customFormat="1" ht="11.25" hidden="1" customHeight="1">
      <c r="A48" s="15"/>
      <c r="B48" s="15"/>
      <c r="C48" s="15"/>
      <c r="D48" s="15"/>
      <c r="E48" s="15"/>
      <c r="F48" s="15"/>
      <c r="G48" s="15"/>
      <c r="H48" s="15"/>
      <c r="I48" s="15"/>
      <c r="J48" s="15"/>
      <c r="K48" s="15"/>
      <c r="L48" s="15"/>
      <c r="M48" s="784"/>
      <c r="N48" s="32"/>
      <c r="O48" s="32"/>
      <c r="P48" s="32"/>
      <c r="Q48" s="743"/>
      <c r="R48" s="744"/>
      <c r="S48" s="752">
        <v>1</v>
      </c>
      <c r="T48" s="752"/>
      <c r="U48" s="771" t="s">
        <v>110</v>
      </c>
      <c r="V48" s="753" t="s">
        <v>111</v>
      </c>
      <c r="W48" s="742" t="str">
        <f ca="1">OFFSET(W48,0,-1)</f>
        <v>2</v>
      </c>
      <c r="X48" s="754">
        <f ca="1">OFFSET(X48,0,-1)+1</f>
        <v>3</v>
      </c>
      <c r="Y48" s="298"/>
      <c r="Z48" s="298"/>
      <c r="AA48" s="298">
        <f ca="1">OFFSET(AA48,0,-1)+1</f>
        <v>1</v>
      </c>
      <c r="AB48" s="298">
        <f ca="1">OFFSET(AB48,0,-1)+1</f>
        <v>2</v>
      </c>
      <c r="AC48" s="754">
        <f ca="1">OFFSET(AC48,0,-1)+1</f>
        <v>3</v>
      </c>
      <c r="AD48" s="1295">
        <f ca="1">OFFSET(AD48,0,-1)+1</f>
        <v>4</v>
      </c>
      <c r="AE48" s="1295"/>
      <c r="AF48" s="754">
        <f ca="1">OFFSET(AF48,0,-2)+1</f>
        <v>5</v>
      </c>
      <c r="AG48" s="754">
        <f ca="1">OFFSET(AG48,0,-1)+1</f>
        <v>6</v>
      </c>
      <c r="AH48" s="754"/>
      <c r="AI48" s="754"/>
      <c r="AJ48" s="754">
        <f ca="1">OFFSET(AJ48,0,-1)+1</f>
        <v>1</v>
      </c>
      <c r="AK48" s="754">
        <f ca="1">OFFSET(AK48,0,-1)+1</f>
        <v>2</v>
      </c>
      <c r="AL48" s="754">
        <f ca="1">OFFSET(AL48,0,-1)+1</f>
        <v>3</v>
      </c>
      <c r="AM48" s="1295">
        <f ca="1">OFFSET(AM48,0,-1)+1</f>
        <v>4</v>
      </c>
      <c r="AN48" s="1295"/>
      <c r="AO48" s="754">
        <f ca="1">OFFSET(AO48,0,-2)+1</f>
        <v>5</v>
      </c>
      <c r="AP48" s="742">
        <f ca="1">OFFSET(AP48,0,-1)</f>
        <v>5</v>
      </c>
      <c r="AQ48" s="754">
        <f ca="1">OFFSET(AQ48,0,-1)+1</f>
        <v>6</v>
      </c>
      <c r="AR48" s="65"/>
      <c r="AS48" s="65"/>
      <c r="AT48" s="65"/>
      <c r="AU48" s="65"/>
      <c r="AV48" s="65"/>
    </row>
    <row r="49" spans="1:48" ht="21" customHeight="1">
      <c r="A49" s="761" t="s">
        <v>176</v>
      </c>
      <c r="B49" s="761"/>
      <c r="C49" s="761"/>
      <c r="D49" s="761"/>
      <c r="E49" s="1320">
        <v>1</v>
      </c>
      <c r="F49" s="761"/>
      <c r="G49" s="761"/>
      <c r="H49" s="761"/>
      <c r="I49" s="761"/>
      <c r="J49" s="761"/>
      <c r="K49" s="761"/>
      <c r="L49" s="761"/>
      <c r="M49" s="784"/>
      <c r="N49" s="353"/>
      <c r="O49" s="353"/>
      <c r="P49" s="353"/>
      <c r="R49" s="2"/>
      <c r="S49" s="2"/>
      <c r="T49" s="213"/>
      <c r="U49" s="730">
        <f>INDEX(PT_DIFFERENTIATION_NUM_NTAR,MATCH(A49,PT_DIFFERENTIATION_NTAR_ID,0))</f>
        <v>0</v>
      </c>
      <c r="V49" s="64" t="s">
        <v>125</v>
      </c>
      <c r="W49" s="170"/>
      <c r="X49" s="1279"/>
      <c r="Y49" s="1280"/>
      <c r="Z49" s="1280"/>
      <c r="AA49" s="1280"/>
      <c r="AB49" s="1280"/>
      <c r="AC49" s="1280"/>
      <c r="AD49" s="1280"/>
      <c r="AE49" s="1280"/>
      <c r="AF49" s="1281"/>
      <c r="AG49" s="1279" t="str">
        <f>INDEX(PT_DIFFERENTIATION_NTAR,MATCH(A49,PT_DIFFERENTIATION_NTAR_ID,0))</f>
        <v/>
      </c>
      <c r="AH49" s="1280"/>
      <c r="AI49" s="1280"/>
      <c r="AJ49" s="1280"/>
      <c r="AK49" s="1280"/>
      <c r="AL49" s="1280"/>
      <c r="AM49" s="1280"/>
      <c r="AN49" s="1280"/>
      <c r="AO49" s="1280"/>
      <c r="AP49" s="1281"/>
      <c r="AQ49" s="7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6"/>
      <c r="AT49" s="66" t="str">
        <f t="shared" ref="AT49:AT65" si="2">IF(V49="","",V49)</f>
        <v>Наименование тарифа</v>
      </c>
      <c r="AU49" s="66"/>
      <c r="AV49" s="66"/>
    </row>
    <row r="50" spans="1:48" ht="21" customHeight="1">
      <c r="A50" s="761" t="s">
        <v>176</v>
      </c>
      <c r="B50" s="761" t="s">
        <v>177</v>
      </c>
      <c r="C50" s="761"/>
      <c r="D50" s="761"/>
      <c r="E50" s="1321"/>
      <c r="F50" s="1320">
        <v>1</v>
      </c>
      <c r="G50" s="761"/>
      <c r="H50" s="761"/>
      <c r="I50" s="761"/>
      <c r="J50" s="761"/>
      <c r="K50" s="761"/>
      <c r="L50" s="761"/>
      <c r="M50" s="784"/>
      <c r="N50" s="353"/>
      <c r="O50" s="353"/>
      <c r="P50" s="353"/>
      <c r="Q50" s="56"/>
      <c r="R50" s="210"/>
      <c r="S50" s="9"/>
      <c r="T50" s="211"/>
      <c r="U50" s="730" t="str">
        <f>INDEX(PT_DIFFERENTIATION_NUM_TER,MATCH(B50,PT_DIFFERENTIATION_TER_ID,0))</f>
        <v>.</v>
      </c>
      <c r="V50" s="178" t="s">
        <v>458</v>
      </c>
      <c r="W50" s="170"/>
      <c r="X50" s="1279"/>
      <c r="Y50" s="1280"/>
      <c r="Z50" s="1280"/>
      <c r="AA50" s="1280"/>
      <c r="AB50" s="1280"/>
      <c r="AC50" s="1280"/>
      <c r="AD50" s="1280"/>
      <c r="AE50" s="1280"/>
      <c r="AF50" s="1281"/>
      <c r="AG50" s="1279" t="str">
        <f>INDEX(PT_DIFFERENTIATION_TER,MATCH(B50,PT_DIFFERENTIATION_TER_ID,0))</f>
        <v/>
      </c>
      <c r="AH50" s="1280"/>
      <c r="AI50" s="1280"/>
      <c r="AJ50" s="1280"/>
      <c r="AK50" s="1280"/>
      <c r="AL50" s="1280"/>
      <c r="AM50" s="1280"/>
      <c r="AN50" s="1280"/>
      <c r="AO50" s="1280"/>
      <c r="AP50" s="1281"/>
      <c r="AQ50" s="758" t="s">
        <v>459</v>
      </c>
      <c r="AS50" s="66"/>
      <c r="AT50" s="66" t="str">
        <f t="shared" si="2"/>
        <v>Территория действия тарифа</v>
      </c>
      <c r="AU50" s="66"/>
      <c r="AV50" s="66"/>
    </row>
    <row r="51" spans="1:48" ht="22.5" customHeight="1">
      <c r="A51" s="761" t="s">
        <v>176</v>
      </c>
      <c r="B51" s="761" t="s">
        <v>177</v>
      </c>
      <c r="C51" s="761" t="s">
        <v>178</v>
      </c>
      <c r="D51" s="761"/>
      <c r="E51" s="1321"/>
      <c r="F51" s="1321"/>
      <c r="G51" s="1320">
        <v>1</v>
      </c>
      <c r="H51" s="761"/>
      <c r="I51" s="761"/>
      <c r="J51" s="761"/>
      <c r="K51" s="761"/>
      <c r="L51" s="761"/>
      <c r="M51" s="784"/>
      <c r="N51" s="353"/>
      <c r="O51" s="353"/>
      <c r="P51" s="353"/>
      <c r="Q51" s="212"/>
      <c r="R51" s="210"/>
      <c r="S51" s="9"/>
      <c r="T51" s="211"/>
      <c r="U51" s="730" t="str">
        <f>INDEX(PT_DIFFERENTIATION_NUM_CS,MATCH(C51,PT_DIFFERENTIATION_CS_ID,0))</f>
        <v>..</v>
      </c>
      <c r="V51" s="179" t="s">
        <v>460</v>
      </c>
      <c r="W51" s="170"/>
      <c r="X51" s="1279"/>
      <c r="Y51" s="1280"/>
      <c r="Z51" s="1280"/>
      <c r="AA51" s="1280"/>
      <c r="AB51" s="1280"/>
      <c r="AC51" s="1280"/>
      <c r="AD51" s="1280"/>
      <c r="AE51" s="1280"/>
      <c r="AF51" s="1281"/>
      <c r="AG51" s="1279" t="str">
        <f>INDEX(PT_DIFFERENTIATION_CS,MATCH(C51,PT_DIFFERENTIATION_CS_ID,0))</f>
        <v/>
      </c>
      <c r="AH51" s="1280"/>
      <c r="AI51" s="1280"/>
      <c r="AJ51" s="1280"/>
      <c r="AK51" s="1280"/>
      <c r="AL51" s="1280"/>
      <c r="AM51" s="1280"/>
      <c r="AN51" s="1280"/>
      <c r="AO51" s="1280"/>
      <c r="AP51" s="1281"/>
      <c r="AQ51" s="758" t="s">
        <v>461</v>
      </c>
      <c r="AS51" s="66"/>
      <c r="AT51" s="66" t="str">
        <f t="shared" si="2"/>
        <v xml:space="preserve">Наименование системы теплоснабжения </v>
      </c>
      <c r="AU51" s="66"/>
      <c r="AV51" s="66"/>
    </row>
    <row r="52" spans="1:48" ht="21" customHeight="1">
      <c r="A52" s="761" t="s">
        <v>176</v>
      </c>
      <c r="B52" s="761" t="s">
        <v>177</v>
      </c>
      <c r="C52" s="761" t="s">
        <v>178</v>
      </c>
      <c r="D52" s="761" t="s">
        <v>179</v>
      </c>
      <c r="E52" s="1321"/>
      <c r="F52" s="1321"/>
      <c r="G52" s="1321"/>
      <c r="H52" s="1320">
        <v>1</v>
      </c>
      <c r="I52" s="761"/>
      <c r="J52" s="761"/>
      <c r="K52" s="761"/>
      <c r="L52" s="761"/>
      <c r="M52" s="784"/>
      <c r="N52" s="353"/>
      <c r="O52" s="353"/>
      <c r="P52" s="353"/>
      <c r="Q52" s="212"/>
      <c r="R52" s="210"/>
      <c r="S52" s="9"/>
      <c r="T52" s="211"/>
      <c r="U52" s="730" t="str">
        <f>INDEX(PT_DIFFERENTIATION_NUM_IST_TE,MATCH(D52,PT_DIFFERENTIATION_IST_TE_ID,0))</f>
        <v>...</v>
      </c>
      <c r="V52" s="180" t="s">
        <v>462</v>
      </c>
      <c r="W52" s="170"/>
      <c r="X52" s="1279"/>
      <c r="Y52" s="1280"/>
      <c r="Z52" s="1280"/>
      <c r="AA52" s="1280"/>
      <c r="AB52" s="1280"/>
      <c r="AC52" s="1280"/>
      <c r="AD52" s="1280"/>
      <c r="AE52" s="1280"/>
      <c r="AF52" s="1281"/>
      <c r="AG52" s="1279" t="str">
        <f>INDEX(PT_DIFFERENTIATION_IST_TE,MATCH(D52,PT_DIFFERENTIATION_IST_TE_ID,0))</f>
        <v/>
      </c>
      <c r="AH52" s="1280"/>
      <c r="AI52" s="1280"/>
      <c r="AJ52" s="1280"/>
      <c r="AK52" s="1280"/>
      <c r="AL52" s="1280"/>
      <c r="AM52" s="1280"/>
      <c r="AN52" s="1280"/>
      <c r="AO52" s="1280"/>
      <c r="AP52" s="1281"/>
      <c r="AQ52" s="758" t="s">
        <v>463</v>
      </c>
      <c r="AS52" s="66"/>
      <c r="AT52" s="66" t="str">
        <f t="shared" si="2"/>
        <v xml:space="preserve">Источник тепловой энергии  </v>
      </c>
      <c r="AU52" s="66"/>
      <c r="AV52" s="66"/>
    </row>
    <row r="53" spans="1:48" s="65" customFormat="1" ht="0" hidden="1" customHeight="1">
      <c r="A53" s="803" t="s">
        <v>176</v>
      </c>
      <c r="B53" s="803" t="s">
        <v>177</v>
      </c>
      <c r="C53" s="803" t="s">
        <v>178</v>
      </c>
      <c r="D53" s="803" t="s">
        <v>179</v>
      </c>
      <c r="E53" s="1321"/>
      <c r="F53" s="1321"/>
      <c r="G53" s="1321"/>
      <c r="H53" s="1321"/>
      <c r="I53" s="1083" t="str">
        <f>U52&amp;".1"</f>
        <v>....1</v>
      </c>
      <c r="J53" s="803"/>
      <c r="K53" s="803"/>
      <c r="L53" s="803"/>
      <c r="M53" s="804" t="s">
        <v>464</v>
      </c>
      <c r="N53" s="743"/>
      <c r="O53" s="743"/>
      <c r="P53" s="743"/>
      <c r="Q53" s="1204">
        <v>1</v>
      </c>
      <c r="R53" s="119"/>
      <c r="S53" s="119"/>
      <c r="T53" s="214"/>
      <c r="U53" s="373"/>
      <c r="V53" s="808"/>
      <c r="W53" s="809"/>
      <c r="X53" s="1314"/>
      <c r="Y53" s="1315"/>
      <c r="Z53" s="1315"/>
      <c r="AA53" s="1315"/>
      <c r="AB53" s="1315"/>
      <c r="AC53" s="1315"/>
      <c r="AD53" s="1315"/>
      <c r="AE53" s="1315"/>
      <c r="AF53" s="1316"/>
      <c r="AG53" s="1314"/>
      <c r="AH53" s="1315"/>
      <c r="AI53" s="1315"/>
      <c r="AJ53" s="1315"/>
      <c r="AK53" s="1315"/>
      <c r="AL53" s="1315"/>
      <c r="AM53" s="1315"/>
      <c r="AN53" s="1315"/>
      <c r="AO53" s="1315"/>
      <c r="AP53" s="1316"/>
      <c r="AQ53" s="810"/>
      <c r="AS53" s="66"/>
      <c r="AT53" s="66" t="str">
        <f t="shared" si="2"/>
        <v/>
      </c>
      <c r="AU53" s="66"/>
      <c r="AV53" s="66"/>
    </row>
    <row r="54" spans="1:48" ht="21" customHeight="1">
      <c r="A54" s="761" t="s">
        <v>176</v>
      </c>
      <c r="B54" s="761" t="s">
        <v>177</v>
      </c>
      <c r="C54" s="761" t="s">
        <v>178</v>
      </c>
      <c r="D54" s="761" t="s">
        <v>179</v>
      </c>
      <c r="E54" s="1321"/>
      <c r="F54" s="1321"/>
      <c r="G54" s="1321"/>
      <c r="H54" s="1321"/>
      <c r="I54" s="1065"/>
      <c r="J54" s="1083" t="str">
        <f>I53&amp;".1"</f>
        <v>....1.1</v>
      </c>
      <c r="K54" s="761"/>
      <c r="L54" s="761"/>
      <c r="M54" s="784" t="s">
        <v>467</v>
      </c>
      <c r="Q54" s="1204"/>
      <c r="R54" s="1204">
        <v>1</v>
      </c>
      <c r="S54" s="65"/>
      <c r="T54" s="215"/>
      <c r="U54" s="730" t="str">
        <f>$J54</f>
        <v>....1.1</v>
      </c>
      <c r="V54" s="164" t="s">
        <v>468</v>
      </c>
      <c r="W54" s="170"/>
      <c r="X54" s="1273"/>
      <c r="Y54" s="1274"/>
      <c r="Z54" s="1274"/>
      <c r="AA54" s="1274"/>
      <c r="AB54" s="1274"/>
      <c r="AC54" s="1191"/>
      <c r="AD54" s="1191"/>
      <c r="AE54" s="1191"/>
      <c r="AF54" s="1322"/>
      <c r="AG54" s="1273"/>
      <c r="AH54" s="1274"/>
      <c r="AI54" s="1274"/>
      <c r="AJ54" s="1274"/>
      <c r="AK54" s="1274"/>
      <c r="AL54" s="1274"/>
      <c r="AM54" s="1274"/>
      <c r="AN54" s="1274"/>
      <c r="AO54" s="1274"/>
      <c r="AP54" s="1275"/>
      <c r="AQ54" s="758" t="s">
        <v>469</v>
      </c>
      <c r="AS54" s="66"/>
      <c r="AT54" s="66" t="str">
        <f t="shared" si="2"/>
        <v>Группа потребителей</v>
      </c>
      <c r="AU54" s="66"/>
      <c r="AV54" s="66"/>
    </row>
    <row r="55" spans="1:48" ht="21" customHeight="1">
      <c r="A55" s="761" t="s">
        <v>176</v>
      </c>
      <c r="B55" s="761" t="s">
        <v>177</v>
      </c>
      <c r="C55" s="761" t="s">
        <v>178</v>
      </c>
      <c r="D55" s="761" t="s">
        <v>179</v>
      </c>
      <c r="E55" s="1321"/>
      <c r="F55" s="1321"/>
      <c r="G55" s="1321"/>
      <c r="H55" s="1321"/>
      <c r="I55" s="1065"/>
      <c r="J55" s="1065"/>
      <c r="K55" s="1083" t="str">
        <f>J54&amp;".1"</f>
        <v>....1.1.1</v>
      </c>
      <c r="L55" s="56"/>
      <c r="M55" s="784" t="s">
        <v>470</v>
      </c>
      <c r="Q55" s="1204"/>
      <c r="R55" s="1204"/>
      <c r="S55" s="65">
        <v>1</v>
      </c>
      <c r="T55" s="215"/>
      <c r="U55" s="730" t="str">
        <f>$K55</f>
        <v>....1.1.1</v>
      </c>
      <c r="V55" s="794"/>
      <c r="W55" s="170"/>
      <c r="X55" s="317"/>
      <c r="Y55" s="317"/>
      <c r="Z55" s="317"/>
      <c r="AA55" s="317"/>
      <c r="AB55" s="827"/>
      <c r="AC55" s="1289"/>
      <c r="AD55" s="1093" t="s">
        <v>59</v>
      </c>
      <c r="AE55" s="1289"/>
      <c r="AF55" s="1093" t="s">
        <v>59</v>
      </c>
      <c r="AG55" s="829"/>
      <c r="AH55" s="317"/>
      <c r="AI55" s="317"/>
      <c r="AJ55" s="317"/>
      <c r="AK55" s="757"/>
      <c r="AL55" s="1289"/>
      <c r="AM55" s="1093" t="s">
        <v>59</v>
      </c>
      <c r="AN55" s="1289"/>
      <c r="AO55" s="1093" t="s">
        <v>59</v>
      </c>
      <c r="AP55" s="795"/>
      <c r="AQ55" s="783" t="s">
        <v>520</v>
      </c>
      <c r="AR55" s="65" t="e">
        <f ca="1">STRCHECKDATE(X57:AP57)</f>
        <v>#NAME?</v>
      </c>
      <c r="AS55" s="66"/>
      <c r="AT55" s="66" t="str">
        <f t="shared" si="2"/>
        <v/>
      </c>
      <c r="AU55" s="66"/>
      <c r="AV55" s="66"/>
    </row>
    <row r="56" spans="1:48" ht="11.25" customHeight="1">
      <c r="A56" s="761" t="s">
        <v>176</v>
      </c>
      <c r="B56" s="761" t="s">
        <v>177</v>
      </c>
      <c r="C56" s="761" t="s">
        <v>178</v>
      </c>
      <c r="D56" s="761" t="s">
        <v>179</v>
      </c>
      <c r="E56" s="1321"/>
      <c r="F56" s="1321"/>
      <c r="G56" s="1321"/>
      <c r="H56" s="1321"/>
      <c r="I56" s="1065"/>
      <c r="J56" s="1065"/>
      <c r="K56" s="1065"/>
      <c r="L56" s="1083" t="str">
        <f>K55&amp;".1"</f>
        <v>....1.1.1.1</v>
      </c>
      <c r="M56" s="784"/>
      <c r="Q56" s="1204"/>
      <c r="R56" s="1204"/>
      <c r="S56" s="65">
        <v>1</v>
      </c>
      <c r="T56" s="215"/>
      <c r="U56" s="730" t="str">
        <f>$L56</f>
        <v>....1.1.1.1</v>
      </c>
      <c r="V56" s="816"/>
      <c r="W56" s="170"/>
      <c r="X56" s="196"/>
      <c r="Y56" s="317"/>
      <c r="Z56" s="317"/>
      <c r="AA56" s="317"/>
      <c r="AB56" s="827"/>
      <c r="AC56" s="1290"/>
      <c r="AD56" s="1093"/>
      <c r="AE56" s="1290"/>
      <c r="AF56" s="1093"/>
      <c r="AG56" s="829"/>
      <c r="AH56" s="317"/>
      <c r="AI56" s="317"/>
      <c r="AJ56" s="317"/>
      <c r="AK56" s="757"/>
      <c r="AL56" s="1290"/>
      <c r="AM56" s="1093"/>
      <c r="AN56" s="1290"/>
      <c r="AO56" s="1093"/>
      <c r="AP56" s="795"/>
      <c r="AQ56" s="1307" t="s">
        <v>521</v>
      </c>
      <c r="AR56" s="65" t="e">
        <f ca="1">STRCHECKDATE(X58:AP58)</f>
        <v>#NAME?</v>
      </c>
      <c r="AS56" s="66"/>
      <c r="AT56" s="66" t="str">
        <f t="shared" si="2"/>
        <v/>
      </c>
      <c r="AU56" s="66"/>
      <c r="AV56" s="66"/>
    </row>
    <row r="57" spans="1:48" ht="0" hidden="1" customHeight="1">
      <c r="A57" s="761" t="s">
        <v>176</v>
      </c>
      <c r="B57" s="761" t="s">
        <v>177</v>
      </c>
      <c r="C57" s="761" t="s">
        <v>178</v>
      </c>
      <c r="D57" s="761" t="s">
        <v>179</v>
      </c>
      <c r="E57" s="1321"/>
      <c r="F57" s="1321"/>
      <c r="G57" s="1321"/>
      <c r="H57" s="1321"/>
      <c r="I57" s="1065"/>
      <c r="J57" s="1065"/>
      <c r="K57" s="1065"/>
      <c r="L57" s="1083"/>
      <c r="M57" s="784"/>
      <c r="Q57" s="1204"/>
      <c r="R57" s="1204"/>
      <c r="S57" s="65"/>
      <c r="T57" s="215"/>
      <c r="U57" s="62"/>
      <c r="V57" s="170"/>
      <c r="W57" s="170"/>
      <c r="X57" s="196"/>
      <c r="Y57" s="196"/>
      <c r="Z57" s="196"/>
      <c r="AA57" s="196"/>
      <c r="AB57" s="828" t="str">
        <f>AC55&amp;"-"&amp;AE55</f>
        <v>-</v>
      </c>
      <c r="AC57" s="1290"/>
      <c r="AD57" s="1093"/>
      <c r="AE57" s="1290"/>
      <c r="AF57" s="1093"/>
      <c r="AG57" s="807"/>
      <c r="AH57" s="196"/>
      <c r="AI57" s="196"/>
      <c r="AJ57" s="196"/>
      <c r="AK57" s="198" t="str">
        <f>AL55&amp;"-"&amp;AN55</f>
        <v>-</v>
      </c>
      <c r="AL57" s="1290"/>
      <c r="AM57" s="1093"/>
      <c r="AN57" s="1290"/>
      <c r="AO57" s="1093"/>
      <c r="AP57" s="796"/>
      <c r="AQ57" s="1308"/>
      <c r="AS57" s="66"/>
      <c r="AT57" s="66" t="str">
        <f t="shared" si="2"/>
        <v/>
      </c>
      <c r="AU57" s="66"/>
      <c r="AV57" s="66"/>
    </row>
    <row r="58" spans="1:48" ht="11.25" customHeight="1">
      <c r="A58" s="761" t="s">
        <v>176</v>
      </c>
      <c r="B58" s="761" t="s">
        <v>177</v>
      </c>
      <c r="C58" s="761" t="s">
        <v>178</v>
      </c>
      <c r="D58" s="761" t="s">
        <v>179</v>
      </c>
      <c r="E58" s="1321"/>
      <c r="F58" s="1321"/>
      <c r="G58" s="1321"/>
      <c r="H58" s="1321"/>
      <c r="I58" s="1065"/>
      <c r="J58" s="1065"/>
      <c r="K58" s="1083"/>
      <c r="L58" s="761"/>
      <c r="M58" s="784"/>
      <c r="Q58" s="1204"/>
      <c r="R58" s="1204"/>
      <c r="S58" s="119"/>
      <c r="T58" s="214"/>
      <c r="U58" s="772"/>
      <c r="V58" s="166" t="s">
        <v>522</v>
      </c>
      <c r="W58" s="221"/>
      <c r="X58" s="221"/>
      <c r="Y58" s="221"/>
      <c r="Z58" s="221"/>
      <c r="AA58" s="221"/>
      <c r="AB58" s="221"/>
      <c r="AC58" s="1290"/>
      <c r="AD58" s="1093"/>
      <c r="AE58" s="1290"/>
      <c r="AF58" s="1093"/>
      <c r="AG58" s="221"/>
      <c r="AH58" s="221"/>
      <c r="AI58" s="221"/>
      <c r="AJ58" s="221"/>
      <c r="AK58" s="221"/>
      <c r="AL58" s="1290"/>
      <c r="AM58" s="1093"/>
      <c r="AN58" s="1290"/>
      <c r="AO58" s="1093"/>
      <c r="AP58" s="195"/>
      <c r="AQ58" s="1308"/>
      <c r="AS58" s="66"/>
      <c r="AT58" s="66" t="str">
        <f t="shared" si="2"/>
        <v>Добавить наименование поставщика</v>
      </c>
      <c r="AU58" s="66"/>
      <c r="AV58" s="66"/>
    </row>
    <row r="59" spans="1:48" ht="11.25" customHeight="1">
      <c r="A59" s="761" t="s">
        <v>176</v>
      </c>
      <c r="B59" s="761" t="s">
        <v>177</v>
      </c>
      <c r="C59" s="761" t="s">
        <v>178</v>
      </c>
      <c r="D59" s="761" t="s">
        <v>179</v>
      </c>
      <c r="E59" s="1321"/>
      <c r="F59" s="1321"/>
      <c r="G59" s="1321"/>
      <c r="H59" s="1321"/>
      <c r="I59" s="1065"/>
      <c r="J59" s="1083"/>
      <c r="K59" s="761"/>
      <c r="L59" s="761"/>
      <c r="M59" s="784"/>
      <c r="Q59" s="1204"/>
      <c r="R59" s="1204"/>
      <c r="S59" s="119"/>
      <c r="T59" s="214"/>
      <c r="U59" s="772"/>
      <c r="V59" s="165" t="s">
        <v>472</v>
      </c>
      <c r="W59" s="221"/>
      <c r="X59" s="221"/>
      <c r="Y59" s="221"/>
      <c r="Z59" s="221"/>
      <c r="AA59" s="221"/>
      <c r="AB59" s="221"/>
      <c r="AC59" s="830"/>
      <c r="AD59" s="830"/>
      <c r="AE59" s="830"/>
      <c r="AF59" s="830"/>
      <c r="AG59" s="221"/>
      <c r="AH59" s="221"/>
      <c r="AI59" s="221"/>
      <c r="AJ59" s="221"/>
      <c r="AK59" s="221"/>
      <c r="AL59" s="221"/>
      <c r="AM59" s="221"/>
      <c r="AN59" s="221"/>
      <c r="AO59" s="221"/>
      <c r="AP59" s="195"/>
      <c r="AQ59" s="1309"/>
      <c r="AS59" s="66"/>
      <c r="AT59" s="66" t="str">
        <f t="shared" si="2"/>
        <v>Добавить вид теплоносителя (параметры теплоносителя)</v>
      </c>
      <c r="AU59" s="66"/>
      <c r="AV59" s="66"/>
    </row>
    <row r="60" spans="1:48" ht="11.25" customHeight="1">
      <c r="A60" s="761" t="s">
        <v>176</v>
      </c>
      <c r="B60" s="761" t="s">
        <v>177</v>
      </c>
      <c r="C60" s="761" t="s">
        <v>178</v>
      </c>
      <c r="D60" s="761" t="s">
        <v>179</v>
      </c>
      <c r="E60" s="1321"/>
      <c r="F60" s="1321"/>
      <c r="G60" s="1321"/>
      <c r="H60" s="1321"/>
      <c r="I60" s="1083"/>
      <c r="J60" s="761"/>
      <c r="K60" s="761"/>
      <c r="L60" s="761"/>
      <c r="M60" s="784"/>
      <c r="Q60" s="1204"/>
      <c r="R60" s="119"/>
      <c r="S60" s="119"/>
      <c r="T60" s="214"/>
      <c r="U60" s="772"/>
      <c r="V60" s="219" t="s">
        <v>473</v>
      </c>
      <c r="W60" s="221"/>
      <c r="X60" s="221"/>
      <c r="Y60" s="221"/>
      <c r="Z60" s="221"/>
      <c r="AA60" s="221"/>
      <c r="AB60" s="221"/>
      <c r="AC60" s="221"/>
      <c r="AD60" s="221"/>
      <c r="AE60" s="221"/>
      <c r="AF60" s="197"/>
      <c r="AG60" s="221"/>
      <c r="AH60" s="221"/>
      <c r="AI60" s="221"/>
      <c r="AJ60" s="221"/>
      <c r="AK60" s="221"/>
      <c r="AL60" s="221"/>
      <c r="AM60" s="221"/>
      <c r="AN60" s="221"/>
      <c r="AO60" s="197"/>
      <c r="AP60" s="221"/>
      <c r="AQ60" s="173"/>
      <c r="AS60" s="66"/>
      <c r="AT60" s="66" t="str">
        <f t="shared" si="2"/>
        <v>Добавить группу потребителей</v>
      </c>
      <c r="AU60" s="66"/>
      <c r="AV60" s="66"/>
    </row>
    <row r="61" spans="1:48" ht="0" hidden="1" customHeight="1">
      <c r="A61" s="761" t="s">
        <v>176</v>
      </c>
      <c r="B61" s="761" t="s">
        <v>177</v>
      </c>
      <c r="C61" s="761" t="s">
        <v>178</v>
      </c>
      <c r="D61" s="761" t="s">
        <v>179</v>
      </c>
      <c r="E61" s="1321"/>
      <c r="F61" s="1321"/>
      <c r="G61" s="1321"/>
      <c r="H61" s="1320"/>
      <c r="I61" s="761"/>
      <c r="J61" s="761"/>
      <c r="K61" s="761"/>
      <c r="L61" s="761"/>
      <c r="M61" s="784"/>
      <c r="N61" s="353"/>
      <c r="O61" s="353"/>
      <c r="P61" s="9"/>
      <c r="Q61" s="2"/>
      <c r="R61" s="224"/>
      <c r="S61" s="213"/>
      <c r="T61" s="2"/>
      <c r="U61" s="811"/>
      <c r="V61" s="812"/>
      <c r="W61" s="813"/>
      <c r="X61" s="813"/>
      <c r="Y61" s="813"/>
      <c r="Z61" s="813"/>
      <c r="AA61" s="813"/>
      <c r="AB61" s="813"/>
      <c r="AC61" s="813"/>
      <c r="AD61" s="813"/>
      <c r="AE61" s="813"/>
      <c r="AF61" s="813"/>
      <c r="AG61" s="813"/>
      <c r="AH61" s="813"/>
      <c r="AI61" s="813"/>
      <c r="AJ61" s="813"/>
      <c r="AK61" s="813"/>
      <c r="AL61" s="813"/>
      <c r="AM61" s="813"/>
      <c r="AN61" s="813"/>
      <c r="AO61" s="813"/>
      <c r="AP61" s="813"/>
      <c r="AQ61" s="814"/>
      <c r="AS61" s="66"/>
      <c r="AT61" s="66" t="str">
        <f t="shared" si="2"/>
        <v/>
      </c>
      <c r="AU61" s="66"/>
      <c r="AV61" s="66"/>
    </row>
    <row r="62" spans="1:48" s="65" customFormat="1" ht="0" hidden="1" customHeight="1">
      <c r="A62" s="803" t="s">
        <v>176</v>
      </c>
      <c r="B62" s="803" t="s">
        <v>177</v>
      </c>
      <c r="C62" s="803" t="s">
        <v>178</v>
      </c>
      <c r="D62" s="803"/>
      <c r="E62" s="1321"/>
      <c r="F62" s="1321"/>
      <c r="G62" s="1320"/>
      <c r="H62" s="803"/>
      <c r="I62" s="803"/>
      <c r="J62" s="803"/>
      <c r="K62" s="803"/>
      <c r="L62" s="803"/>
      <c r="M62" s="804"/>
      <c r="N62" s="805"/>
      <c r="O62" s="805"/>
      <c r="P62" s="209"/>
      <c r="Q62" s="101"/>
      <c r="R62" s="785"/>
      <c r="S62" s="101"/>
      <c r="T62" s="101"/>
      <c r="U62" s="790"/>
      <c r="V62" s="792" t="s">
        <v>431</v>
      </c>
      <c r="W62" s="324"/>
      <c r="X62" s="324"/>
      <c r="Y62" s="324"/>
      <c r="Z62" s="324"/>
      <c r="AA62" s="324"/>
      <c r="AB62" s="324"/>
      <c r="AC62" s="324"/>
      <c r="AD62" s="324"/>
      <c r="AE62" s="324"/>
      <c r="AF62" s="324"/>
      <c r="AG62" s="324"/>
      <c r="AH62" s="324"/>
      <c r="AI62" s="324"/>
      <c r="AJ62" s="324"/>
      <c r="AK62" s="324"/>
      <c r="AL62" s="324"/>
      <c r="AM62" s="324"/>
      <c r="AN62" s="324"/>
      <c r="AO62" s="324"/>
      <c r="AP62" s="324"/>
      <c r="AQ62" s="324"/>
      <c r="AS62" s="66"/>
      <c r="AT62" s="66" t="str">
        <f t="shared" si="2"/>
        <v>Добавить источник для дифференциации</v>
      </c>
      <c r="AU62" s="66"/>
      <c r="AV62" s="66"/>
    </row>
    <row r="63" spans="1:48" s="65" customFormat="1" ht="0" hidden="1" customHeight="1">
      <c r="A63" s="803" t="s">
        <v>176</v>
      </c>
      <c r="B63" s="803" t="s">
        <v>177</v>
      </c>
      <c r="C63" s="803"/>
      <c r="D63" s="803"/>
      <c r="E63" s="1321"/>
      <c r="F63" s="1320"/>
      <c r="G63" s="803"/>
      <c r="H63" s="803"/>
      <c r="I63" s="803"/>
      <c r="J63" s="803"/>
      <c r="K63" s="803"/>
      <c r="L63" s="803"/>
      <c r="M63" s="804"/>
      <c r="N63" s="806"/>
      <c r="O63" s="806"/>
      <c r="P63" s="209"/>
      <c r="Q63" s="101"/>
      <c r="R63" s="785"/>
      <c r="S63" s="101"/>
      <c r="T63" s="101"/>
      <c r="U63" s="790"/>
      <c r="V63" s="792" t="s">
        <v>432</v>
      </c>
      <c r="W63" s="324"/>
      <c r="X63" s="324"/>
      <c r="Y63" s="324"/>
      <c r="Z63" s="324"/>
      <c r="AA63" s="324"/>
      <c r="AB63" s="324"/>
      <c r="AC63" s="324"/>
      <c r="AD63" s="324"/>
      <c r="AE63" s="324"/>
      <c r="AF63" s="324"/>
      <c r="AG63" s="324"/>
      <c r="AH63" s="324"/>
      <c r="AI63" s="324"/>
      <c r="AJ63" s="324"/>
      <c r="AK63" s="324"/>
      <c r="AL63" s="324"/>
      <c r="AM63" s="324"/>
      <c r="AN63" s="324"/>
      <c r="AO63" s="324"/>
      <c r="AP63" s="324"/>
      <c r="AQ63" s="324"/>
      <c r="AS63" s="66"/>
      <c r="AT63" s="66" t="str">
        <f t="shared" si="2"/>
        <v>Добавить централизованную систему для дифференциации</v>
      </c>
      <c r="AU63" s="66"/>
      <c r="AV63" s="66"/>
    </row>
    <row r="64" spans="1:48" s="65" customFormat="1" ht="0" hidden="1" customHeight="1">
      <c r="A64" s="803" t="s">
        <v>176</v>
      </c>
      <c r="B64" s="803"/>
      <c r="C64" s="803"/>
      <c r="D64" s="803"/>
      <c r="E64" s="1320"/>
      <c r="F64" s="803"/>
      <c r="G64" s="803"/>
      <c r="H64" s="803"/>
      <c r="I64" s="803"/>
      <c r="J64" s="803"/>
      <c r="K64" s="803"/>
      <c r="L64" s="803"/>
      <c r="M64" s="804"/>
      <c r="N64" s="806"/>
      <c r="O64" s="806"/>
      <c r="P64" s="209"/>
      <c r="Q64" s="101"/>
      <c r="R64" s="785"/>
      <c r="S64" s="101"/>
      <c r="T64" s="101"/>
      <c r="U64" s="790"/>
      <c r="V64" s="792" t="s">
        <v>433</v>
      </c>
      <c r="W64" s="324"/>
      <c r="X64" s="324"/>
      <c r="Y64" s="324"/>
      <c r="Z64" s="324"/>
      <c r="AA64" s="324"/>
      <c r="AB64" s="324"/>
      <c r="AC64" s="324"/>
      <c r="AD64" s="324"/>
      <c r="AE64" s="324"/>
      <c r="AF64" s="324"/>
      <c r="AG64" s="324"/>
      <c r="AH64" s="324"/>
      <c r="AI64" s="324"/>
      <c r="AJ64" s="324"/>
      <c r="AK64" s="324"/>
      <c r="AL64" s="324"/>
      <c r="AM64" s="324"/>
      <c r="AN64" s="324"/>
      <c r="AO64" s="324"/>
      <c r="AP64" s="324"/>
      <c r="AQ64" s="324"/>
      <c r="AS64" s="66"/>
      <c r="AT64" s="66" t="str">
        <f t="shared" si="2"/>
        <v>Добавить территорию для дифференциации</v>
      </c>
      <c r="AU64" s="66"/>
      <c r="AV64" s="66"/>
    </row>
    <row r="65" spans="1:48" s="65" customFormat="1" ht="5.25" customHeight="1">
      <c r="A65" s="803"/>
      <c r="B65" s="803"/>
      <c r="C65" s="803"/>
      <c r="D65" s="803"/>
      <c r="E65" s="803"/>
      <c r="F65" s="803"/>
      <c r="G65" s="803"/>
      <c r="H65" s="803"/>
      <c r="I65" s="803"/>
      <c r="J65" s="803"/>
      <c r="K65" s="803"/>
      <c r="L65" s="803"/>
      <c r="M65" s="804"/>
      <c r="N65" s="806"/>
      <c r="O65" s="806"/>
      <c r="P65" s="209"/>
      <c r="Q65" s="101"/>
      <c r="R65" s="785"/>
      <c r="S65" s="101"/>
      <c r="T65" s="101"/>
      <c r="U65" s="790"/>
      <c r="V65" s="792" t="s">
        <v>434</v>
      </c>
      <c r="W65" s="324"/>
      <c r="X65" s="324"/>
      <c r="Y65" s="324"/>
      <c r="Z65" s="324"/>
      <c r="AA65" s="324"/>
      <c r="AB65" s="324"/>
      <c r="AC65" s="324"/>
      <c r="AD65" s="324"/>
      <c r="AE65" s="324"/>
      <c r="AF65" s="324"/>
      <c r="AG65" s="324"/>
      <c r="AH65" s="324"/>
      <c r="AI65" s="324"/>
      <c r="AJ65" s="324"/>
      <c r="AK65" s="324"/>
      <c r="AL65" s="324"/>
      <c r="AM65" s="324"/>
      <c r="AN65" s="324"/>
      <c r="AO65" s="324"/>
      <c r="AP65" s="324"/>
      <c r="AQ65" s="324"/>
      <c r="AS65" s="66"/>
      <c r="AT65" s="66" t="str">
        <f t="shared" si="2"/>
        <v>Добавить наименование тарифа</v>
      </c>
      <c r="AU65" s="66"/>
      <c r="AV65" s="66"/>
    </row>
    <row r="66" spans="1:48" ht="11.25" hidden="1" customHeight="1">
      <c r="N66" s="9"/>
      <c r="O66" s="9"/>
      <c r="P66" s="9"/>
      <c r="Q66" s="9"/>
      <c r="R66" s="9"/>
      <c r="S66" s="9"/>
      <c r="T66" s="9"/>
      <c r="U66" s="9"/>
      <c r="AR66" s="9"/>
      <c r="AS66" s="9"/>
      <c r="AT66" s="9"/>
      <c r="AU66" s="9"/>
      <c r="AV66" s="9"/>
    </row>
    <row r="67" spans="1:48" ht="33.75" hidden="1" customHeight="1">
      <c r="P67" s="9"/>
      <c r="U67" s="204" t="s">
        <v>506</v>
      </c>
      <c r="V67" s="1284" t="s">
        <v>516</v>
      </c>
      <c r="W67" s="1284"/>
      <c r="X67" s="1284"/>
      <c r="Y67" s="1284"/>
      <c r="Z67" s="1284"/>
      <c r="AA67" s="1284"/>
      <c r="AB67" s="1284"/>
      <c r="AC67" s="1284"/>
      <c r="AD67" s="1284"/>
      <c r="AE67" s="1284"/>
      <c r="AF67" s="1284"/>
      <c r="AG67" s="1284"/>
      <c r="AH67" s="1284"/>
      <c r="AI67" s="1284"/>
      <c r="AJ67" s="1284"/>
      <c r="AK67" s="1284"/>
      <c r="AL67" s="1284"/>
      <c r="AM67" s="1284"/>
      <c r="AN67" s="1284"/>
      <c r="AO67" s="1284"/>
      <c r="AP67" s="1284"/>
      <c r="AQ67" s="1284"/>
    </row>
    <row r="68" spans="1:48" ht="19.5" hidden="1" customHeight="1">
      <c r="P68" s="9"/>
      <c r="V68" s="1284" t="s">
        <v>532</v>
      </c>
      <c r="W68" s="1284"/>
      <c r="X68" s="1284"/>
      <c r="Y68" s="1284"/>
      <c r="Z68" s="1284"/>
      <c r="AA68" s="1284"/>
      <c r="AB68" s="1284"/>
      <c r="AC68" s="1284"/>
      <c r="AD68" s="1284"/>
      <c r="AE68" s="1284"/>
      <c r="AF68" s="1284"/>
      <c r="AG68" s="1284"/>
      <c r="AH68" s="1284"/>
      <c r="AI68" s="1284"/>
      <c r="AJ68" s="1284"/>
      <c r="AK68" s="1284"/>
      <c r="AL68" s="1284"/>
      <c r="AM68" s="1284"/>
      <c r="AN68" s="1284"/>
      <c r="AO68" s="1284"/>
      <c r="AP68" s="1284"/>
      <c r="AQ68" s="1284"/>
    </row>
    <row r="69" spans="1:48" ht="14.25" hidden="1" customHeight="1">
      <c r="P69" s="9"/>
    </row>
    <row r="70" spans="1:48" ht="27" hidden="1" customHeight="1">
      <c r="P70" s="9"/>
      <c r="V70" s="1284" t="s">
        <v>533</v>
      </c>
      <c r="W70" s="1284"/>
      <c r="X70" s="1284"/>
      <c r="Y70" s="1284"/>
      <c r="Z70" s="1284"/>
      <c r="AA70" s="1284"/>
      <c r="AB70" s="1284"/>
      <c r="AC70" s="1284"/>
      <c r="AD70" s="1284"/>
      <c r="AE70" s="1284"/>
      <c r="AF70" s="1284"/>
      <c r="AG70" s="1284"/>
      <c r="AH70" s="1284"/>
      <c r="AI70" s="1284"/>
      <c r="AJ70" s="1284"/>
      <c r="AK70" s="1284"/>
      <c r="AL70" s="1284"/>
      <c r="AM70" s="1284"/>
      <c r="AN70" s="1284"/>
      <c r="AO70" s="1284"/>
      <c r="AP70" s="1284"/>
      <c r="AQ70" s="1284"/>
    </row>
    <row r="71" spans="1:48" ht="18" hidden="1" customHeight="1">
      <c r="P71" s="9"/>
      <c r="V71" s="1284" t="s">
        <v>532</v>
      </c>
      <c r="W71" s="1284"/>
      <c r="X71" s="1284"/>
      <c r="Y71" s="1284"/>
      <c r="Z71" s="1284"/>
      <c r="AA71" s="1284"/>
      <c r="AB71" s="1284"/>
      <c r="AC71" s="1284"/>
      <c r="AD71" s="1284"/>
      <c r="AE71" s="1284"/>
      <c r="AF71" s="1284"/>
      <c r="AG71" s="1284"/>
      <c r="AH71" s="1284"/>
      <c r="AI71" s="1284"/>
      <c r="AJ71" s="1284"/>
      <c r="AK71" s="1284"/>
      <c r="AL71" s="1284"/>
      <c r="AM71" s="1284"/>
      <c r="AN71" s="1284"/>
      <c r="AO71" s="1284"/>
      <c r="AP71" s="1284"/>
      <c r="AQ71" s="1284"/>
    </row>
    <row r="72" spans="1:48" ht="14.25" hidden="1" customHeight="1"/>
    <row r="73" spans="1:48" ht="14.25" hidden="1" customHeight="1"/>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xr:uid="{00000000-0002-0000-1200-000000000000}">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xr:uid="{00000000-0002-0000-1200-000001000000}">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xr:uid="{00000000-0002-0000-1200-000002000000}">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xr:uid="{00000000-0002-0000-1200-0000030000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xr:uid="{00000000-0002-0000-12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xr:uid="{00000000-0002-0000-1200-000005000000}"/>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xr:uid="{00000000-0002-0000-1200-000006000000}"/>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xr:uid="{00000000-0002-0000-12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56CD9-63FF-FE7C-069A-579365884632}">
  <sheetPr>
    <tabColor theme="6" tint="0.39997558519241921"/>
  </sheetPr>
  <dimension ref="A1:AZ69"/>
  <sheetViews>
    <sheetView showGridLines="0" topLeftCell="R26"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522" hidden="1" customWidth="1"/>
    <col min="17" max="17" width="3.7109375" style="801" hidden="1" customWidth="1"/>
    <col min="18" max="18" width="3.7109375" style="28" customWidth="1"/>
    <col min="19" max="19" width="12.7109375" style="353" customWidth="1"/>
    <col min="20" max="20" width="32" style="9" customWidth="1"/>
    <col min="21" max="21" width="0.140625" style="9" customWidth="1"/>
    <col min="22" max="23" width="21.7109375" style="9" hidden="1" customWidth="1"/>
    <col min="24" max="24" width="11.7109375" style="9" hidden="1" customWidth="1"/>
    <col min="25" max="25" width="3.7109375" style="9" hidden="1" customWidth="1"/>
    <col min="26" max="26" width="11.7109375" style="9" hidden="1" customWidth="1"/>
    <col min="27" max="27" width="8.5703125" style="9" hidden="1" customWidth="1"/>
    <col min="28" max="28" width="5.42578125" style="9" customWidth="1"/>
    <col min="29" max="30" width="3.7109375" style="9" customWidth="1"/>
    <col min="31" max="31" width="24.7109375" style="9" customWidth="1"/>
    <col min="32" max="34" width="3.7109375" style="9" customWidth="1"/>
    <col min="35" max="35" width="24.7109375" style="9" customWidth="1"/>
    <col min="36" max="38" width="3.7109375" style="9" customWidth="1"/>
    <col min="39" max="39" width="18.85546875" style="9" customWidth="1"/>
    <col min="40" max="41" width="21.7109375" style="9" customWidth="1"/>
    <col min="42" max="42" width="11.7109375" style="9" customWidth="1"/>
    <col min="43" max="43" width="3.7109375" style="9" customWidth="1"/>
    <col min="44" max="44" width="11.7109375" style="9" customWidth="1"/>
    <col min="45" max="45" width="8.5703125" style="9" customWidth="1"/>
    <col min="46" max="46" width="4.7109375" style="9" customWidth="1"/>
    <col min="47" max="47" width="115.7109375" style="9" customWidth="1"/>
    <col min="48" max="49" width="10.5703125" style="65"/>
    <col min="50" max="50" width="11.140625" style="65" customWidth="1"/>
    <col min="51" max="52" width="10.5703125" style="65"/>
  </cols>
  <sheetData>
    <row r="1" spans="1:52" ht="14.25" hidden="1" customHeight="1"/>
    <row r="2" spans="1:52" ht="21" hidden="1" customHeight="1">
      <c r="A2" s="798"/>
      <c r="B2" s="798"/>
      <c r="C2" s="798"/>
      <c r="D2" s="798"/>
      <c r="E2" s="1285">
        <v>1</v>
      </c>
      <c r="F2" s="798"/>
      <c r="G2" s="798"/>
      <c r="H2" s="798"/>
      <c r="I2" s="798"/>
      <c r="J2" s="798"/>
      <c r="K2" s="798"/>
      <c r="L2" s="799"/>
      <c r="M2" s="435"/>
      <c r="N2" s="435"/>
      <c r="O2" s="435"/>
      <c r="Q2" s="59"/>
      <c r="R2" s="213"/>
      <c r="S2" s="730" t="e">
        <f>INDEX(PT_DIFFERENTIATION_NUM_NTAR,MATCH(A2,PT_DIFFERENTIATION_NTAR_ID,0))</f>
        <v>#N/A</v>
      </c>
      <c r="T2" s="64" t="s">
        <v>125</v>
      </c>
      <c r="U2" s="170"/>
      <c r="V2" s="1280"/>
      <c r="W2" s="1280"/>
      <c r="X2" s="1280"/>
      <c r="Y2" s="1280"/>
      <c r="Z2" s="1280"/>
      <c r="AA2" s="1281"/>
      <c r="AB2" s="1279" t="e">
        <f>INDEX(PT_DIFFERENTIATION_NTAR,MATCH(A2,PT_DIFFERENTIATION_NTAR_ID,0))</f>
        <v>#N/A</v>
      </c>
      <c r="AC2" s="1280"/>
      <c r="AD2" s="1280"/>
      <c r="AE2" s="1280"/>
      <c r="AF2" s="1280"/>
      <c r="AG2" s="1280"/>
      <c r="AH2" s="1280"/>
      <c r="AI2" s="1280"/>
      <c r="AJ2" s="1280"/>
      <c r="AK2" s="1280"/>
      <c r="AL2" s="1280"/>
      <c r="AM2" s="1280"/>
      <c r="AN2" s="1280"/>
      <c r="AO2" s="1280"/>
      <c r="AP2" s="1280"/>
      <c r="AQ2" s="1280"/>
      <c r="AR2" s="1280"/>
      <c r="AS2" s="1280"/>
      <c r="AT2" s="1281"/>
      <c r="AU2" s="758" t="s">
        <v>457</v>
      </c>
      <c r="AW2" s="66"/>
      <c r="AX2" s="66" t="str">
        <f t="shared" ref="AX2:AX8" si="0">IF(T2="","",T2)</f>
        <v>Наименование тарифа</v>
      </c>
      <c r="AY2" s="66"/>
      <c r="AZ2" s="66"/>
    </row>
    <row r="3" spans="1:52" ht="21" hidden="1" customHeight="1">
      <c r="A3" s="798"/>
      <c r="B3" s="798"/>
      <c r="C3" s="798"/>
      <c r="D3" s="798"/>
      <c r="E3" s="1286"/>
      <c r="F3" s="1285">
        <v>1</v>
      </c>
      <c r="G3" s="798"/>
      <c r="H3" s="798"/>
      <c r="I3" s="798"/>
      <c r="J3" s="798"/>
      <c r="K3" s="798"/>
      <c r="L3" s="799"/>
      <c r="M3" s="435"/>
      <c r="N3" s="435"/>
      <c r="O3" s="435"/>
      <c r="P3" s="312"/>
      <c r="Q3" s="831"/>
      <c r="R3" s="211"/>
      <c r="S3" s="730" t="e">
        <f>INDEX(PT_DIFFERENTIATION_NUM_TER,MATCH(B3,PT_DIFFERENTIATION_TER_ID,0))</f>
        <v>#N/A</v>
      </c>
      <c r="T3" s="178" t="s">
        <v>458</v>
      </c>
      <c r="U3" s="170"/>
      <c r="V3" s="1280"/>
      <c r="W3" s="1280"/>
      <c r="X3" s="1280"/>
      <c r="Y3" s="1280"/>
      <c r="Z3" s="1280"/>
      <c r="AA3" s="1281"/>
      <c r="AB3" s="1279" t="e">
        <f>INDEX(PT_DIFFERENTIATION_TER,MATCH(B3,PT_DIFFERENTIATION_TER_ID,0))</f>
        <v>#N/A</v>
      </c>
      <c r="AC3" s="1280"/>
      <c r="AD3" s="1280"/>
      <c r="AE3" s="1280"/>
      <c r="AF3" s="1280"/>
      <c r="AG3" s="1280"/>
      <c r="AH3" s="1280"/>
      <c r="AI3" s="1280"/>
      <c r="AJ3" s="1280"/>
      <c r="AK3" s="1280"/>
      <c r="AL3" s="1280"/>
      <c r="AM3" s="1280"/>
      <c r="AN3" s="1280"/>
      <c r="AO3" s="1280"/>
      <c r="AP3" s="1280"/>
      <c r="AQ3" s="1280"/>
      <c r="AR3" s="1280"/>
      <c r="AS3" s="1280"/>
      <c r="AT3" s="1281"/>
      <c r="AU3" s="758" t="s">
        <v>459</v>
      </c>
      <c r="AW3" s="66"/>
      <c r="AX3" s="66" t="str">
        <f t="shared" si="0"/>
        <v>Территория действия тарифа</v>
      </c>
      <c r="AY3" s="66"/>
      <c r="AZ3" s="66"/>
    </row>
    <row r="4" spans="1:52" ht="22.5" hidden="1" customHeight="1">
      <c r="A4" s="798"/>
      <c r="B4" s="798"/>
      <c r="C4" s="798"/>
      <c r="D4" s="798"/>
      <c r="E4" s="1286"/>
      <c r="F4" s="1286"/>
      <c r="G4" s="1285">
        <v>1</v>
      </c>
      <c r="H4" s="798"/>
      <c r="I4" s="798"/>
      <c r="J4" s="798"/>
      <c r="K4" s="798"/>
      <c r="L4" s="799"/>
      <c r="M4" s="435"/>
      <c r="N4" s="435"/>
      <c r="O4" s="435"/>
      <c r="P4" s="128"/>
      <c r="Q4" s="831"/>
      <c r="R4" s="211"/>
      <c r="S4" s="730" t="e">
        <f>INDEX(PT_DIFFERENTIATION_NUM_CS,MATCH(C4,PT_DIFFERENTIATION_CS_ID,0))</f>
        <v>#N/A</v>
      </c>
      <c r="T4" s="179" t="s">
        <v>460</v>
      </c>
      <c r="U4" s="170"/>
      <c r="V4" s="1280"/>
      <c r="W4" s="1280"/>
      <c r="X4" s="1280"/>
      <c r="Y4" s="1280"/>
      <c r="Z4" s="1280"/>
      <c r="AA4" s="1281"/>
      <c r="AB4" s="1279" t="e">
        <f>INDEX(PT_DIFFERENTIATION_CS,MATCH(C4,PT_DIFFERENTIATION_CS_ID,0))</f>
        <v>#N/A</v>
      </c>
      <c r="AC4" s="1280"/>
      <c r="AD4" s="1280"/>
      <c r="AE4" s="1280"/>
      <c r="AF4" s="1280"/>
      <c r="AG4" s="1280"/>
      <c r="AH4" s="1280"/>
      <c r="AI4" s="1280"/>
      <c r="AJ4" s="1280"/>
      <c r="AK4" s="1280"/>
      <c r="AL4" s="1280"/>
      <c r="AM4" s="1280"/>
      <c r="AN4" s="1280"/>
      <c r="AO4" s="1280"/>
      <c r="AP4" s="1280"/>
      <c r="AQ4" s="1280"/>
      <c r="AR4" s="1280"/>
      <c r="AS4" s="1280"/>
      <c r="AT4" s="1281"/>
      <c r="AU4" s="758" t="s">
        <v>461</v>
      </c>
      <c r="AW4" s="66"/>
      <c r="AX4" s="66" t="str">
        <f t="shared" si="0"/>
        <v xml:space="preserve">Наименование системы теплоснабжения </v>
      </c>
      <c r="AY4" s="66"/>
      <c r="AZ4" s="66"/>
    </row>
    <row r="5" spans="1:52" ht="21" hidden="1" customHeight="1">
      <c r="A5" s="798"/>
      <c r="B5" s="798"/>
      <c r="C5" s="798"/>
      <c r="D5" s="798"/>
      <c r="E5" s="1286"/>
      <c r="F5" s="1286"/>
      <c r="G5" s="1286"/>
      <c r="H5" s="1285">
        <v>1</v>
      </c>
      <c r="I5" s="798"/>
      <c r="J5" s="798"/>
      <c r="K5" s="798"/>
      <c r="L5" s="799"/>
      <c r="M5" s="435"/>
      <c r="N5" s="435"/>
      <c r="O5" s="435"/>
      <c r="P5" s="128"/>
      <c r="Q5" s="831"/>
      <c r="R5" s="211"/>
      <c r="S5" s="730" t="e">
        <f>INDEX(PT_DIFFERENTIATION_NUM_IST_TE,MATCH(D5,PT_DIFFERENTIATION_IST_TE_ID,0))</f>
        <v>#N/A</v>
      </c>
      <c r="T5" s="180" t="s">
        <v>462</v>
      </c>
      <c r="U5" s="170"/>
      <c r="V5" s="1280"/>
      <c r="W5" s="1280"/>
      <c r="X5" s="1280"/>
      <c r="Y5" s="1280"/>
      <c r="Z5" s="1280"/>
      <c r="AA5" s="1281"/>
      <c r="AB5" s="1279" t="e">
        <f>INDEX(PT_DIFFERENTIATION_IST_TE,MATCH(D5,PT_DIFFERENTIATION_IST_TE_ID,0))</f>
        <v>#N/A</v>
      </c>
      <c r="AC5" s="1280"/>
      <c r="AD5" s="1280"/>
      <c r="AE5" s="1280"/>
      <c r="AF5" s="1280"/>
      <c r="AG5" s="1280"/>
      <c r="AH5" s="1280"/>
      <c r="AI5" s="1280"/>
      <c r="AJ5" s="1280"/>
      <c r="AK5" s="1280"/>
      <c r="AL5" s="1280"/>
      <c r="AM5" s="1280"/>
      <c r="AN5" s="1280"/>
      <c r="AO5" s="1280"/>
      <c r="AP5" s="1280"/>
      <c r="AQ5" s="1280"/>
      <c r="AR5" s="1280"/>
      <c r="AS5" s="1280"/>
      <c r="AT5" s="1281"/>
      <c r="AU5" s="758" t="s">
        <v>463</v>
      </c>
      <c r="AW5" s="66"/>
      <c r="AX5" s="66" t="str">
        <f t="shared" si="0"/>
        <v xml:space="preserve">Источник тепловой энергии  </v>
      </c>
      <c r="AY5" s="66"/>
      <c r="AZ5" s="66"/>
    </row>
    <row r="6" spans="1:52" s="65" customFormat="1" ht="14.25" hidden="1" customHeight="1">
      <c r="A6" s="142"/>
      <c r="B6" s="142"/>
      <c r="C6" s="142"/>
      <c r="D6" s="142"/>
      <c r="E6" s="1286"/>
      <c r="F6" s="1286"/>
      <c r="G6" s="1286"/>
      <c r="H6" s="1286"/>
      <c r="I6" s="1287" t="e">
        <f>S5&amp;".1"</f>
        <v>#N/A</v>
      </c>
      <c r="J6" s="142"/>
      <c r="K6" s="142"/>
      <c r="L6" s="357" t="s">
        <v>464</v>
      </c>
      <c r="M6" s="228"/>
      <c r="N6" s="228"/>
      <c r="O6" s="228"/>
      <c r="P6" s="1204">
        <v>1</v>
      </c>
      <c r="Q6" s="119"/>
      <c r="R6" s="214"/>
      <c r="S6" s="373"/>
      <c r="T6" s="808"/>
      <c r="U6" s="809"/>
      <c r="V6" s="1315"/>
      <c r="W6" s="1315"/>
      <c r="X6" s="1315"/>
      <c r="Y6" s="1315"/>
      <c r="Z6" s="1315"/>
      <c r="AA6" s="1316"/>
      <c r="AB6" s="1314"/>
      <c r="AC6" s="1315"/>
      <c r="AD6" s="1315"/>
      <c r="AE6" s="1315"/>
      <c r="AF6" s="1315"/>
      <c r="AG6" s="1315"/>
      <c r="AH6" s="1315"/>
      <c r="AI6" s="1315"/>
      <c r="AJ6" s="1315"/>
      <c r="AK6" s="1315"/>
      <c r="AL6" s="1315"/>
      <c r="AM6" s="1315"/>
      <c r="AN6" s="1315"/>
      <c r="AO6" s="1315"/>
      <c r="AP6" s="1315"/>
      <c r="AQ6" s="1315"/>
      <c r="AR6" s="1315"/>
      <c r="AS6" s="1315"/>
      <c r="AT6" s="1316"/>
      <c r="AU6" s="810"/>
      <c r="AW6" s="66"/>
      <c r="AX6" s="66" t="str">
        <f t="shared" si="0"/>
        <v/>
      </c>
      <c r="AY6" s="66"/>
      <c r="AZ6" s="66"/>
    </row>
    <row r="7" spans="1:52" s="65" customFormat="1" ht="14.25" hidden="1" customHeight="1">
      <c r="A7" s="142"/>
      <c r="B7" s="142"/>
      <c r="C7" s="142"/>
      <c r="D7" s="142"/>
      <c r="E7" s="1286"/>
      <c r="F7" s="1286"/>
      <c r="G7" s="1286"/>
      <c r="H7" s="1286"/>
      <c r="I7" s="1288"/>
      <c r="J7" s="1287" t="e">
        <f>S5&amp;".1"</f>
        <v>#N/A</v>
      </c>
      <c r="K7" s="142"/>
      <c r="L7" s="357"/>
      <c r="M7" s="228"/>
      <c r="N7" s="228"/>
      <c r="O7" s="228"/>
      <c r="P7" s="1204"/>
      <c r="Q7" s="1204">
        <v>1</v>
      </c>
      <c r="R7" s="215"/>
      <c r="S7" s="373"/>
      <c r="T7" s="823"/>
      <c r="U7" s="809"/>
      <c r="V7" s="1315"/>
      <c r="W7" s="1315"/>
      <c r="X7" s="1315"/>
      <c r="Y7" s="1315"/>
      <c r="Z7" s="1315"/>
      <c r="AA7" s="1316"/>
      <c r="AB7" s="1314"/>
      <c r="AC7" s="1315"/>
      <c r="AD7" s="1315"/>
      <c r="AE7" s="1315"/>
      <c r="AF7" s="1315"/>
      <c r="AG7" s="1315"/>
      <c r="AH7" s="1315"/>
      <c r="AI7" s="1315"/>
      <c r="AJ7" s="1315"/>
      <c r="AK7" s="1315"/>
      <c r="AL7" s="1315"/>
      <c r="AM7" s="1315"/>
      <c r="AN7" s="1315"/>
      <c r="AO7" s="1315"/>
      <c r="AP7" s="1315"/>
      <c r="AQ7" s="1315"/>
      <c r="AR7" s="1315"/>
      <c r="AS7" s="1315"/>
      <c r="AT7" s="1316"/>
      <c r="AU7" s="810"/>
      <c r="AW7" s="66"/>
      <c r="AX7" s="66" t="str">
        <f t="shared" si="0"/>
        <v/>
      </c>
      <c r="AY7" s="66"/>
      <c r="AZ7" s="66"/>
    </row>
    <row r="8" spans="1:52" ht="21" hidden="1" customHeight="1">
      <c r="A8" s="798"/>
      <c r="B8" s="798"/>
      <c r="C8" s="798"/>
      <c r="D8" s="798"/>
      <c r="E8" s="1286"/>
      <c r="F8" s="1286"/>
      <c r="G8" s="1286"/>
      <c r="H8" s="1286"/>
      <c r="I8" s="1288"/>
      <c r="J8" s="1288"/>
      <c r="K8" s="1287" t="e">
        <f>S5&amp;".1"</f>
        <v>#N/A</v>
      </c>
      <c r="L8" s="799"/>
      <c r="P8" s="1204"/>
      <c r="Q8" s="1204"/>
      <c r="R8" s="1338">
        <v>1</v>
      </c>
      <c r="S8" s="1335" t="e">
        <f>$K8</f>
        <v>#N/A</v>
      </c>
      <c r="T8" s="1332"/>
      <c r="U8" s="170"/>
      <c r="V8" s="317"/>
      <c r="W8" s="757"/>
      <c r="X8" s="1289"/>
      <c r="Y8" s="1093" t="s">
        <v>59</v>
      </c>
      <c r="Z8" s="1289"/>
      <c r="AA8" s="1093" t="s">
        <v>59</v>
      </c>
      <c r="AB8" s="1093" t="s">
        <v>57</v>
      </c>
      <c r="AC8" s="1331"/>
      <c r="AD8" s="1163">
        <v>1</v>
      </c>
      <c r="AE8" s="1344"/>
      <c r="AF8" s="1093" t="s">
        <v>57</v>
      </c>
      <c r="AG8" s="1331"/>
      <c r="AH8" s="1163">
        <v>1</v>
      </c>
      <c r="AI8" s="1344"/>
      <c r="AJ8" s="1093" t="s">
        <v>57</v>
      </c>
      <c r="AK8" s="181"/>
      <c r="AL8" s="280">
        <v>1</v>
      </c>
      <c r="AM8" s="638"/>
      <c r="AN8" s="317"/>
      <c r="AO8" s="757"/>
      <c r="AP8" s="979"/>
      <c r="AQ8" s="308" t="s">
        <v>59</v>
      </c>
      <c r="AR8" s="979"/>
      <c r="AS8" s="308" t="s">
        <v>59</v>
      </c>
      <c r="AT8" s="795"/>
      <c r="AU8" s="1307" t="s">
        <v>534</v>
      </c>
      <c r="AV8" s="65" t="e">
        <f ca="1">STRCHECKDATE(V11:AT11)</f>
        <v>#NAME?</v>
      </c>
      <c r="AW8" s="66"/>
      <c r="AX8" s="66" t="str">
        <f t="shared" si="0"/>
        <v/>
      </c>
      <c r="AY8" s="66"/>
      <c r="AZ8" s="66"/>
    </row>
    <row r="9" spans="1:52" ht="11.25" hidden="1" customHeight="1">
      <c r="A9" s="798"/>
      <c r="B9" s="798"/>
      <c r="C9" s="798"/>
      <c r="D9" s="798"/>
      <c r="E9" s="1286"/>
      <c r="F9" s="1286"/>
      <c r="G9" s="1286"/>
      <c r="H9" s="1286"/>
      <c r="I9" s="1288"/>
      <c r="J9" s="1288"/>
      <c r="K9" s="1287"/>
      <c r="L9" s="799"/>
      <c r="P9" s="1204"/>
      <c r="Q9" s="1204"/>
      <c r="R9" s="1338"/>
      <c r="S9" s="1336"/>
      <c r="T9" s="1333"/>
      <c r="U9" s="170"/>
      <c r="V9" s="818"/>
      <c r="W9" s="822"/>
      <c r="X9" s="1289"/>
      <c r="Y9" s="1093"/>
      <c r="Z9" s="1289"/>
      <c r="AA9" s="1093"/>
      <c r="AB9" s="1093"/>
      <c r="AC9" s="1331"/>
      <c r="AD9" s="1163"/>
      <c r="AE9" s="1344"/>
      <c r="AF9" s="1093"/>
      <c r="AG9" s="1331"/>
      <c r="AH9" s="1163"/>
      <c r="AI9" s="1344"/>
      <c r="AJ9" s="1093"/>
      <c r="AK9" s="186"/>
      <c r="AL9" s="50"/>
      <c r="AM9" s="107" t="s">
        <v>535</v>
      </c>
      <c r="AN9" s="818"/>
      <c r="AO9" s="848"/>
      <c r="AP9" s="818"/>
      <c r="AQ9" s="818"/>
      <c r="AR9" s="818"/>
      <c r="AS9" s="818"/>
      <c r="AT9" s="815"/>
      <c r="AU9" s="1308"/>
      <c r="AW9" s="66"/>
      <c r="AX9" s="66"/>
      <c r="AY9" s="66"/>
      <c r="AZ9" s="66"/>
    </row>
    <row r="10" spans="1:52" ht="11.25" hidden="1" customHeight="1">
      <c r="A10" s="798"/>
      <c r="B10" s="798"/>
      <c r="C10" s="798"/>
      <c r="D10" s="798"/>
      <c r="E10" s="1286"/>
      <c r="F10" s="1286"/>
      <c r="G10" s="1286"/>
      <c r="H10" s="1286"/>
      <c r="I10" s="1288"/>
      <c r="J10" s="1288"/>
      <c r="K10" s="1287"/>
      <c r="L10" s="799"/>
      <c r="P10" s="1204"/>
      <c r="Q10" s="1204"/>
      <c r="R10" s="1338"/>
      <c r="S10" s="1336"/>
      <c r="T10" s="1333"/>
      <c r="U10" s="170"/>
      <c r="V10" s="818"/>
      <c r="W10" s="822"/>
      <c r="X10" s="1289"/>
      <c r="Y10" s="1093"/>
      <c r="Z10" s="1289"/>
      <c r="AA10" s="1093"/>
      <c r="AB10" s="1093"/>
      <c r="AC10" s="1331"/>
      <c r="AD10" s="1163"/>
      <c r="AE10" s="1344"/>
      <c r="AF10" s="1093"/>
      <c r="AG10" s="168"/>
      <c r="AH10" s="107"/>
      <c r="AI10" s="107" t="s">
        <v>536</v>
      </c>
      <c r="AJ10" s="818"/>
      <c r="AK10" s="818"/>
      <c r="AL10" s="818"/>
      <c r="AM10" s="818"/>
      <c r="AN10" s="818"/>
      <c r="AO10" s="848"/>
      <c r="AP10" s="818"/>
      <c r="AQ10" s="818"/>
      <c r="AR10" s="818"/>
      <c r="AS10" s="818"/>
      <c r="AT10" s="815"/>
      <c r="AU10" s="1308"/>
      <c r="AW10" s="66"/>
      <c r="AX10" s="66"/>
      <c r="AY10" s="66"/>
      <c r="AZ10" s="66"/>
    </row>
    <row r="11" spans="1:52" ht="11.25" hidden="1" customHeight="1">
      <c r="A11" s="798"/>
      <c r="B11" s="798"/>
      <c r="C11" s="798"/>
      <c r="D11" s="798"/>
      <c r="E11" s="1286"/>
      <c r="F11" s="1286"/>
      <c r="G11" s="1286"/>
      <c r="H11" s="1286"/>
      <c r="I11" s="1288"/>
      <c r="J11" s="1288"/>
      <c r="K11" s="1287"/>
      <c r="L11" s="799"/>
      <c r="P11" s="1204"/>
      <c r="Q11" s="1204"/>
      <c r="R11" s="1338"/>
      <c r="S11" s="1337"/>
      <c r="T11" s="1334"/>
      <c r="U11" s="170"/>
      <c r="V11" s="818"/>
      <c r="W11" s="821" t="str">
        <f>X8&amp;"-"&amp;Z8</f>
        <v>-</v>
      </c>
      <c r="X11" s="1290"/>
      <c r="Y11" s="1093"/>
      <c r="Z11" s="1290"/>
      <c r="AA11" s="1093"/>
      <c r="AB11" s="1093"/>
      <c r="AC11" s="182"/>
      <c r="AD11" s="184"/>
      <c r="AE11" s="107" t="s">
        <v>537</v>
      </c>
      <c r="AF11" s="818"/>
      <c r="AG11" s="818"/>
      <c r="AH11" s="818"/>
      <c r="AI11" s="818"/>
      <c r="AJ11" s="818"/>
      <c r="AK11" s="818"/>
      <c r="AL11" s="818"/>
      <c r="AM11" s="818"/>
      <c r="AN11" s="818"/>
      <c r="AO11" s="819" t="str">
        <f>AP8&amp;"-"&amp;AR8</f>
        <v>-</v>
      </c>
      <c r="AP11" s="818"/>
      <c r="AQ11" s="818"/>
      <c r="AR11" s="818"/>
      <c r="AS11" s="818"/>
      <c r="AT11" s="796"/>
      <c r="AU11" s="1308"/>
      <c r="AW11" s="66"/>
      <c r="AX11" s="66" t="str">
        <f t="shared" ref="AX11:AX17" si="1">IF(T11="","",T11)</f>
        <v/>
      </c>
      <c r="AY11" s="66"/>
      <c r="AZ11" s="66"/>
    </row>
    <row r="12" spans="1:52" ht="11.25" hidden="1" customHeight="1">
      <c r="A12" s="798"/>
      <c r="B12" s="798"/>
      <c r="C12" s="798"/>
      <c r="D12" s="798"/>
      <c r="E12" s="1286"/>
      <c r="F12" s="1286"/>
      <c r="G12" s="1286"/>
      <c r="H12" s="1286"/>
      <c r="I12" s="1288"/>
      <c r="J12" s="1287"/>
      <c r="K12" s="798"/>
      <c r="L12" s="799"/>
      <c r="P12" s="1204"/>
      <c r="Q12" s="1204"/>
      <c r="R12" s="214"/>
      <c r="S12" s="772"/>
      <c r="T12" s="165" t="s">
        <v>538</v>
      </c>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195"/>
      <c r="AU12" s="1309"/>
      <c r="AW12" s="66"/>
      <c r="AX12" s="66" t="str">
        <f t="shared" si="1"/>
        <v>Добавить строку</v>
      </c>
      <c r="AY12" s="66"/>
      <c r="AZ12" s="66"/>
    </row>
    <row r="13" spans="1:52" s="65" customFormat="1" ht="14.25" hidden="1" customHeight="1">
      <c r="A13" s="142"/>
      <c r="B13" s="142"/>
      <c r="C13" s="142"/>
      <c r="D13" s="142"/>
      <c r="E13" s="1286"/>
      <c r="F13" s="1286"/>
      <c r="G13" s="1286"/>
      <c r="H13" s="1286"/>
      <c r="I13" s="1287"/>
      <c r="J13" s="142"/>
      <c r="K13" s="142"/>
      <c r="L13" s="357"/>
      <c r="M13" s="228"/>
      <c r="N13" s="228"/>
      <c r="O13" s="228"/>
      <c r="P13" s="1204"/>
      <c r="Q13" s="119"/>
      <c r="R13" s="214"/>
      <c r="S13" s="811"/>
      <c r="T13" s="812"/>
      <c r="U13" s="813"/>
      <c r="V13" s="813"/>
      <c r="W13" s="813"/>
      <c r="X13" s="813"/>
      <c r="Y13" s="813"/>
      <c r="Z13" s="813"/>
      <c r="AA13" s="813"/>
      <c r="AB13" s="813"/>
      <c r="AC13" s="813"/>
      <c r="AD13" s="813"/>
      <c r="AE13" s="813"/>
      <c r="AF13" s="813"/>
      <c r="AG13" s="813"/>
      <c r="AH13" s="813"/>
      <c r="AI13" s="813"/>
      <c r="AJ13" s="813"/>
      <c r="AK13" s="813"/>
      <c r="AL13" s="813"/>
      <c r="AM13" s="813"/>
      <c r="AN13" s="813"/>
      <c r="AO13" s="813"/>
      <c r="AP13" s="813"/>
      <c r="AQ13" s="813"/>
      <c r="AR13" s="813"/>
      <c r="AS13" s="813"/>
      <c r="AT13" s="813"/>
      <c r="AU13" s="814"/>
      <c r="AW13" s="66"/>
      <c r="AX13" s="66" t="str">
        <f t="shared" si="1"/>
        <v/>
      </c>
      <c r="AY13" s="66"/>
      <c r="AZ13" s="66"/>
    </row>
    <row r="14" spans="1:52" s="65" customFormat="1" ht="14.25" hidden="1" customHeight="1">
      <c r="A14" s="142"/>
      <c r="B14" s="142"/>
      <c r="C14" s="142"/>
      <c r="D14" s="142"/>
      <c r="E14" s="1286"/>
      <c r="F14" s="1286"/>
      <c r="G14" s="1286"/>
      <c r="H14" s="1285"/>
      <c r="I14" s="142"/>
      <c r="J14" s="142"/>
      <c r="K14" s="142"/>
      <c r="L14" s="357"/>
      <c r="M14" s="304"/>
      <c r="N14" s="304"/>
      <c r="P14" s="101"/>
      <c r="Q14" s="785"/>
      <c r="R14" s="825"/>
      <c r="S14" s="811"/>
      <c r="T14" s="812"/>
      <c r="U14" s="813"/>
      <c r="V14" s="813"/>
      <c r="W14" s="813"/>
      <c r="X14" s="813"/>
      <c r="Y14" s="813"/>
      <c r="Z14" s="813"/>
      <c r="AA14" s="813"/>
      <c r="AB14" s="813"/>
      <c r="AC14" s="813"/>
      <c r="AD14" s="813"/>
      <c r="AE14" s="813"/>
      <c r="AF14" s="813"/>
      <c r="AG14" s="813"/>
      <c r="AH14" s="813"/>
      <c r="AI14" s="813"/>
      <c r="AJ14" s="813"/>
      <c r="AK14" s="813"/>
      <c r="AL14" s="813"/>
      <c r="AM14" s="813"/>
      <c r="AN14" s="813"/>
      <c r="AO14" s="813"/>
      <c r="AP14" s="813"/>
      <c r="AQ14" s="813"/>
      <c r="AR14" s="813"/>
      <c r="AS14" s="813"/>
      <c r="AT14" s="813"/>
      <c r="AU14" s="814"/>
      <c r="AW14" s="66"/>
      <c r="AX14" s="66" t="str">
        <f t="shared" si="1"/>
        <v/>
      </c>
      <c r="AY14" s="66"/>
      <c r="AZ14" s="66"/>
    </row>
    <row r="15" spans="1:52" s="65" customFormat="1" ht="14.25" hidden="1" customHeight="1">
      <c r="A15" s="142"/>
      <c r="B15" s="142"/>
      <c r="C15" s="142"/>
      <c r="D15" s="142"/>
      <c r="E15" s="1286"/>
      <c r="F15" s="1286"/>
      <c r="G15" s="1285"/>
      <c r="H15" s="142"/>
      <c r="I15" s="142"/>
      <c r="J15" s="142"/>
      <c r="K15" s="142"/>
      <c r="L15" s="357"/>
      <c r="M15" s="304"/>
      <c r="N15" s="304"/>
      <c r="P15" s="101"/>
      <c r="Q15" s="785"/>
      <c r="R15" s="101"/>
      <c r="S15" s="790"/>
      <c r="T15" s="792" t="s">
        <v>431</v>
      </c>
      <c r="U15" s="324"/>
      <c r="V15" s="324"/>
      <c r="W15" s="324"/>
      <c r="X15" s="324"/>
      <c r="Y15" s="324"/>
      <c r="Z15" s="324"/>
      <c r="AA15" s="324"/>
      <c r="AB15" s="324"/>
      <c r="AC15" s="324"/>
      <c r="AD15" s="324"/>
      <c r="AE15" s="324"/>
      <c r="AF15" s="324"/>
      <c r="AG15" s="324"/>
      <c r="AH15" s="324"/>
      <c r="AI15" s="324"/>
      <c r="AJ15" s="324"/>
      <c r="AK15" s="324"/>
      <c r="AL15" s="324"/>
      <c r="AM15" s="324"/>
      <c r="AN15" s="324"/>
      <c r="AO15" s="324"/>
      <c r="AP15" s="324"/>
      <c r="AQ15" s="324"/>
      <c r="AR15" s="324"/>
      <c r="AS15" s="324"/>
      <c r="AT15" s="324"/>
      <c r="AU15" s="324"/>
      <c r="AW15" s="66"/>
      <c r="AX15" s="66" t="str">
        <f t="shared" si="1"/>
        <v>Добавить источник для дифференциации</v>
      </c>
      <c r="AY15" s="66"/>
      <c r="AZ15" s="66"/>
    </row>
    <row r="16" spans="1:52" s="65" customFormat="1" ht="14.25" hidden="1" customHeight="1">
      <c r="A16" s="142"/>
      <c r="B16" s="142"/>
      <c r="C16" s="142"/>
      <c r="D16" s="142"/>
      <c r="E16" s="1286"/>
      <c r="F16" s="1285"/>
      <c r="G16" s="142"/>
      <c r="H16" s="142"/>
      <c r="I16" s="142"/>
      <c r="J16" s="142"/>
      <c r="K16" s="142"/>
      <c r="L16" s="357"/>
      <c r="M16" s="789"/>
      <c r="N16" s="789"/>
      <c r="P16" s="101"/>
      <c r="Q16" s="785"/>
      <c r="R16" s="101"/>
      <c r="S16" s="790"/>
      <c r="T16" s="792" t="s">
        <v>432</v>
      </c>
      <c r="U16" s="324"/>
      <c r="V16" s="324"/>
      <c r="W16" s="324"/>
      <c r="X16" s="324"/>
      <c r="Y16" s="324"/>
      <c r="Z16" s="324"/>
      <c r="AA16" s="324"/>
      <c r="AB16" s="324"/>
      <c r="AC16" s="324"/>
      <c r="AD16" s="324"/>
      <c r="AE16" s="324"/>
      <c r="AF16" s="324"/>
      <c r="AG16" s="324"/>
      <c r="AH16" s="324"/>
      <c r="AI16" s="324"/>
      <c r="AJ16" s="324"/>
      <c r="AK16" s="324"/>
      <c r="AL16" s="324"/>
      <c r="AM16" s="324"/>
      <c r="AN16" s="324"/>
      <c r="AO16" s="324"/>
      <c r="AP16" s="324"/>
      <c r="AQ16" s="324"/>
      <c r="AR16" s="324"/>
      <c r="AS16" s="324"/>
      <c r="AT16" s="324"/>
      <c r="AU16" s="324"/>
      <c r="AW16" s="66"/>
      <c r="AX16" s="66" t="str">
        <f t="shared" si="1"/>
        <v>Добавить централизованную систему для дифференциации</v>
      </c>
      <c r="AY16" s="66"/>
      <c r="AZ16" s="66"/>
    </row>
    <row r="17" spans="1:52" s="65" customFormat="1" ht="14.25" hidden="1" customHeight="1">
      <c r="A17" s="142"/>
      <c r="B17" s="142"/>
      <c r="C17" s="142"/>
      <c r="D17" s="142"/>
      <c r="E17" s="1285"/>
      <c r="F17" s="142"/>
      <c r="G17" s="142"/>
      <c r="H17" s="142"/>
      <c r="I17" s="142"/>
      <c r="J17" s="142"/>
      <c r="K17" s="142"/>
      <c r="L17" s="357"/>
      <c r="M17" s="789"/>
      <c r="N17" s="789"/>
      <c r="P17" s="101"/>
      <c r="Q17" s="785"/>
      <c r="R17" s="101"/>
      <c r="S17" s="790"/>
      <c r="T17" s="792" t="s">
        <v>433</v>
      </c>
      <c r="U17" s="324"/>
      <c r="V17" s="324"/>
      <c r="W17" s="324"/>
      <c r="X17" s="324"/>
      <c r="Y17" s="324"/>
      <c r="Z17" s="324"/>
      <c r="AA17" s="324"/>
      <c r="AB17" s="324"/>
      <c r="AC17" s="324"/>
      <c r="AD17" s="324"/>
      <c r="AE17" s="324"/>
      <c r="AF17" s="324"/>
      <c r="AG17" s="324"/>
      <c r="AH17" s="324"/>
      <c r="AI17" s="324"/>
      <c r="AJ17" s="324"/>
      <c r="AK17" s="324"/>
      <c r="AL17" s="324"/>
      <c r="AM17" s="324"/>
      <c r="AN17" s="324"/>
      <c r="AO17" s="324"/>
      <c r="AP17" s="324"/>
      <c r="AQ17" s="324"/>
      <c r="AR17" s="324"/>
      <c r="AS17" s="324"/>
      <c r="AT17" s="324"/>
      <c r="AU17" s="324"/>
      <c r="AW17" s="66"/>
      <c r="AX17" s="66" t="str">
        <f t="shared" si="1"/>
        <v>Добавить территорию для дифференциации</v>
      </c>
      <c r="AY17" s="66"/>
      <c r="AZ17" s="66"/>
    </row>
    <row r="18" spans="1:52" ht="14.25" hidden="1" customHeight="1"/>
    <row r="19" spans="1:52" ht="14.25" hidden="1" customHeight="1">
      <c r="AB19" s="324" t="s">
        <v>57</v>
      </c>
      <c r="AC19" s="853"/>
      <c r="AD19" s="324">
        <v>1</v>
      </c>
      <c r="AE19" s="854"/>
      <c r="AF19" s="324" t="s">
        <v>57</v>
      </c>
      <c r="AG19" s="853"/>
      <c r="AH19" s="324">
        <v>1</v>
      </c>
      <c r="AI19" s="854"/>
      <c r="AJ19" s="324" t="s">
        <v>57</v>
      </c>
      <c r="AK19" s="855"/>
      <c r="AL19" s="324">
        <v>1</v>
      </c>
      <c r="AM19" s="857"/>
      <c r="AN19" s="631"/>
      <c r="AO19" s="826"/>
      <c r="AP19" s="981"/>
      <c r="AQ19" s="845" t="s">
        <v>59</v>
      </c>
      <c r="AR19" s="981"/>
      <c r="AS19" s="845" t="s">
        <v>59</v>
      </c>
    </row>
    <row r="20" spans="1:52" ht="14.25" hidden="1" customHeight="1">
      <c r="AV20" s="209"/>
      <c r="AW20" s="209"/>
      <c r="AX20" s="209"/>
      <c r="AY20" s="209"/>
      <c r="AZ20" s="209"/>
    </row>
    <row r="21" spans="1:52" ht="14.25" hidden="1" customHeight="1">
      <c r="O21" s="800" t="s">
        <v>475</v>
      </c>
      <c r="X21" s="185"/>
      <c r="Z21" s="185"/>
      <c r="AP21" s="185"/>
      <c r="AR21" s="185"/>
      <c r="AV21" s="209"/>
      <c r="AW21" s="209"/>
      <c r="AX21" s="209"/>
      <c r="AY21" s="209"/>
      <c r="AZ21" s="209"/>
    </row>
    <row r="22" spans="1:52" ht="14.25" hidden="1" customHeight="1">
      <c r="AV22" s="209"/>
      <c r="AW22" s="209"/>
      <c r="AX22" s="209"/>
      <c r="AY22" s="209"/>
      <c r="AZ22" s="209"/>
    </row>
    <row r="23" spans="1:52" s="858" customFormat="1" ht="14.25" hidden="1" customHeight="1">
      <c r="M23" s="859"/>
      <c r="N23" s="859"/>
      <c r="O23" s="858" t="s">
        <v>476</v>
      </c>
      <c r="P23" s="859"/>
      <c r="Q23" s="860"/>
      <c r="R23" s="860"/>
      <c r="Y23" s="858" t="s">
        <v>478</v>
      </c>
      <c r="AA23" s="858" t="s">
        <v>479</v>
      </c>
      <c r="AB23" s="858" t="s">
        <v>539</v>
      </c>
      <c r="AE23" s="858" t="s">
        <v>540</v>
      </c>
      <c r="AF23" s="858" t="s">
        <v>539</v>
      </c>
      <c r="AI23" s="858" t="s">
        <v>541</v>
      </c>
      <c r="AJ23" s="858" t="s">
        <v>539</v>
      </c>
      <c r="AM23" s="858" t="s">
        <v>542</v>
      </c>
      <c r="AQ23" s="858" t="s">
        <v>478</v>
      </c>
      <c r="AS23" s="858" t="s">
        <v>479</v>
      </c>
      <c r="AV23" s="861"/>
      <c r="AW23" s="861"/>
      <c r="AX23" s="861"/>
      <c r="AY23" s="861"/>
      <c r="AZ23" s="861"/>
    </row>
    <row r="24" spans="1:52" ht="14.25" hidden="1" customHeight="1">
      <c r="O24" s="799"/>
      <c r="AV24" s="209"/>
      <c r="AW24" s="209"/>
      <c r="AX24" s="209"/>
      <c r="AY24" s="209"/>
      <c r="AZ24" s="209"/>
    </row>
    <row r="25" spans="1:52" ht="14.25" hidden="1" customHeight="1">
      <c r="O25" s="799"/>
      <c r="AV25" s="209"/>
      <c r="AW25" s="209"/>
      <c r="AX25" s="209"/>
      <c r="AY25" s="209"/>
      <c r="AZ25" s="209"/>
    </row>
    <row r="26" spans="1:52" ht="14.25" customHeight="1">
      <c r="Q26" s="167"/>
      <c r="R26" s="27"/>
      <c r="S26" s="769"/>
      <c r="T26" s="8"/>
      <c r="U26" s="8"/>
    </row>
    <row r="27" spans="1:52" ht="33.75" customHeight="1">
      <c r="Q27" s="167"/>
      <c r="R27" s="27"/>
      <c r="S27" s="131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1310"/>
      <c r="U27" s="1310"/>
      <c r="V27" s="1310"/>
      <c r="W27" s="1310"/>
      <c r="X27" s="1310"/>
      <c r="Y27" s="1310"/>
      <c r="Z27" s="1310"/>
      <c r="AA27" s="1310"/>
      <c r="AB27" s="1310"/>
      <c r="AC27" s="1310"/>
      <c r="AD27" s="1310"/>
      <c r="AE27" s="1310"/>
      <c r="AF27" s="1310"/>
      <c r="AG27" s="1310"/>
      <c r="AH27" s="1310"/>
      <c r="AI27" s="1310"/>
      <c r="AJ27" s="1310"/>
      <c r="AK27" s="1310"/>
      <c r="AL27" s="1310"/>
      <c r="AM27" s="1310"/>
      <c r="AN27" s="1310"/>
      <c r="AO27" s="1310"/>
      <c r="AP27" s="1310"/>
      <c r="AQ27" s="1310"/>
      <c r="AR27" s="1310"/>
      <c r="AS27" s="57"/>
    </row>
    <row r="28" spans="1:52" ht="14.25" customHeight="1">
      <c r="Q28" s="167"/>
      <c r="R28" s="27"/>
      <c r="S28" s="1170" t="str">
        <f>IF(org=0,"Не определено",org)</f>
        <v>ИМУП «ПОСЖИЛКОМСЕРВИС»</v>
      </c>
      <c r="T28" s="1170"/>
      <c r="U28" s="1170"/>
      <c r="V28" s="1170"/>
      <c r="W28" s="1170"/>
      <c r="X28" s="1170"/>
      <c r="Y28" s="1170"/>
      <c r="Z28" s="1170"/>
      <c r="AA28" s="1170"/>
      <c r="AB28" s="1170"/>
      <c r="AC28" s="1170"/>
      <c r="AD28" s="1170"/>
      <c r="AE28" s="1170"/>
      <c r="AF28" s="1170"/>
      <c r="AG28" s="1170"/>
      <c r="AH28" s="1170"/>
      <c r="AI28" s="1170"/>
      <c r="AJ28" s="1170"/>
      <c r="AK28" s="1170"/>
      <c r="AL28" s="1170"/>
      <c r="AM28" s="1170"/>
      <c r="AN28" s="1170"/>
      <c r="AO28" s="1170"/>
      <c r="AP28" s="1170"/>
      <c r="AQ28" s="1170"/>
      <c r="AR28" s="1170"/>
      <c r="AS28" s="57"/>
    </row>
    <row r="29" spans="1:52" ht="14.25" hidden="1" customHeight="1">
      <c r="Q29" s="167"/>
      <c r="R29" s="27"/>
      <c r="S29" s="769"/>
      <c r="T29" s="8"/>
      <c r="U29" s="8"/>
      <c r="V29" s="193"/>
      <c r="W29" s="193"/>
      <c r="X29" s="193"/>
      <c r="Y29" s="193"/>
      <c r="Z29" s="193"/>
      <c r="AA29" s="193"/>
      <c r="AB29" s="193"/>
      <c r="AC29" s="193"/>
      <c r="AD29" s="193"/>
      <c r="AE29" s="193"/>
      <c r="AF29" s="193"/>
      <c r="AG29" s="193"/>
      <c r="AH29" s="193"/>
      <c r="AI29" s="193"/>
      <c r="AJ29" s="193"/>
      <c r="AK29" s="193"/>
      <c r="AL29" s="193"/>
      <c r="AM29" s="193"/>
      <c r="AN29" s="193"/>
      <c r="AO29" s="193"/>
      <c r="AP29" s="193"/>
      <c r="AQ29" s="193"/>
      <c r="AR29" s="193"/>
      <c r="AS29" s="193"/>
    </row>
    <row r="30" spans="1:52" s="33" customFormat="1" ht="25.5" hidden="1" customHeight="1">
      <c r="A30" s="79"/>
      <c r="B30" s="79"/>
      <c r="C30" s="79"/>
      <c r="D30" s="79"/>
      <c r="E30" s="79"/>
      <c r="F30" s="79"/>
      <c r="G30" s="79"/>
      <c r="H30" s="79"/>
      <c r="I30" s="79"/>
      <c r="J30" s="79"/>
      <c r="K30" s="79"/>
      <c r="L30" s="799"/>
      <c r="M30" s="79"/>
      <c r="N30" s="79"/>
      <c r="O30" s="79"/>
      <c r="P30" s="79"/>
      <c r="Q30" s="79"/>
      <c r="S30" s="1276" t="s">
        <v>40</v>
      </c>
      <c r="T30" s="1276"/>
      <c r="U30" s="802"/>
      <c r="V30" s="1278"/>
      <c r="W30" s="1278"/>
      <c r="X30" s="1278"/>
      <c r="Y30" s="1278"/>
      <c r="Z30" s="1278"/>
      <c r="AA30" s="9"/>
      <c r="AB30" s="1278" t="str">
        <f>IF(TITLE_NAME_OR_PR_CHANGE="",IF(TITLE_NAME_OR_PR="","",TITLE_NAME_OR_PR),TITLE_NAME_OR_PR_CHANGE)</f>
        <v/>
      </c>
      <c r="AC30" s="1278"/>
      <c r="AD30" s="1278"/>
      <c r="AE30" s="1278"/>
      <c r="AF30" s="1278"/>
      <c r="AG30" s="1278"/>
      <c r="AH30" s="1278"/>
      <c r="AI30" s="1278"/>
      <c r="AJ30" s="1278"/>
      <c r="AK30" s="1278"/>
      <c r="AL30" s="1278"/>
      <c r="AM30" s="1278"/>
      <c r="AN30" s="1278"/>
      <c r="AO30" s="1278"/>
      <c r="AP30" s="1278"/>
      <c r="AQ30" s="1278"/>
      <c r="AR30" s="1278"/>
      <c r="AS30" s="9"/>
      <c r="AT30" s="9"/>
      <c r="AU30" s="162"/>
      <c r="AV30" s="66"/>
      <c r="AW30" s="66"/>
      <c r="AX30" s="66"/>
      <c r="AY30" s="66"/>
      <c r="AZ30" s="66"/>
    </row>
    <row r="31" spans="1:52" s="33" customFormat="1" ht="18.75" hidden="1" customHeight="1">
      <c r="A31" s="79"/>
      <c r="B31" s="79"/>
      <c r="C31" s="79"/>
      <c r="D31" s="79"/>
      <c r="E31" s="79"/>
      <c r="F31" s="79"/>
      <c r="G31" s="79"/>
      <c r="H31" s="79"/>
      <c r="I31" s="79"/>
      <c r="J31" s="79"/>
      <c r="K31" s="79"/>
      <c r="L31" s="799"/>
      <c r="M31" s="79"/>
      <c r="N31" s="79"/>
      <c r="O31" s="79"/>
      <c r="P31" s="79"/>
      <c r="Q31" s="79"/>
      <c r="S31" s="1276" t="s">
        <v>481</v>
      </c>
      <c r="T31" s="1276"/>
      <c r="U31" s="802"/>
      <c r="V31" s="1277"/>
      <c r="W31" s="1277"/>
      <c r="X31" s="1277"/>
      <c r="Y31" s="1277"/>
      <c r="Z31" s="1277"/>
      <c r="AA31" s="9"/>
      <c r="AB31" s="1277" t="str">
        <f>IF(TITLE_DATE_CHANGE_PERIOD="",IF(TITLE_DATE_PR="","",TITLE_DATE_PR),TITLE_DATE_CHANGE_PERIOD)</f>
        <v/>
      </c>
      <c r="AC31" s="1277"/>
      <c r="AD31" s="1277"/>
      <c r="AE31" s="1277"/>
      <c r="AF31" s="1277"/>
      <c r="AG31" s="1277"/>
      <c r="AH31" s="1277"/>
      <c r="AI31" s="1277"/>
      <c r="AJ31" s="1277"/>
      <c r="AK31" s="1277"/>
      <c r="AL31" s="1277"/>
      <c r="AM31" s="1277"/>
      <c r="AN31" s="1277"/>
      <c r="AO31" s="1277"/>
      <c r="AP31" s="1277"/>
      <c r="AQ31" s="1277"/>
      <c r="AR31" s="1277"/>
      <c r="AS31" s="9"/>
      <c r="AT31" s="9"/>
      <c r="AU31" s="162"/>
      <c r="AV31" s="66"/>
      <c r="AW31" s="66"/>
      <c r="AX31" s="66"/>
      <c r="AY31" s="66"/>
      <c r="AZ31" s="66"/>
    </row>
    <row r="32" spans="1:52" s="33" customFormat="1" ht="18.75" hidden="1" customHeight="1">
      <c r="A32" s="79"/>
      <c r="B32" s="79"/>
      <c r="C32" s="79"/>
      <c r="D32" s="79"/>
      <c r="E32" s="79"/>
      <c r="F32" s="79"/>
      <c r="G32" s="79"/>
      <c r="H32" s="79"/>
      <c r="I32" s="79"/>
      <c r="J32" s="79"/>
      <c r="K32" s="79"/>
      <c r="L32" s="799"/>
      <c r="M32" s="79"/>
      <c r="N32" s="79"/>
      <c r="O32" s="79"/>
      <c r="P32" s="79"/>
      <c r="Q32" s="79"/>
      <c r="S32" s="1276" t="s">
        <v>482</v>
      </c>
      <c r="T32" s="1276"/>
      <c r="U32" s="802"/>
      <c r="V32" s="1278"/>
      <c r="W32" s="1278"/>
      <c r="X32" s="1278"/>
      <c r="Y32" s="1278"/>
      <c r="Z32" s="1278"/>
      <c r="AA32" s="9"/>
      <c r="AB32" s="1278" t="str">
        <f>IF(TITLE_NUMBER_PR_CHANGE="",IF(TITLE_NUMBER_PR="","",TITLE_NUMBER_PR),TITLE_NUMBER_PR_CHANGE)</f>
        <v/>
      </c>
      <c r="AC32" s="1278"/>
      <c r="AD32" s="1278"/>
      <c r="AE32" s="1278"/>
      <c r="AF32" s="1278"/>
      <c r="AG32" s="1278"/>
      <c r="AH32" s="1278"/>
      <c r="AI32" s="1278"/>
      <c r="AJ32" s="1278"/>
      <c r="AK32" s="1278"/>
      <c r="AL32" s="1278"/>
      <c r="AM32" s="1278"/>
      <c r="AN32" s="1278"/>
      <c r="AO32" s="1278"/>
      <c r="AP32" s="1278"/>
      <c r="AQ32" s="1278"/>
      <c r="AR32" s="1278"/>
      <c r="AS32" s="9"/>
      <c r="AT32" s="9"/>
      <c r="AU32" s="162"/>
      <c r="AV32" s="66"/>
      <c r="AW32" s="66"/>
      <c r="AX32" s="66"/>
      <c r="AY32" s="66"/>
      <c r="AZ32" s="66"/>
    </row>
    <row r="33" spans="1:52" s="33" customFormat="1" ht="18.75" hidden="1" customHeight="1">
      <c r="A33" s="79"/>
      <c r="B33" s="79"/>
      <c r="C33" s="79"/>
      <c r="D33" s="79"/>
      <c r="E33" s="79"/>
      <c r="F33" s="79"/>
      <c r="G33" s="79"/>
      <c r="H33" s="79"/>
      <c r="I33" s="79"/>
      <c r="J33" s="79"/>
      <c r="K33" s="79"/>
      <c r="L33" s="799"/>
      <c r="M33" s="79"/>
      <c r="N33" s="79"/>
      <c r="O33" s="79"/>
      <c r="P33" s="79"/>
      <c r="Q33" s="79"/>
      <c r="S33" s="1276" t="s">
        <v>41</v>
      </c>
      <c r="T33" s="1276"/>
      <c r="U33" s="802"/>
      <c r="V33" s="1278"/>
      <c r="W33" s="1278"/>
      <c r="X33" s="1278"/>
      <c r="Y33" s="1278"/>
      <c r="Z33" s="1278"/>
      <c r="AA33" s="9"/>
      <c r="AB33" s="1278" t="str">
        <f>IF(TITLE_IST_PUB_CHANGE="",IF(TITLE_IST_PUB="","",TITLE_IST_PUB),TITLE_IST_PUB_CHANGE)</f>
        <v/>
      </c>
      <c r="AC33" s="1278"/>
      <c r="AD33" s="1278"/>
      <c r="AE33" s="1278"/>
      <c r="AF33" s="1278"/>
      <c r="AG33" s="1278"/>
      <c r="AH33" s="1278"/>
      <c r="AI33" s="1278"/>
      <c r="AJ33" s="1278"/>
      <c r="AK33" s="1278"/>
      <c r="AL33" s="1278"/>
      <c r="AM33" s="1278"/>
      <c r="AN33" s="1278"/>
      <c r="AO33" s="1278"/>
      <c r="AP33" s="1278"/>
      <c r="AQ33" s="1278"/>
      <c r="AR33" s="1278"/>
      <c r="AS33" s="9"/>
      <c r="AT33" s="9"/>
      <c r="AU33" s="162"/>
      <c r="AV33" s="66"/>
      <c r="AW33" s="66"/>
      <c r="AX33" s="66"/>
      <c r="AY33" s="66"/>
      <c r="AZ33" s="66"/>
    </row>
    <row r="34" spans="1:52" ht="14.25" hidden="1" customHeight="1">
      <c r="Q34" s="167"/>
      <c r="R34" s="27"/>
      <c r="S34" s="769"/>
      <c r="T34" s="8"/>
      <c r="U34" s="8"/>
      <c r="V34" s="193"/>
      <c r="W34" s="193"/>
      <c r="X34" s="193"/>
      <c r="Y34" s="193"/>
      <c r="Z34" s="193"/>
      <c r="AA34" s="193"/>
      <c r="AB34" s="193"/>
      <c r="AC34" s="193"/>
      <c r="AD34" s="193"/>
      <c r="AE34" s="193"/>
      <c r="AF34" s="193"/>
      <c r="AG34" s="193"/>
      <c r="AH34" s="193"/>
      <c r="AI34" s="193"/>
      <c r="AJ34" s="193"/>
      <c r="AK34" s="193"/>
      <c r="AL34" s="193"/>
      <c r="AM34" s="193"/>
      <c r="AN34" s="193"/>
      <c r="AO34" s="193"/>
      <c r="AP34" s="193"/>
      <c r="AQ34" s="193"/>
      <c r="AR34" s="193"/>
      <c r="AS34" s="193"/>
    </row>
    <row r="35" spans="1:52" s="33" customFormat="1" ht="18.75" hidden="1" customHeight="1">
      <c r="A35" s="79"/>
      <c r="B35" s="79"/>
      <c r="C35" s="79"/>
      <c r="D35" s="79"/>
      <c r="E35" s="79"/>
      <c r="F35" s="79"/>
      <c r="G35" s="79"/>
      <c r="H35" s="79"/>
      <c r="I35" s="79"/>
      <c r="J35" s="79"/>
      <c r="K35" s="79"/>
      <c r="L35" s="799"/>
      <c r="M35" s="79"/>
      <c r="N35" s="79"/>
      <c r="O35" s="79"/>
      <c r="P35" s="79"/>
      <c r="Q35" s="79"/>
      <c r="S35" s="1276" t="s">
        <v>481</v>
      </c>
      <c r="T35" s="1276"/>
      <c r="U35" s="802"/>
      <c r="V35" s="1277"/>
      <c r="W35" s="1277"/>
      <c r="X35" s="1277"/>
      <c r="Y35" s="1277"/>
      <c r="Z35" s="1277"/>
      <c r="AA35" s="9"/>
      <c r="AB35" s="1277" t="str">
        <f>IF(TITLE_DATE_CHANGE_PERIOD="",IF(TITLE_DATE_PR="","",TITLE_DATE_PR),TITLE_DATE_CHANGE_PERIOD)</f>
        <v/>
      </c>
      <c r="AC35" s="1277"/>
      <c r="AD35" s="1277"/>
      <c r="AE35" s="1277"/>
      <c r="AF35" s="1277"/>
      <c r="AG35" s="1277"/>
      <c r="AH35" s="1277"/>
      <c r="AI35" s="1277"/>
      <c r="AJ35" s="1277"/>
      <c r="AK35" s="1277"/>
      <c r="AL35" s="1277"/>
      <c r="AM35" s="1277"/>
      <c r="AN35" s="1277"/>
      <c r="AO35" s="1277"/>
      <c r="AP35" s="1277"/>
      <c r="AQ35" s="1277"/>
      <c r="AR35" s="1277"/>
      <c r="AS35" s="9"/>
      <c r="AT35" s="9"/>
      <c r="AU35" s="162"/>
      <c r="AV35" s="66"/>
      <c r="AW35" s="66"/>
      <c r="AX35" s="66"/>
      <c r="AY35" s="66"/>
      <c r="AZ35" s="66"/>
    </row>
    <row r="36" spans="1:52" s="33" customFormat="1" ht="18" hidden="1" customHeight="1">
      <c r="A36" s="79"/>
      <c r="B36" s="79"/>
      <c r="C36" s="79"/>
      <c r="D36" s="79"/>
      <c r="E36" s="79"/>
      <c r="F36" s="79"/>
      <c r="G36" s="79"/>
      <c r="H36" s="79"/>
      <c r="I36" s="79"/>
      <c r="J36" s="79"/>
      <c r="K36" s="79"/>
      <c r="L36" s="799"/>
      <c r="M36" s="79"/>
      <c r="N36" s="79"/>
      <c r="O36" s="79"/>
      <c r="P36" s="79"/>
      <c r="Q36" s="79"/>
      <c r="S36" s="1276" t="s">
        <v>482</v>
      </c>
      <c r="T36" s="1276"/>
      <c r="U36" s="802"/>
      <c r="V36" s="1278"/>
      <c r="W36" s="1278"/>
      <c r="X36" s="1278"/>
      <c r="Y36" s="1278"/>
      <c r="Z36" s="1278"/>
      <c r="AA36" s="9"/>
      <c r="AB36" s="1278" t="str">
        <f>IF(TITLE_NUMBER_PR_CHANGE="",IF(TITLE_NUMBER_PR="","",TITLE_NUMBER_PR),TITLE_NUMBER_PR_CHANGE)</f>
        <v/>
      </c>
      <c r="AC36" s="1278"/>
      <c r="AD36" s="1278"/>
      <c r="AE36" s="1278"/>
      <c r="AF36" s="1278"/>
      <c r="AG36" s="1278"/>
      <c r="AH36" s="1278"/>
      <c r="AI36" s="1278"/>
      <c r="AJ36" s="1278"/>
      <c r="AK36" s="1278"/>
      <c r="AL36" s="1278"/>
      <c r="AM36" s="1278"/>
      <c r="AN36" s="1278"/>
      <c r="AO36" s="1278"/>
      <c r="AP36" s="1278"/>
      <c r="AQ36" s="1278"/>
      <c r="AR36" s="1278"/>
      <c r="AS36" s="9"/>
      <c r="AT36" s="9"/>
      <c r="AU36" s="162"/>
      <c r="AV36" s="66"/>
      <c r="AW36" s="66"/>
      <c r="AX36" s="66"/>
      <c r="AY36" s="66"/>
      <c r="AZ36" s="66"/>
    </row>
    <row r="37" spans="1:52" s="33" customFormat="1" ht="0.75" customHeight="1">
      <c r="A37" s="79"/>
      <c r="B37" s="79"/>
      <c r="C37" s="79"/>
      <c r="D37" s="79"/>
      <c r="E37" s="79"/>
      <c r="F37" s="79"/>
      <c r="G37" s="79"/>
      <c r="H37" s="79"/>
      <c r="I37" s="79"/>
      <c r="J37" s="79"/>
      <c r="K37" s="79"/>
      <c r="L37" s="799"/>
      <c r="M37" s="79"/>
      <c r="N37" s="79"/>
      <c r="O37" s="79"/>
      <c r="P37" s="79"/>
      <c r="Q37" s="79"/>
      <c r="S37" s="9"/>
      <c r="T37" s="9"/>
      <c r="U37" s="75"/>
      <c r="V37" s="9"/>
      <c r="W37" s="9"/>
      <c r="X37" s="9"/>
      <c r="Y37" s="9"/>
      <c r="Z37" s="9"/>
      <c r="AA37" s="65" t="s">
        <v>485</v>
      </c>
      <c r="AB37" s="9"/>
      <c r="AC37" s="9"/>
      <c r="AD37" s="9"/>
      <c r="AE37" s="9"/>
      <c r="AF37" s="9"/>
      <c r="AG37" s="9"/>
      <c r="AH37" s="9"/>
      <c r="AI37" s="9"/>
      <c r="AJ37" s="9"/>
      <c r="AK37" s="9"/>
      <c r="AL37" s="9"/>
      <c r="AM37" s="9"/>
      <c r="AN37" s="9"/>
      <c r="AO37" s="9"/>
      <c r="AP37" s="9"/>
      <c r="AQ37" s="9"/>
      <c r="AR37" s="9"/>
      <c r="AS37" s="65" t="s">
        <v>485</v>
      </c>
      <c r="AV37" s="66"/>
      <c r="AW37" s="66"/>
      <c r="AX37" s="66"/>
      <c r="AY37" s="66"/>
      <c r="AZ37" s="66"/>
    </row>
    <row r="38" spans="1:52" ht="14.25" customHeight="1">
      <c r="Q38" s="167"/>
      <c r="R38" s="27"/>
      <c r="S38" s="769"/>
      <c r="T38" s="8"/>
      <c r="U38" s="741"/>
      <c r="V38" s="1296"/>
      <c r="W38" s="1296"/>
      <c r="X38" s="1296"/>
      <c r="Y38" s="1296"/>
      <c r="Z38" s="1296"/>
      <c r="AA38" s="1296"/>
      <c r="AB38" s="1296"/>
      <c r="AC38" s="1296"/>
      <c r="AD38" s="1296"/>
      <c r="AE38" s="1296"/>
      <c r="AF38" s="1296"/>
      <c r="AG38" s="1296"/>
      <c r="AH38" s="1296"/>
      <c r="AI38" s="1296"/>
      <c r="AJ38" s="1296"/>
      <c r="AK38" s="1296"/>
      <c r="AL38" s="1296"/>
      <c r="AM38" s="1296"/>
      <c r="AN38" s="1296"/>
      <c r="AO38" s="1296"/>
      <c r="AP38" s="1296"/>
      <c r="AQ38" s="1296"/>
      <c r="AR38" s="1296"/>
      <c r="AS38" s="1296"/>
    </row>
    <row r="39" spans="1:52" ht="14.25" customHeight="1">
      <c r="Q39" s="167"/>
      <c r="R39" s="27"/>
      <c r="S39" s="1083" t="s">
        <v>288</v>
      </c>
      <c r="T39" s="1083"/>
      <c r="U39" s="1083"/>
      <c r="V39" s="1083"/>
      <c r="W39" s="1083"/>
      <c r="X39" s="1083"/>
      <c r="Y39" s="1083"/>
      <c r="Z39" s="1083"/>
      <c r="AA39" s="1083"/>
      <c r="AB39" s="1137"/>
      <c r="AC39" s="1137"/>
      <c r="AD39" s="1137"/>
      <c r="AE39" s="1137"/>
      <c r="AF39" s="1083"/>
      <c r="AG39" s="1083"/>
      <c r="AH39" s="1083"/>
      <c r="AI39" s="1083"/>
      <c r="AJ39" s="1083"/>
      <c r="AK39" s="1083"/>
      <c r="AL39" s="1083"/>
      <c r="AM39" s="1083"/>
      <c r="AN39" s="1083"/>
      <c r="AO39" s="1083"/>
      <c r="AP39" s="1083"/>
      <c r="AQ39" s="1083"/>
      <c r="AR39" s="1083"/>
      <c r="AS39" s="1083"/>
      <c r="AT39" s="1083"/>
      <c r="AU39" s="1083" t="s">
        <v>289</v>
      </c>
    </row>
    <row r="40" spans="1:52" ht="14.25" customHeight="1">
      <c r="Q40" s="167"/>
      <c r="R40" s="27"/>
      <c r="S40" s="1297" t="s">
        <v>88</v>
      </c>
      <c r="T40" s="1168" t="s">
        <v>543</v>
      </c>
      <c r="U40" s="171"/>
      <c r="V40" s="1299"/>
      <c r="W40" s="1299"/>
      <c r="X40" s="1299"/>
      <c r="Y40" s="1299"/>
      <c r="Z40" s="1300"/>
      <c r="AA40" s="1340" t="s">
        <v>488</v>
      </c>
      <c r="AB40" s="1324" t="s">
        <v>544</v>
      </c>
      <c r="AC40" s="1313"/>
      <c r="AD40" s="1313"/>
      <c r="AE40" s="1325"/>
      <c r="AF40" s="1313" t="s">
        <v>545</v>
      </c>
      <c r="AG40" s="1313"/>
      <c r="AH40" s="1313"/>
      <c r="AI40" s="1325"/>
      <c r="AJ40" s="1324" t="s">
        <v>546</v>
      </c>
      <c r="AK40" s="1313"/>
      <c r="AL40" s="1313"/>
      <c r="AM40" s="1325"/>
      <c r="AN40" s="1324" t="s">
        <v>487</v>
      </c>
      <c r="AO40" s="1313"/>
      <c r="AP40" s="1299"/>
      <c r="AQ40" s="1299"/>
      <c r="AR40" s="1300"/>
      <c r="AS40" s="1301" t="s">
        <v>488</v>
      </c>
      <c r="AT40" s="1304" t="s">
        <v>490</v>
      </c>
      <c r="AU40" s="1083"/>
    </row>
    <row r="41" spans="1:52" ht="33.75" customHeight="1">
      <c r="Q41" s="167"/>
      <c r="R41" s="27"/>
      <c r="S41" s="1297"/>
      <c r="T41" s="1168"/>
      <c r="U41" s="626"/>
      <c r="V41" s="1138" t="s">
        <v>547</v>
      </c>
      <c r="W41" s="1139"/>
      <c r="X41" s="1138" t="s">
        <v>494</v>
      </c>
      <c r="Y41" s="1318"/>
      <c r="Z41" s="1139"/>
      <c r="AA41" s="1341"/>
      <c r="AB41" s="1326"/>
      <c r="AC41" s="1327"/>
      <c r="AD41" s="1327"/>
      <c r="AE41" s="1339"/>
      <c r="AF41" s="1327"/>
      <c r="AG41" s="1327"/>
      <c r="AH41" s="1327"/>
      <c r="AI41" s="1339"/>
      <c r="AJ41" s="1326"/>
      <c r="AK41" s="1327"/>
      <c r="AL41" s="1327"/>
      <c r="AM41" s="1327"/>
      <c r="AN41" s="1083" t="s">
        <v>548</v>
      </c>
      <c r="AO41" s="1083"/>
      <c r="AP41" s="1318" t="s">
        <v>494</v>
      </c>
      <c r="AQ41" s="1318"/>
      <c r="AR41" s="1139"/>
      <c r="AS41" s="1302"/>
      <c r="AT41" s="1305"/>
      <c r="AU41" s="1083"/>
    </row>
    <row r="42" spans="1:52" ht="14.25" customHeight="1">
      <c r="Q42" s="167"/>
      <c r="R42" s="27"/>
      <c r="S42" s="1297"/>
      <c r="T42" s="1168"/>
      <c r="U42" s="626"/>
      <c r="V42" s="1143"/>
      <c r="W42" s="1144"/>
      <c r="X42" s="1143"/>
      <c r="Y42" s="1319"/>
      <c r="Z42" s="1144"/>
      <c r="AA42" s="1341"/>
      <c r="AB42" s="1326"/>
      <c r="AC42" s="1327"/>
      <c r="AD42" s="1327"/>
      <c r="AE42" s="1339"/>
      <c r="AF42" s="1327"/>
      <c r="AG42" s="1327"/>
      <c r="AH42" s="1327"/>
      <c r="AI42" s="1339"/>
      <c r="AJ42" s="1326"/>
      <c r="AK42" s="1327"/>
      <c r="AL42" s="1327"/>
      <c r="AM42" s="1327"/>
      <c r="AN42" s="1343"/>
      <c r="AO42" s="1343"/>
      <c r="AP42" s="1319"/>
      <c r="AQ42" s="1319"/>
      <c r="AR42" s="1144"/>
      <c r="AS42" s="1302"/>
      <c r="AT42" s="1305"/>
      <c r="AU42" s="1083"/>
    </row>
    <row r="43" spans="1:52" ht="14.25" customHeight="1">
      <c r="A43" s="79"/>
      <c r="B43" s="79" t="s">
        <v>137</v>
      </c>
      <c r="C43" s="79" t="s">
        <v>138</v>
      </c>
      <c r="D43" s="79" t="s">
        <v>139</v>
      </c>
      <c r="E43" s="799" t="s">
        <v>495</v>
      </c>
      <c r="F43" s="799" t="s">
        <v>496</v>
      </c>
      <c r="G43" s="799" t="s">
        <v>497</v>
      </c>
      <c r="H43" s="799" t="s">
        <v>498</v>
      </c>
      <c r="I43" s="799" t="s">
        <v>499</v>
      </c>
      <c r="J43" s="799" t="s">
        <v>500</v>
      </c>
      <c r="K43" s="799" t="s">
        <v>501</v>
      </c>
      <c r="L43" s="799" t="s">
        <v>476</v>
      </c>
      <c r="Q43" s="167"/>
      <c r="R43" s="27"/>
      <c r="S43" s="1297"/>
      <c r="T43" s="1168"/>
      <c r="U43" s="172"/>
      <c r="V43" s="34" t="s">
        <v>549</v>
      </c>
      <c r="W43" s="34" t="s">
        <v>550</v>
      </c>
      <c r="X43" s="37" t="s">
        <v>504</v>
      </c>
      <c r="Y43" s="1174" t="s">
        <v>505</v>
      </c>
      <c r="Z43" s="1188"/>
      <c r="AA43" s="1342"/>
      <c r="AB43" s="1328"/>
      <c r="AC43" s="1329"/>
      <c r="AD43" s="1329"/>
      <c r="AE43" s="1330"/>
      <c r="AF43" s="1329"/>
      <c r="AG43" s="1329"/>
      <c r="AH43" s="1329"/>
      <c r="AI43" s="1330"/>
      <c r="AJ43" s="1328"/>
      <c r="AK43" s="1329"/>
      <c r="AL43" s="1329"/>
      <c r="AM43" s="1330"/>
      <c r="AN43" s="1044" t="s">
        <v>549</v>
      </c>
      <c r="AO43" s="1044" t="s">
        <v>550</v>
      </c>
      <c r="AP43" s="37" t="s">
        <v>504</v>
      </c>
      <c r="AQ43" s="1174" t="s">
        <v>505</v>
      </c>
      <c r="AR43" s="1188"/>
      <c r="AS43" s="1303"/>
      <c r="AT43" s="1306"/>
      <c r="AU43" s="1083"/>
    </row>
    <row r="44" spans="1:52" s="209" customFormat="1" ht="11.25" hidden="1" customHeight="1">
      <c r="A44" s="79"/>
      <c r="B44" s="79"/>
      <c r="C44" s="79"/>
      <c r="D44" s="79"/>
      <c r="E44" s="79"/>
      <c r="F44" s="79"/>
      <c r="G44" s="79"/>
      <c r="H44" s="79"/>
      <c r="I44" s="79"/>
      <c r="J44" s="79"/>
      <c r="K44" s="79"/>
      <c r="L44" s="799"/>
      <c r="M44" s="522"/>
      <c r="N44" s="522"/>
      <c r="O44" s="522"/>
      <c r="P44" s="228"/>
      <c r="Q44" s="752"/>
      <c r="R44" s="752">
        <v>1</v>
      </c>
      <c r="S44" s="771" t="s">
        <v>110</v>
      </c>
      <c r="T44" s="753" t="s">
        <v>111</v>
      </c>
      <c r="U44" s="742" t="str">
        <f ca="1">OFFSET(U44,0,-1)</f>
        <v>2</v>
      </c>
      <c r="V44" s="754">
        <f ca="1">OFFSET(V44,0,-1)+1</f>
        <v>3</v>
      </c>
      <c r="W44" s="754">
        <f ca="1">OFFSET(W44,0,-1)+1</f>
        <v>4</v>
      </c>
      <c r="X44" s="754">
        <f ca="1">OFFSET(X44,0,-1)+1</f>
        <v>5</v>
      </c>
      <c r="Y44" s="1295">
        <f ca="1">OFFSET(Y44,0,-1)+1</f>
        <v>6</v>
      </c>
      <c r="Z44" s="1295"/>
      <c r="AA44" s="754">
        <f ca="1">OFFSET(AA44,0,-2)+1</f>
        <v>7</v>
      </c>
      <c r="AB44" s="298">
        <f ca="1">OFFSET(AB44,0,-1)+1</f>
        <v>8</v>
      </c>
      <c r="AC44" s="298"/>
      <c r="AD44" s="298"/>
      <c r="AE44" s="298"/>
      <c r="AF44" s="754"/>
      <c r="AG44" s="754"/>
      <c r="AH44" s="754"/>
      <c r="AI44" s="754"/>
      <c r="AJ44" s="754"/>
      <c r="AK44" s="754"/>
      <c r="AL44" s="754"/>
      <c r="AM44" s="754"/>
      <c r="AN44" s="754">
        <f ca="1">OFFSET(AN44,0,-1)+1</f>
        <v>1</v>
      </c>
      <c r="AO44" s="754">
        <f ca="1">OFFSET(AO44,0,-1)+1</f>
        <v>2</v>
      </c>
      <c r="AP44" s="754">
        <f ca="1">OFFSET(AP44,0,-1)+1</f>
        <v>3</v>
      </c>
      <c r="AQ44" s="1295">
        <f ca="1">OFFSET(AQ44,0,-1)+1</f>
        <v>4</v>
      </c>
      <c r="AR44" s="1295"/>
      <c r="AS44" s="754">
        <f ca="1">OFFSET(AS44,0,-2)+1</f>
        <v>5</v>
      </c>
      <c r="AT44" s="742">
        <f ca="1">OFFSET(AT44,0,-1)</f>
        <v>5</v>
      </c>
      <c r="AU44" s="754">
        <f ca="1">OFFSET(AU44,0,-1)+1</f>
        <v>6</v>
      </c>
      <c r="AV44" s="65"/>
      <c r="AW44" s="65"/>
      <c r="AX44" s="65"/>
      <c r="AY44" s="65"/>
      <c r="AZ44" s="65"/>
    </row>
    <row r="45" spans="1:52" ht="102" customHeight="1">
      <c r="A45" s="798" t="s">
        <v>200</v>
      </c>
      <c r="B45" s="798"/>
      <c r="C45" s="798"/>
      <c r="D45" s="798"/>
      <c r="E45" s="1285">
        <v>1</v>
      </c>
      <c r="F45" s="798"/>
      <c r="G45" s="798"/>
      <c r="H45" s="798"/>
      <c r="I45" s="798"/>
      <c r="J45" s="798"/>
      <c r="K45" s="798"/>
      <c r="L45" s="799"/>
      <c r="M45" s="435"/>
      <c r="N45" s="435"/>
      <c r="O45" s="435"/>
      <c r="Q45" s="59"/>
      <c r="R45" s="213"/>
      <c r="S45" s="730">
        <f>INDEX(PT_DIFFERENTIATION_NUM_NTAR,MATCH(A45,PT_DIFFERENTIATION_NTAR_ID,0))</f>
        <v>0</v>
      </c>
      <c r="T45" s="64" t="s">
        <v>125</v>
      </c>
      <c r="U45" s="170"/>
      <c r="V45" s="1280"/>
      <c r="W45" s="1280"/>
      <c r="X45" s="1280"/>
      <c r="Y45" s="1280"/>
      <c r="Z45" s="1280"/>
      <c r="AA45" s="1281"/>
      <c r="AB45" s="1279" t="str">
        <f>INDEX(PT_DIFFERENTIATION_NTAR,MATCH(A45,PT_DIFFERENTIATION_NTAR_ID,0))</f>
        <v/>
      </c>
      <c r="AC45" s="1280"/>
      <c r="AD45" s="1280"/>
      <c r="AE45" s="1280"/>
      <c r="AF45" s="1280"/>
      <c r="AG45" s="1280"/>
      <c r="AH45" s="1280"/>
      <c r="AI45" s="1280"/>
      <c r="AJ45" s="1280"/>
      <c r="AK45" s="1280"/>
      <c r="AL45" s="1280"/>
      <c r="AM45" s="1280"/>
      <c r="AN45" s="1280"/>
      <c r="AO45" s="1280"/>
      <c r="AP45" s="1280"/>
      <c r="AQ45" s="1280"/>
      <c r="AR45" s="1280"/>
      <c r="AS45" s="1280"/>
      <c r="AT45" s="1281"/>
      <c r="AU45" s="758"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6"/>
      <c r="AX45" s="66" t="str">
        <f t="shared" ref="AX45:AX51" si="2">IF(T45="","",T45)</f>
        <v>Наименование тарифа</v>
      </c>
      <c r="AY45" s="66"/>
      <c r="AZ45" s="66"/>
    </row>
    <row r="46" spans="1:52" ht="21" customHeight="1">
      <c r="A46" s="798" t="s">
        <v>200</v>
      </c>
      <c r="B46" s="798" t="s">
        <v>201</v>
      </c>
      <c r="C46" s="798"/>
      <c r="D46" s="798"/>
      <c r="E46" s="1286"/>
      <c r="F46" s="1285">
        <v>1</v>
      </c>
      <c r="G46" s="798"/>
      <c r="H46" s="798"/>
      <c r="I46" s="798"/>
      <c r="J46" s="798"/>
      <c r="K46" s="798"/>
      <c r="L46" s="799"/>
      <c r="M46" s="435"/>
      <c r="N46" s="435"/>
      <c r="O46" s="435"/>
      <c r="P46" s="312"/>
      <c r="Q46" s="831"/>
      <c r="R46" s="211"/>
      <c r="S46" s="730" t="str">
        <f>INDEX(PT_DIFFERENTIATION_NUM_TER,MATCH(B46,PT_DIFFERENTIATION_TER_ID,0))</f>
        <v>.</v>
      </c>
      <c r="T46" s="178" t="s">
        <v>458</v>
      </c>
      <c r="U46" s="170"/>
      <c r="V46" s="1280"/>
      <c r="W46" s="1280"/>
      <c r="X46" s="1280"/>
      <c r="Y46" s="1280"/>
      <c r="Z46" s="1280"/>
      <c r="AA46" s="1281"/>
      <c r="AB46" s="1279" t="str">
        <f>INDEX(PT_DIFFERENTIATION_TER,MATCH(B46,PT_DIFFERENTIATION_TER_ID,0))</f>
        <v/>
      </c>
      <c r="AC46" s="1280"/>
      <c r="AD46" s="1280"/>
      <c r="AE46" s="1280"/>
      <c r="AF46" s="1280"/>
      <c r="AG46" s="1280"/>
      <c r="AH46" s="1280"/>
      <c r="AI46" s="1280"/>
      <c r="AJ46" s="1280"/>
      <c r="AK46" s="1280"/>
      <c r="AL46" s="1280"/>
      <c r="AM46" s="1280"/>
      <c r="AN46" s="1280"/>
      <c r="AO46" s="1280"/>
      <c r="AP46" s="1280"/>
      <c r="AQ46" s="1280"/>
      <c r="AR46" s="1280"/>
      <c r="AS46" s="1280"/>
      <c r="AT46" s="1281"/>
      <c r="AU46" s="758" t="s">
        <v>459</v>
      </c>
      <c r="AW46" s="66"/>
      <c r="AX46" s="66" t="str">
        <f t="shared" si="2"/>
        <v>Территория действия тарифа</v>
      </c>
      <c r="AY46" s="66"/>
      <c r="AZ46" s="66"/>
    </row>
    <row r="47" spans="1:52" ht="23.25" customHeight="1">
      <c r="A47" s="798" t="s">
        <v>200</v>
      </c>
      <c r="B47" s="798" t="s">
        <v>201</v>
      </c>
      <c r="C47" s="798" t="s">
        <v>202</v>
      </c>
      <c r="D47" s="798"/>
      <c r="E47" s="1286"/>
      <c r="F47" s="1286"/>
      <c r="G47" s="1285">
        <v>1</v>
      </c>
      <c r="H47" s="798"/>
      <c r="I47" s="798"/>
      <c r="J47" s="798"/>
      <c r="K47" s="798"/>
      <c r="L47" s="799"/>
      <c r="M47" s="435"/>
      <c r="N47" s="435"/>
      <c r="O47" s="435"/>
      <c r="P47" s="128"/>
      <c r="Q47" s="831"/>
      <c r="R47" s="211"/>
      <c r="S47" s="730" t="str">
        <f>INDEX(PT_DIFFERENTIATION_NUM_CS,MATCH(C47,PT_DIFFERENTIATION_CS_ID,0))</f>
        <v>..</v>
      </c>
      <c r="T47" s="179" t="s">
        <v>460</v>
      </c>
      <c r="U47" s="170"/>
      <c r="V47" s="1280"/>
      <c r="W47" s="1280"/>
      <c r="X47" s="1280"/>
      <c r="Y47" s="1280"/>
      <c r="Z47" s="1280"/>
      <c r="AA47" s="1281"/>
      <c r="AB47" s="1279" t="str">
        <f>INDEX(PT_DIFFERENTIATION_CS,MATCH(C47,PT_DIFFERENTIATION_CS_ID,0))</f>
        <v/>
      </c>
      <c r="AC47" s="1280"/>
      <c r="AD47" s="1280"/>
      <c r="AE47" s="1280"/>
      <c r="AF47" s="1280"/>
      <c r="AG47" s="1280"/>
      <c r="AH47" s="1280"/>
      <c r="AI47" s="1280"/>
      <c r="AJ47" s="1280"/>
      <c r="AK47" s="1280"/>
      <c r="AL47" s="1280"/>
      <c r="AM47" s="1280"/>
      <c r="AN47" s="1280"/>
      <c r="AO47" s="1280"/>
      <c r="AP47" s="1280"/>
      <c r="AQ47" s="1280"/>
      <c r="AR47" s="1280"/>
      <c r="AS47" s="1280"/>
      <c r="AT47" s="1281"/>
      <c r="AU47" s="758" t="s">
        <v>461</v>
      </c>
      <c r="AW47" s="66"/>
      <c r="AX47" s="66" t="str">
        <f t="shared" si="2"/>
        <v xml:space="preserve">Наименование системы теплоснабжения </v>
      </c>
      <c r="AY47" s="66"/>
      <c r="AZ47" s="66"/>
    </row>
    <row r="48" spans="1:52" ht="21" customHeight="1">
      <c r="A48" s="798" t="s">
        <v>200</v>
      </c>
      <c r="B48" s="798" t="s">
        <v>201</v>
      </c>
      <c r="C48" s="798" t="s">
        <v>202</v>
      </c>
      <c r="D48" s="798" t="s">
        <v>203</v>
      </c>
      <c r="E48" s="1286"/>
      <c r="F48" s="1286"/>
      <c r="G48" s="1286"/>
      <c r="H48" s="1285">
        <v>1</v>
      </c>
      <c r="I48" s="798"/>
      <c r="J48" s="798"/>
      <c r="K48" s="798"/>
      <c r="L48" s="799"/>
      <c r="M48" s="435"/>
      <c r="N48" s="435"/>
      <c r="O48" s="435"/>
      <c r="P48" s="128"/>
      <c r="Q48" s="831"/>
      <c r="R48" s="211"/>
      <c r="S48" s="730" t="str">
        <f>INDEX(PT_DIFFERENTIATION_NUM_IST_TE,MATCH(D48,PT_DIFFERENTIATION_IST_TE_ID,0))</f>
        <v>...</v>
      </c>
      <c r="T48" s="180" t="s">
        <v>462</v>
      </c>
      <c r="U48" s="170"/>
      <c r="V48" s="1280"/>
      <c r="W48" s="1280"/>
      <c r="X48" s="1280"/>
      <c r="Y48" s="1280"/>
      <c r="Z48" s="1280"/>
      <c r="AA48" s="1281"/>
      <c r="AB48" s="1279" t="str">
        <f>INDEX(PT_DIFFERENTIATION_IST_TE,MATCH(D48,PT_DIFFERENTIATION_IST_TE_ID,0))</f>
        <v/>
      </c>
      <c r="AC48" s="1280"/>
      <c r="AD48" s="1280"/>
      <c r="AE48" s="1280"/>
      <c r="AF48" s="1280"/>
      <c r="AG48" s="1280"/>
      <c r="AH48" s="1280"/>
      <c r="AI48" s="1280"/>
      <c r="AJ48" s="1280"/>
      <c r="AK48" s="1280"/>
      <c r="AL48" s="1280"/>
      <c r="AM48" s="1280"/>
      <c r="AN48" s="1280"/>
      <c r="AO48" s="1280"/>
      <c r="AP48" s="1280"/>
      <c r="AQ48" s="1280"/>
      <c r="AR48" s="1280"/>
      <c r="AS48" s="1280"/>
      <c r="AT48" s="1281"/>
      <c r="AU48" s="758" t="s">
        <v>463</v>
      </c>
      <c r="AW48" s="66"/>
      <c r="AX48" s="66" t="str">
        <f t="shared" si="2"/>
        <v xml:space="preserve">Источник тепловой энергии  </v>
      </c>
      <c r="AY48" s="66"/>
      <c r="AZ48" s="66"/>
    </row>
    <row r="49" spans="1:52" s="65" customFormat="1" ht="0" hidden="1" customHeight="1">
      <c r="A49" s="142" t="s">
        <v>200</v>
      </c>
      <c r="B49" s="142" t="s">
        <v>201</v>
      </c>
      <c r="C49" s="142" t="s">
        <v>202</v>
      </c>
      <c r="D49" s="142" t="s">
        <v>203</v>
      </c>
      <c r="E49" s="1286"/>
      <c r="F49" s="1286"/>
      <c r="G49" s="1286"/>
      <c r="H49" s="1286"/>
      <c r="I49" s="1287" t="str">
        <f>S48&amp;".1"</f>
        <v>....1</v>
      </c>
      <c r="J49" s="142"/>
      <c r="K49" s="142"/>
      <c r="L49" s="357" t="s">
        <v>464</v>
      </c>
      <c r="M49" s="228"/>
      <c r="N49" s="228"/>
      <c r="O49" s="228"/>
      <c r="P49" s="1204">
        <v>1</v>
      </c>
      <c r="Q49" s="119"/>
      <c r="R49" s="214"/>
      <c r="S49" s="373"/>
      <c r="T49" s="808"/>
      <c r="U49" s="809"/>
      <c r="V49" s="1315"/>
      <c r="W49" s="1315"/>
      <c r="X49" s="1315"/>
      <c r="Y49" s="1315"/>
      <c r="Z49" s="1315"/>
      <c r="AA49" s="1316"/>
      <c r="AB49" s="1314"/>
      <c r="AC49" s="1315"/>
      <c r="AD49" s="1315"/>
      <c r="AE49" s="1315"/>
      <c r="AF49" s="1315"/>
      <c r="AG49" s="1315"/>
      <c r="AH49" s="1315"/>
      <c r="AI49" s="1315"/>
      <c r="AJ49" s="1315"/>
      <c r="AK49" s="1315"/>
      <c r="AL49" s="1315"/>
      <c r="AM49" s="1315"/>
      <c r="AN49" s="1315"/>
      <c r="AO49" s="1315"/>
      <c r="AP49" s="1315"/>
      <c r="AQ49" s="1315"/>
      <c r="AR49" s="1315"/>
      <c r="AS49" s="1315"/>
      <c r="AT49" s="1316"/>
      <c r="AU49" s="810"/>
      <c r="AW49" s="66"/>
      <c r="AX49" s="66" t="str">
        <f t="shared" si="2"/>
        <v/>
      </c>
      <c r="AY49" s="66"/>
      <c r="AZ49" s="66"/>
    </row>
    <row r="50" spans="1:52" s="65" customFormat="1" ht="0" hidden="1" customHeight="1">
      <c r="A50" s="142" t="s">
        <v>200</v>
      </c>
      <c r="B50" s="142" t="s">
        <v>201</v>
      </c>
      <c r="C50" s="142" t="s">
        <v>202</v>
      </c>
      <c r="D50" s="142" t="s">
        <v>203</v>
      </c>
      <c r="E50" s="1286"/>
      <c r="F50" s="1286"/>
      <c r="G50" s="1286"/>
      <c r="H50" s="1286"/>
      <c r="I50" s="1288"/>
      <c r="J50" s="1287" t="str">
        <f>S48&amp;".1"</f>
        <v>....1</v>
      </c>
      <c r="K50" s="142"/>
      <c r="L50" s="357"/>
      <c r="M50" s="228"/>
      <c r="N50" s="228"/>
      <c r="O50" s="228"/>
      <c r="P50" s="1204"/>
      <c r="Q50" s="1204">
        <v>1</v>
      </c>
      <c r="R50" s="215"/>
      <c r="S50" s="373"/>
      <c r="T50" s="823"/>
      <c r="U50" s="809"/>
      <c r="V50" s="1315"/>
      <c r="W50" s="1315"/>
      <c r="X50" s="1315"/>
      <c r="Y50" s="1315"/>
      <c r="Z50" s="1315"/>
      <c r="AA50" s="1316"/>
      <c r="AB50" s="1314"/>
      <c r="AC50" s="1315"/>
      <c r="AD50" s="1315"/>
      <c r="AE50" s="1315"/>
      <c r="AF50" s="1315"/>
      <c r="AG50" s="1315"/>
      <c r="AH50" s="1315"/>
      <c r="AI50" s="1315"/>
      <c r="AJ50" s="1315"/>
      <c r="AK50" s="1315"/>
      <c r="AL50" s="1315"/>
      <c r="AM50" s="1315"/>
      <c r="AN50" s="1315"/>
      <c r="AO50" s="1315"/>
      <c r="AP50" s="1315"/>
      <c r="AQ50" s="1315"/>
      <c r="AR50" s="1315"/>
      <c r="AS50" s="1315"/>
      <c r="AT50" s="1316"/>
      <c r="AU50" s="810"/>
      <c r="AW50" s="66"/>
      <c r="AX50" s="66" t="str">
        <f t="shared" si="2"/>
        <v/>
      </c>
      <c r="AY50" s="66"/>
      <c r="AZ50" s="66"/>
    </row>
    <row r="51" spans="1:52" ht="21" customHeight="1">
      <c r="A51" s="798" t="s">
        <v>200</v>
      </c>
      <c r="B51" s="798" t="s">
        <v>201</v>
      </c>
      <c r="C51" s="798" t="s">
        <v>202</v>
      </c>
      <c r="D51" s="798" t="s">
        <v>203</v>
      </c>
      <c r="E51" s="1286"/>
      <c r="F51" s="1286"/>
      <c r="G51" s="1286"/>
      <c r="H51" s="1286"/>
      <c r="I51" s="1288"/>
      <c r="J51" s="1288"/>
      <c r="K51" s="1287" t="str">
        <f>S48&amp;".1"</f>
        <v>....1</v>
      </c>
      <c r="L51" s="799"/>
      <c r="P51" s="1204"/>
      <c r="Q51" s="1204"/>
      <c r="R51" s="215">
        <v>1</v>
      </c>
      <c r="S51" s="1335" t="str">
        <f>$K51</f>
        <v>....1</v>
      </c>
      <c r="T51" s="1332"/>
      <c r="U51" s="170"/>
      <c r="V51" s="317"/>
      <c r="W51" s="757"/>
      <c r="X51" s="979"/>
      <c r="Y51" s="308" t="s">
        <v>59</v>
      </c>
      <c r="Z51" s="979"/>
      <c r="AA51" s="308" t="s">
        <v>59</v>
      </c>
      <c r="AB51" s="1093" t="s">
        <v>57</v>
      </c>
      <c r="AC51" s="1331"/>
      <c r="AD51" s="1163">
        <v>1</v>
      </c>
      <c r="AE51" s="1323" t="s">
        <v>18</v>
      </c>
      <c r="AF51" s="1093" t="s">
        <v>57</v>
      </c>
      <c r="AG51" s="1331"/>
      <c r="AH51" s="1163">
        <v>1</v>
      </c>
      <c r="AI51" s="1323" t="s">
        <v>18</v>
      </c>
      <c r="AJ51" s="1093" t="s">
        <v>57</v>
      </c>
      <c r="AK51" s="181"/>
      <c r="AL51" s="280">
        <v>1</v>
      </c>
      <c r="AM51" s="334"/>
      <c r="AN51" s="317"/>
      <c r="AO51" s="757"/>
      <c r="AP51" s="979"/>
      <c r="AQ51" s="308" t="s">
        <v>59</v>
      </c>
      <c r="AR51" s="979"/>
      <c r="AS51" s="308" t="s">
        <v>59</v>
      </c>
      <c r="AT51" s="795"/>
      <c r="AU51" s="1307" t="s">
        <v>551</v>
      </c>
      <c r="AV51" s="65" t="e">
        <f ca="1">STRCHECKDATE(V54:AT54)</f>
        <v>#NAME?</v>
      </c>
      <c r="AW51" s="66"/>
      <c r="AX51" s="66" t="str">
        <f t="shared" si="2"/>
        <v/>
      </c>
      <c r="AY51" s="66"/>
      <c r="AZ51" s="66"/>
    </row>
    <row r="52" spans="1:52" ht="11.25" customHeight="1">
      <c r="A52" s="798" t="s">
        <v>200</v>
      </c>
      <c r="B52" s="798"/>
      <c r="C52" s="798"/>
      <c r="D52" s="798"/>
      <c r="E52" s="1286"/>
      <c r="F52" s="1286"/>
      <c r="G52" s="1286"/>
      <c r="H52" s="1286"/>
      <c r="I52" s="1288"/>
      <c r="J52" s="1288"/>
      <c r="K52" s="1287"/>
      <c r="L52" s="799"/>
      <c r="P52" s="1204"/>
      <c r="Q52" s="1204"/>
      <c r="R52" s="215"/>
      <c r="S52" s="1336"/>
      <c r="T52" s="1333"/>
      <c r="U52" s="170"/>
      <c r="V52" s="818"/>
      <c r="W52" s="848"/>
      <c r="X52" s="818"/>
      <c r="Y52" s="818"/>
      <c r="Z52" s="818"/>
      <c r="AA52" s="818"/>
      <c r="AB52" s="1093"/>
      <c r="AC52" s="1331"/>
      <c r="AD52" s="1163"/>
      <c r="AE52" s="1323"/>
      <c r="AF52" s="1093"/>
      <c r="AG52" s="1331"/>
      <c r="AH52" s="1163"/>
      <c r="AI52" s="1323"/>
      <c r="AJ52" s="1093"/>
      <c r="AK52" s="186"/>
      <c r="AL52" s="50"/>
      <c r="AM52" s="107" t="s">
        <v>535</v>
      </c>
      <c r="AN52" s="818"/>
      <c r="AO52" s="848"/>
      <c r="AP52" s="818"/>
      <c r="AQ52" s="818"/>
      <c r="AR52" s="818"/>
      <c r="AS52" s="818"/>
      <c r="AT52" s="815"/>
      <c r="AU52" s="1308"/>
      <c r="AW52" s="66"/>
      <c r="AX52" s="66"/>
      <c r="AY52" s="66"/>
      <c r="AZ52" s="66"/>
    </row>
    <row r="53" spans="1:52" ht="11.25" customHeight="1">
      <c r="A53" s="798" t="s">
        <v>200</v>
      </c>
      <c r="B53" s="798"/>
      <c r="C53" s="798"/>
      <c r="D53" s="798"/>
      <c r="E53" s="1286"/>
      <c r="F53" s="1286"/>
      <c r="G53" s="1286"/>
      <c r="H53" s="1286"/>
      <c r="I53" s="1288"/>
      <c r="J53" s="1288"/>
      <c r="K53" s="1287"/>
      <c r="L53" s="799"/>
      <c r="P53" s="1204"/>
      <c r="Q53" s="1204"/>
      <c r="R53" s="215"/>
      <c r="S53" s="1336"/>
      <c r="T53" s="1333"/>
      <c r="U53" s="170"/>
      <c r="V53" s="818"/>
      <c r="W53" s="848"/>
      <c r="X53" s="818"/>
      <c r="Y53" s="818"/>
      <c r="Z53" s="818"/>
      <c r="AA53" s="818"/>
      <c r="AB53" s="1093"/>
      <c r="AC53" s="1331"/>
      <c r="AD53" s="1163"/>
      <c r="AE53" s="1323"/>
      <c r="AF53" s="1093"/>
      <c r="AG53" s="168"/>
      <c r="AH53" s="107"/>
      <c r="AI53" s="107" t="s">
        <v>536</v>
      </c>
      <c r="AJ53" s="818"/>
      <c r="AK53" s="818"/>
      <c r="AL53" s="818"/>
      <c r="AM53" s="818"/>
      <c r="AN53" s="818"/>
      <c r="AO53" s="848"/>
      <c r="AP53" s="818"/>
      <c r="AQ53" s="818"/>
      <c r="AR53" s="818"/>
      <c r="AS53" s="818"/>
      <c r="AT53" s="815"/>
      <c r="AU53" s="1308"/>
      <c r="AW53" s="66"/>
      <c r="AX53" s="66"/>
      <c r="AY53" s="66"/>
      <c r="AZ53" s="66"/>
    </row>
    <row r="54" spans="1:52" ht="11.25" customHeight="1">
      <c r="A54" s="798" t="s">
        <v>200</v>
      </c>
      <c r="B54" s="798" t="s">
        <v>201</v>
      </c>
      <c r="C54" s="798" t="s">
        <v>202</v>
      </c>
      <c r="D54" s="798" t="s">
        <v>203</v>
      </c>
      <c r="E54" s="1286"/>
      <c r="F54" s="1286"/>
      <c r="G54" s="1286"/>
      <c r="H54" s="1286"/>
      <c r="I54" s="1288"/>
      <c r="J54" s="1288"/>
      <c r="K54" s="1287"/>
      <c r="L54" s="799"/>
      <c r="P54" s="1204"/>
      <c r="Q54" s="1204"/>
      <c r="R54" s="215"/>
      <c r="S54" s="1337"/>
      <c r="T54" s="1334"/>
      <c r="U54" s="170"/>
      <c r="V54" s="818"/>
      <c r="W54" s="819" t="str">
        <f>X51&amp;"-"&amp;Z51</f>
        <v>-</v>
      </c>
      <c r="X54" s="818"/>
      <c r="Y54" s="818"/>
      <c r="Z54" s="818"/>
      <c r="AA54" s="818"/>
      <c r="AB54" s="1093"/>
      <c r="AC54" s="182"/>
      <c r="AD54" s="184"/>
      <c r="AE54" s="107" t="s">
        <v>537</v>
      </c>
      <c r="AF54" s="818"/>
      <c r="AG54" s="818"/>
      <c r="AH54" s="818"/>
      <c r="AI54" s="818"/>
      <c r="AJ54" s="818"/>
      <c r="AK54" s="818"/>
      <c r="AL54" s="818"/>
      <c r="AM54" s="818"/>
      <c r="AN54" s="818"/>
      <c r="AO54" s="819" t="str">
        <f>AP51&amp;"-"&amp;AR51</f>
        <v>-</v>
      </c>
      <c r="AP54" s="818"/>
      <c r="AQ54" s="818"/>
      <c r="AR54" s="818"/>
      <c r="AS54" s="818"/>
      <c r="AT54" s="796"/>
      <c r="AU54" s="1308"/>
      <c r="AW54" s="66"/>
      <c r="AX54" s="66" t="str">
        <f t="shared" ref="AX54:AX62" si="3">IF(T54="","",T54)</f>
        <v/>
      </c>
      <c r="AY54" s="66"/>
      <c r="AZ54" s="66"/>
    </row>
    <row r="55" spans="1:52" ht="11.25" customHeight="1">
      <c r="A55" s="798" t="s">
        <v>200</v>
      </c>
      <c r="B55" s="798" t="s">
        <v>201</v>
      </c>
      <c r="C55" s="798" t="s">
        <v>202</v>
      </c>
      <c r="D55" s="798" t="s">
        <v>203</v>
      </c>
      <c r="E55" s="1286"/>
      <c r="F55" s="1286"/>
      <c r="G55" s="1286"/>
      <c r="H55" s="1286"/>
      <c r="I55" s="1288"/>
      <c r="J55" s="1287"/>
      <c r="K55" s="798"/>
      <c r="L55" s="799"/>
      <c r="P55" s="1204"/>
      <c r="Q55" s="1204"/>
      <c r="R55" s="214"/>
      <c r="S55" s="772"/>
      <c r="T55" s="165" t="s">
        <v>538</v>
      </c>
      <c r="U55" s="221"/>
      <c r="V55" s="221"/>
      <c r="W55" s="221"/>
      <c r="X55" s="221"/>
      <c r="Y55" s="221"/>
      <c r="Z55" s="221"/>
      <c r="AA55" s="195"/>
      <c r="AB55" s="856"/>
      <c r="AC55" s="221"/>
      <c r="AD55" s="221"/>
      <c r="AE55" s="221"/>
      <c r="AF55" s="221"/>
      <c r="AG55" s="221"/>
      <c r="AH55" s="221"/>
      <c r="AI55" s="221"/>
      <c r="AJ55" s="221"/>
      <c r="AK55" s="221"/>
      <c r="AL55" s="221"/>
      <c r="AM55" s="221"/>
      <c r="AN55" s="221"/>
      <c r="AO55" s="221"/>
      <c r="AP55" s="221"/>
      <c r="AQ55" s="221"/>
      <c r="AR55" s="221"/>
      <c r="AS55" s="221"/>
      <c r="AT55" s="195"/>
      <c r="AU55" s="1309"/>
      <c r="AW55" s="66"/>
      <c r="AX55" s="66" t="str">
        <f t="shared" si="3"/>
        <v>Добавить строку</v>
      </c>
      <c r="AY55" s="66"/>
      <c r="AZ55" s="66"/>
    </row>
    <row r="56" spans="1:52" s="65" customFormat="1" ht="0" hidden="1" customHeight="1">
      <c r="A56" s="142" t="s">
        <v>200</v>
      </c>
      <c r="B56" s="142" t="s">
        <v>201</v>
      </c>
      <c r="C56" s="142" t="s">
        <v>202</v>
      </c>
      <c r="D56" s="142" t="s">
        <v>203</v>
      </c>
      <c r="E56" s="1286"/>
      <c r="F56" s="1286"/>
      <c r="G56" s="1286"/>
      <c r="H56" s="1286"/>
      <c r="I56" s="1287"/>
      <c r="J56" s="142"/>
      <c r="K56" s="142"/>
      <c r="L56" s="357"/>
      <c r="M56" s="228"/>
      <c r="N56" s="228"/>
      <c r="O56" s="228"/>
      <c r="P56" s="1204"/>
      <c r="Q56" s="119"/>
      <c r="R56" s="214"/>
      <c r="S56" s="811"/>
      <c r="T56" s="812" t="s">
        <v>473</v>
      </c>
      <c r="U56" s="813"/>
      <c r="V56" s="813"/>
      <c r="W56" s="813"/>
      <c r="X56" s="813"/>
      <c r="Y56" s="813"/>
      <c r="Z56" s="813"/>
      <c r="AA56" s="813"/>
      <c r="AB56" s="813"/>
      <c r="AC56" s="813"/>
      <c r="AD56" s="813"/>
      <c r="AE56" s="813"/>
      <c r="AF56" s="813"/>
      <c r="AG56" s="813"/>
      <c r="AH56" s="813"/>
      <c r="AI56" s="813"/>
      <c r="AJ56" s="813"/>
      <c r="AK56" s="813"/>
      <c r="AL56" s="813"/>
      <c r="AM56" s="813"/>
      <c r="AN56" s="813"/>
      <c r="AO56" s="813"/>
      <c r="AP56" s="813"/>
      <c r="AQ56" s="813"/>
      <c r="AR56" s="813"/>
      <c r="AS56" s="813"/>
      <c r="AT56" s="813"/>
      <c r="AU56" s="814"/>
      <c r="AW56" s="66"/>
      <c r="AX56" s="66" t="str">
        <f t="shared" si="3"/>
        <v>Добавить группу потребителей</v>
      </c>
      <c r="AY56" s="66"/>
      <c r="AZ56" s="66"/>
    </row>
    <row r="57" spans="1:52" s="209" customFormat="1" ht="0" hidden="1" customHeight="1">
      <c r="A57" s="142" t="s">
        <v>200</v>
      </c>
      <c r="B57" s="142" t="s">
        <v>201</v>
      </c>
      <c r="C57" s="142" t="s">
        <v>202</v>
      </c>
      <c r="D57" s="142" t="s">
        <v>203</v>
      </c>
      <c r="E57" s="1286"/>
      <c r="F57" s="1286"/>
      <c r="G57" s="1286"/>
      <c r="H57" s="1285"/>
      <c r="I57" s="142"/>
      <c r="J57" s="142"/>
      <c r="K57" s="142"/>
      <c r="L57" s="357"/>
      <c r="M57" s="304"/>
      <c r="N57" s="304"/>
      <c r="O57" s="65"/>
      <c r="P57" s="101"/>
      <c r="Q57" s="785"/>
      <c r="R57" s="824"/>
      <c r="S57" s="811"/>
      <c r="T57" s="812"/>
      <c r="U57" s="813"/>
      <c r="V57" s="813"/>
      <c r="W57" s="813"/>
      <c r="X57" s="813"/>
      <c r="Y57" s="813"/>
      <c r="Z57" s="813"/>
      <c r="AA57" s="813"/>
      <c r="AB57" s="813"/>
      <c r="AC57" s="813"/>
      <c r="AD57" s="813"/>
      <c r="AE57" s="813"/>
      <c r="AF57" s="813"/>
      <c r="AG57" s="813"/>
      <c r="AH57" s="813"/>
      <c r="AI57" s="813"/>
      <c r="AJ57" s="813"/>
      <c r="AK57" s="813"/>
      <c r="AL57" s="813"/>
      <c r="AM57" s="813"/>
      <c r="AN57" s="813"/>
      <c r="AO57" s="813"/>
      <c r="AP57" s="813"/>
      <c r="AQ57" s="813"/>
      <c r="AR57" s="813"/>
      <c r="AS57" s="813"/>
      <c r="AT57" s="813"/>
      <c r="AU57" s="814"/>
      <c r="AV57" s="65"/>
      <c r="AW57" s="66"/>
      <c r="AX57" s="66" t="str">
        <f t="shared" si="3"/>
        <v/>
      </c>
      <c r="AY57" s="66"/>
      <c r="AZ57" s="66"/>
    </row>
    <row r="58" spans="1:52" s="65" customFormat="1" ht="0" hidden="1" customHeight="1">
      <c r="A58" s="142" t="s">
        <v>200</v>
      </c>
      <c r="B58" s="142" t="s">
        <v>201</v>
      </c>
      <c r="C58" s="142" t="s">
        <v>202</v>
      </c>
      <c r="D58" s="142"/>
      <c r="E58" s="1286"/>
      <c r="F58" s="1286"/>
      <c r="G58" s="1285"/>
      <c r="H58" s="142"/>
      <c r="I58" s="142"/>
      <c r="J58" s="142"/>
      <c r="K58" s="142"/>
      <c r="L58" s="357"/>
      <c r="M58" s="304"/>
      <c r="N58" s="304"/>
      <c r="P58" s="101"/>
      <c r="Q58" s="785"/>
      <c r="R58" s="101"/>
      <c r="S58" s="790"/>
      <c r="T58" s="792" t="s">
        <v>431</v>
      </c>
      <c r="U58" s="324"/>
      <c r="V58" s="324"/>
      <c r="W58" s="324"/>
      <c r="X58" s="324"/>
      <c r="Y58" s="324"/>
      <c r="Z58" s="324"/>
      <c r="AA58" s="324"/>
      <c r="AB58" s="324"/>
      <c r="AC58" s="324"/>
      <c r="AD58" s="324"/>
      <c r="AE58" s="324"/>
      <c r="AF58" s="324"/>
      <c r="AG58" s="324"/>
      <c r="AH58" s="324"/>
      <c r="AI58" s="324"/>
      <c r="AJ58" s="324"/>
      <c r="AK58" s="324"/>
      <c r="AL58" s="324"/>
      <c r="AM58" s="324"/>
      <c r="AN58" s="324"/>
      <c r="AO58" s="324"/>
      <c r="AP58" s="324"/>
      <c r="AQ58" s="324"/>
      <c r="AR58" s="324"/>
      <c r="AS58" s="324"/>
      <c r="AT58" s="324"/>
      <c r="AU58" s="324"/>
      <c r="AW58" s="66"/>
      <c r="AX58" s="66" t="str">
        <f t="shared" si="3"/>
        <v>Добавить источник для дифференциации</v>
      </c>
      <c r="AY58" s="66"/>
      <c r="AZ58" s="66"/>
    </row>
    <row r="59" spans="1:52" s="65" customFormat="1" ht="0" hidden="1" customHeight="1">
      <c r="A59" s="142" t="s">
        <v>200</v>
      </c>
      <c r="B59" s="142" t="s">
        <v>201</v>
      </c>
      <c r="C59" s="142"/>
      <c r="D59" s="142"/>
      <c r="E59" s="1286"/>
      <c r="F59" s="1285"/>
      <c r="G59" s="142"/>
      <c r="H59" s="142"/>
      <c r="I59" s="142"/>
      <c r="J59" s="142"/>
      <c r="K59" s="142"/>
      <c r="L59" s="357"/>
      <c r="M59" s="789"/>
      <c r="N59" s="789"/>
      <c r="P59" s="101"/>
      <c r="Q59" s="785"/>
      <c r="R59" s="101"/>
      <c r="S59" s="790"/>
      <c r="T59" s="792" t="s">
        <v>432</v>
      </c>
      <c r="U59" s="324"/>
      <c r="V59" s="324"/>
      <c r="W59" s="324"/>
      <c r="X59" s="324"/>
      <c r="Y59" s="324"/>
      <c r="Z59" s="324"/>
      <c r="AA59" s="324"/>
      <c r="AB59" s="324"/>
      <c r="AC59" s="324"/>
      <c r="AD59" s="324"/>
      <c r="AE59" s="324"/>
      <c r="AF59" s="324"/>
      <c r="AG59" s="324"/>
      <c r="AH59" s="324"/>
      <c r="AI59" s="324"/>
      <c r="AJ59" s="324"/>
      <c r="AK59" s="324"/>
      <c r="AL59" s="324"/>
      <c r="AM59" s="324"/>
      <c r="AN59" s="324"/>
      <c r="AO59" s="324"/>
      <c r="AP59" s="324"/>
      <c r="AQ59" s="324"/>
      <c r="AR59" s="324"/>
      <c r="AS59" s="324"/>
      <c r="AT59" s="324"/>
      <c r="AU59" s="324"/>
      <c r="AW59" s="66"/>
      <c r="AX59" s="66" t="str">
        <f t="shared" si="3"/>
        <v>Добавить централизованную систему для дифференциации</v>
      </c>
      <c r="AY59" s="66"/>
      <c r="AZ59" s="66"/>
    </row>
    <row r="60" spans="1:52" s="65" customFormat="1" ht="0" hidden="1" customHeight="1">
      <c r="A60" s="142" t="s">
        <v>200</v>
      </c>
      <c r="B60" s="142"/>
      <c r="C60" s="142"/>
      <c r="D60" s="142"/>
      <c r="E60" s="1286"/>
      <c r="F60" s="142"/>
      <c r="G60" s="142"/>
      <c r="H60" s="142"/>
      <c r="I60" s="142"/>
      <c r="J60" s="142"/>
      <c r="K60" s="142"/>
      <c r="L60" s="357"/>
      <c r="M60" s="789"/>
      <c r="N60" s="789"/>
      <c r="P60" s="101"/>
      <c r="Q60" s="785"/>
      <c r="R60" s="101"/>
      <c r="S60" s="790"/>
      <c r="T60" s="792" t="s">
        <v>433</v>
      </c>
      <c r="U60" s="324"/>
      <c r="V60" s="324"/>
      <c r="W60" s="324"/>
      <c r="X60" s="324"/>
      <c r="Y60" s="324"/>
      <c r="Z60" s="324"/>
      <c r="AA60" s="324"/>
      <c r="AB60" s="324"/>
      <c r="AC60" s="324"/>
      <c r="AD60" s="324"/>
      <c r="AE60" s="324"/>
      <c r="AF60" s="324"/>
      <c r="AG60" s="324"/>
      <c r="AH60" s="324"/>
      <c r="AI60" s="324"/>
      <c r="AJ60" s="324"/>
      <c r="AK60" s="324"/>
      <c r="AL60" s="324"/>
      <c r="AM60" s="324"/>
      <c r="AN60" s="324"/>
      <c r="AO60" s="324"/>
      <c r="AP60" s="324"/>
      <c r="AQ60" s="324"/>
      <c r="AR60" s="324"/>
      <c r="AS60" s="324"/>
      <c r="AT60" s="324"/>
      <c r="AU60" s="324"/>
      <c r="AW60" s="66"/>
      <c r="AX60" s="66" t="str">
        <f t="shared" si="3"/>
        <v>Добавить территорию для дифференциации</v>
      </c>
      <c r="AY60" s="66"/>
      <c r="AZ60" s="66"/>
    </row>
    <row r="61" spans="1:52" s="65" customFormat="1" ht="0" hidden="1" customHeight="1">
      <c r="A61" s="142" t="s">
        <v>200</v>
      </c>
      <c r="B61" s="142"/>
      <c r="C61" s="142"/>
      <c r="D61" s="142"/>
      <c r="E61" s="1285"/>
      <c r="F61" s="142"/>
      <c r="G61" s="142"/>
      <c r="H61" s="142"/>
      <c r="I61" s="142"/>
      <c r="J61" s="142"/>
      <c r="K61" s="142"/>
      <c r="L61" s="357"/>
      <c r="M61" s="789"/>
      <c r="N61" s="789"/>
      <c r="P61" s="101"/>
      <c r="Q61" s="785"/>
      <c r="R61" s="101"/>
      <c r="S61" s="790"/>
      <c r="T61" s="792" t="s">
        <v>433</v>
      </c>
      <c r="U61" s="324"/>
      <c r="V61" s="324"/>
      <c r="W61" s="324"/>
      <c r="X61" s="324"/>
      <c r="Y61" s="324"/>
      <c r="Z61" s="324"/>
      <c r="AA61" s="324"/>
      <c r="AB61" s="324"/>
      <c r="AC61" s="324"/>
      <c r="AD61" s="324"/>
      <c r="AE61" s="324"/>
      <c r="AF61" s="324"/>
      <c r="AG61" s="324"/>
      <c r="AH61" s="324"/>
      <c r="AI61" s="324"/>
      <c r="AJ61" s="324"/>
      <c r="AK61" s="324"/>
      <c r="AL61" s="324"/>
      <c r="AM61" s="324"/>
      <c r="AN61" s="324"/>
      <c r="AO61" s="324"/>
      <c r="AP61" s="324"/>
      <c r="AQ61" s="324"/>
      <c r="AR61" s="324"/>
      <c r="AS61" s="324"/>
      <c r="AT61" s="324"/>
      <c r="AU61" s="324"/>
      <c r="AW61" s="66"/>
      <c r="AX61" s="66" t="str">
        <f t="shared" si="3"/>
        <v>Добавить территорию для дифференциации</v>
      </c>
      <c r="AY61" s="66"/>
      <c r="AZ61" s="66"/>
    </row>
    <row r="62" spans="1:52" s="65" customFormat="1" ht="0" hidden="1" customHeight="1">
      <c r="A62" s="142"/>
      <c r="B62" s="142"/>
      <c r="C62" s="142"/>
      <c r="D62" s="142"/>
      <c r="E62" s="142"/>
      <c r="F62" s="142"/>
      <c r="G62" s="142"/>
      <c r="H62" s="142"/>
      <c r="I62" s="142"/>
      <c r="J62" s="142"/>
      <c r="K62" s="142"/>
      <c r="L62" s="357"/>
      <c r="M62" s="789"/>
      <c r="N62" s="789"/>
      <c r="P62" s="101"/>
      <c r="Q62" s="785"/>
      <c r="R62" s="101"/>
      <c r="S62" s="790"/>
      <c r="T62" s="792" t="s">
        <v>434</v>
      </c>
      <c r="U62" s="324"/>
      <c r="V62" s="324"/>
      <c r="W62" s="324"/>
      <c r="X62" s="324"/>
      <c r="Y62" s="324"/>
      <c r="Z62" s="324"/>
      <c r="AA62" s="324"/>
      <c r="AB62" s="324"/>
      <c r="AC62" s="324"/>
      <c r="AD62" s="324"/>
      <c r="AE62" s="324"/>
      <c r="AF62" s="324"/>
      <c r="AG62" s="324"/>
      <c r="AH62" s="324"/>
      <c r="AI62" s="324"/>
      <c r="AJ62" s="324"/>
      <c r="AK62" s="324"/>
      <c r="AL62" s="324"/>
      <c r="AM62" s="324"/>
      <c r="AN62" s="324"/>
      <c r="AO62" s="324"/>
      <c r="AP62" s="324"/>
      <c r="AQ62" s="324"/>
      <c r="AR62" s="324"/>
      <c r="AS62" s="324"/>
      <c r="AT62" s="324"/>
      <c r="AU62" s="324"/>
      <c r="AW62" s="66"/>
      <c r="AX62" s="66" t="str">
        <f t="shared" si="3"/>
        <v>Добавить наименование тарифа</v>
      </c>
      <c r="AY62" s="66"/>
      <c r="AZ62" s="66"/>
    </row>
    <row r="63" spans="1:52" ht="11.25" hidden="1" customHeight="1">
      <c r="M63" s="60"/>
      <c r="N63" s="60"/>
      <c r="O63" s="60"/>
      <c r="P63" s="60"/>
      <c r="Q63" s="60"/>
      <c r="R63" s="9"/>
      <c r="S63" s="9"/>
      <c r="AV63" s="9"/>
      <c r="AW63" s="9"/>
      <c r="AX63" s="9"/>
      <c r="AY63" s="9"/>
      <c r="AZ63" s="9"/>
    </row>
    <row r="64" spans="1:52" ht="18.75" hidden="1" customHeight="1">
      <c r="O64" s="60"/>
      <c r="S64" s="204" t="s">
        <v>506</v>
      </c>
      <c r="T64" s="1284" t="s">
        <v>552</v>
      </c>
      <c r="U64" s="1284"/>
      <c r="V64" s="1284"/>
      <c r="W64" s="1284"/>
      <c r="X64" s="1284"/>
      <c r="Y64" s="1284"/>
      <c r="Z64" s="1284"/>
      <c r="AA64" s="1284"/>
      <c r="AB64" s="1284"/>
      <c r="AC64" s="1284"/>
      <c r="AD64" s="1284"/>
      <c r="AE64" s="1284"/>
      <c r="AF64" s="1284"/>
      <c r="AG64" s="1284"/>
      <c r="AH64" s="1284"/>
      <c r="AI64" s="1284"/>
      <c r="AJ64" s="1284"/>
      <c r="AK64" s="1284"/>
      <c r="AL64" s="1284"/>
      <c r="AM64" s="1284"/>
      <c r="AN64" s="1284"/>
      <c r="AO64" s="1284"/>
      <c r="AP64" s="1284"/>
      <c r="AQ64" s="1284"/>
      <c r="AR64" s="1284"/>
      <c r="AS64" s="1284"/>
      <c r="AT64" s="1284"/>
      <c r="AU64" s="1284"/>
    </row>
    <row r="65" spans="15:47" ht="19.5" hidden="1" customHeight="1">
      <c r="O65" s="60"/>
      <c r="T65" s="1284" t="s">
        <v>532</v>
      </c>
      <c r="U65" s="1284"/>
      <c r="V65" s="1284"/>
      <c r="W65" s="1284"/>
      <c r="X65" s="1284"/>
      <c r="Y65" s="1284"/>
      <c r="Z65" s="1284"/>
      <c r="AA65" s="1284"/>
      <c r="AB65" s="1284"/>
      <c r="AC65" s="1284"/>
      <c r="AD65" s="1284"/>
      <c r="AE65" s="1284"/>
      <c r="AF65" s="1284"/>
      <c r="AG65" s="1284"/>
      <c r="AH65" s="1284"/>
      <c r="AI65" s="1284"/>
      <c r="AJ65" s="1284"/>
      <c r="AK65" s="1284"/>
      <c r="AL65" s="1284"/>
      <c r="AM65" s="1284"/>
      <c r="AN65" s="1284"/>
      <c r="AO65" s="1284"/>
      <c r="AP65" s="1284"/>
      <c r="AQ65" s="1284"/>
      <c r="AR65" s="1284"/>
      <c r="AS65" s="1284"/>
      <c r="AT65" s="1284"/>
      <c r="AU65" s="1284"/>
    </row>
    <row r="66" spans="15:47" ht="14.25" hidden="1" customHeight="1">
      <c r="O66" s="60"/>
      <c r="T66" s="383"/>
      <c r="U66" s="383"/>
      <c r="V66" s="383"/>
      <c r="W66" s="383"/>
      <c r="X66" s="383"/>
      <c r="Y66" s="383"/>
      <c r="Z66" s="383"/>
      <c r="AA66" s="383"/>
      <c r="AB66" s="383"/>
      <c r="AC66" s="383"/>
      <c r="AD66" s="383"/>
      <c r="AE66" s="383"/>
      <c r="AF66" s="383"/>
      <c r="AG66" s="383"/>
      <c r="AH66" s="383"/>
      <c r="AI66" s="383"/>
      <c r="AJ66" s="383"/>
      <c r="AK66" s="383"/>
      <c r="AL66" s="383"/>
      <c r="AM66" s="383"/>
      <c r="AN66" s="383"/>
      <c r="AO66" s="383"/>
      <c r="AP66" s="383"/>
      <c r="AQ66" s="383"/>
      <c r="AR66" s="383"/>
      <c r="AS66" s="383"/>
      <c r="AT66" s="383"/>
      <c r="AU66" s="383"/>
    </row>
    <row r="67" spans="15:47" ht="18.75" hidden="1" customHeight="1">
      <c r="O67" s="60"/>
      <c r="T67" s="1284" t="s">
        <v>553</v>
      </c>
      <c r="U67" s="1284"/>
      <c r="V67" s="1284"/>
      <c r="W67" s="1284"/>
      <c r="X67" s="1284"/>
      <c r="Y67" s="1284"/>
      <c r="Z67" s="1284"/>
      <c r="AA67" s="1284"/>
      <c r="AB67" s="1284"/>
      <c r="AC67" s="1284"/>
      <c r="AD67" s="1284"/>
      <c r="AE67" s="1284"/>
      <c r="AF67" s="1284"/>
      <c r="AG67" s="1284"/>
      <c r="AH67" s="1284"/>
      <c r="AI67" s="1284"/>
      <c r="AJ67" s="1284"/>
      <c r="AK67" s="1284"/>
      <c r="AL67" s="1284"/>
      <c r="AM67" s="1284"/>
      <c r="AN67" s="1284"/>
      <c r="AO67" s="1284"/>
      <c r="AP67" s="1284"/>
      <c r="AQ67" s="1284"/>
      <c r="AR67" s="1284"/>
      <c r="AS67" s="1284"/>
      <c r="AT67" s="1284"/>
      <c r="AU67" s="1284"/>
    </row>
    <row r="68" spans="15:47" ht="15.75" hidden="1" customHeight="1">
      <c r="O68" s="60"/>
      <c r="T68" s="1284" t="s">
        <v>532</v>
      </c>
      <c r="U68" s="1284"/>
      <c r="V68" s="1284"/>
      <c r="W68" s="1284"/>
      <c r="X68" s="1284"/>
      <c r="Y68" s="1284"/>
      <c r="Z68" s="1284"/>
      <c r="AA68" s="1284"/>
      <c r="AB68" s="1284"/>
      <c r="AC68" s="1284"/>
      <c r="AD68" s="1284"/>
      <c r="AE68" s="1284"/>
      <c r="AF68" s="1284"/>
      <c r="AG68" s="1284"/>
      <c r="AH68" s="1284"/>
      <c r="AI68" s="1284"/>
      <c r="AJ68" s="1284"/>
      <c r="AK68" s="1284"/>
      <c r="AL68" s="1284"/>
      <c r="AM68" s="1284"/>
      <c r="AN68" s="1284"/>
      <c r="AO68" s="1284"/>
      <c r="AP68" s="1284"/>
      <c r="AQ68" s="1284"/>
      <c r="AR68" s="1284"/>
      <c r="AS68" s="1284"/>
      <c r="AT68" s="1284"/>
      <c r="AU68" s="1284"/>
    </row>
    <row r="69" spans="15:47" ht="14.25" customHeight="1">
      <c r="O69" s="60"/>
    </row>
  </sheetData>
  <sheetProtection formatColumns="0" formatRows="0" insertRows="0" deleteColumns="0" deleteRows="0" sort="0" autoFilter="0"/>
  <mergeCells count="118">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s>
  <dataValidations count="9">
    <dataValidation type="list" allowBlank="1" showInputMessage="1" showErrorMessage="1" errorTitle="Ошибка" error="Выберите значение из списка" prompt="Выберите значение из списка" sqref="AN42:AO42" xr:uid="{00000000-0002-0000-1300-000000000000}">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xr:uid="{00000000-0002-0000-1300-000001000000}">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xr:uid="{00000000-0002-0000-1300-000002000000}"/>
    <dataValidation type="list" allowBlank="1" showInputMessage="1" showErrorMessage="1" errorTitle="Ошибка" error="Выберите значение из списка" sqref="T65590 T131126 T196662 T262198 T327734 T393270 T458806 T524342 T589878 T655414 T720950 T786486 T852022 T917558 T983094" xr:uid="{00000000-0002-0000-1300-000003000000}">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xr:uid="{00000000-0002-0000-1300-000004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xr:uid="{00000000-0002-0000-1300-000005000000}"/>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xr:uid="{00000000-0002-0000-1300-000006000000}"/>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xr:uid="{00000000-0002-0000-1300-000007000000}">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xr:uid="{00000000-0002-0000-13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53F6D-2687-2FCF-99AE-C2E69A857338}">
  <sheetPr>
    <tabColor rgb="FFFFCC99"/>
  </sheetPr>
  <dimension ref="A1:CD118"/>
  <sheetViews>
    <sheetView showGridLines="0" workbookViewId="0"/>
  </sheetViews>
  <sheetFormatPr defaultColWidth="9.140625" defaultRowHeight="11.25" customHeight="1"/>
  <cols>
    <col min="1" max="1" width="32.5703125" style="220" customWidth="1"/>
    <col min="2" max="2" width="11" customWidth="1"/>
    <col min="4" max="4" width="26.5703125" customWidth="1"/>
    <col min="5" max="5" width="27.7109375" style="2" customWidth="1"/>
    <col min="6" max="6" width="23.5703125" style="2" customWidth="1"/>
    <col min="7" max="7" width="31.42578125" style="2" customWidth="1"/>
    <col min="8" max="8" width="40.85546875" style="2" customWidth="1"/>
    <col min="9" max="9" width="14.5703125" style="2" customWidth="1"/>
    <col min="10" max="10" width="26.85546875" style="2" customWidth="1"/>
    <col min="11" max="11" width="50" style="2" customWidth="1"/>
    <col min="12" max="13" width="10.7109375" style="2" customWidth="1"/>
    <col min="14" max="14" width="55.140625" style="2" customWidth="1"/>
    <col min="15" max="15" width="31.85546875" style="2" customWidth="1"/>
    <col min="16" max="16" width="23.85546875" style="2" customWidth="1"/>
    <col min="17" max="17" width="46.5703125" style="2" customWidth="1"/>
    <col min="18" max="18" width="24" style="2" customWidth="1"/>
    <col min="19" max="19" width="20.5703125" style="2" customWidth="1"/>
    <col min="20" max="20" width="22" style="2" customWidth="1"/>
    <col min="21" max="22" width="26.42578125" style="2" customWidth="1"/>
    <col min="23" max="23" width="8.28515625" style="2" hidden="1" customWidth="1"/>
    <col min="24" max="24" width="59.7109375" style="2" customWidth="1"/>
    <col min="25" max="25" width="49.140625" style="2" customWidth="1"/>
    <col min="26" max="26" width="11.140625" style="2" customWidth="1"/>
    <col min="27" max="30" width="29" style="2" customWidth="1"/>
    <col min="31" max="31" width="9.140625" style="2"/>
    <col min="32" max="32" width="34.7109375" style="2" customWidth="1"/>
    <col min="33" max="33" width="9.140625" style="2"/>
    <col min="34" max="35" width="34.42578125" style="2" customWidth="1"/>
    <col min="36" max="36" width="9.140625" style="2"/>
    <col min="37" max="37" width="24.5703125" style="2" customWidth="1"/>
    <col min="38" max="38" width="9.140625" style="2"/>
    <col min="39" max="39" width="26.140625" style="2" customWidth="1"/>
    <col min="40" max="40" width="1.7109375" style="2" customWidth="1"/>
    <col min="41" max="41" width="9.140625" style="2"/>
    <col min="42" max="43" width="47.85546875" style="2" customWidth="1"/>
    <col min="44" max="44" width="1.7109375" style="2" customWidth="1"/>
    <col min="45" max="45" width="21.42578125" style="2" customWidth="1"/>
    <col min="46" max="46" width="1.7109375" style="2" customWidth="1"/>
    <col min="47" max="47" width="31.28515625" style="2" customWidth="1"/>
    <col min="48" max="48" width="1.7109375" style="2" customWidth="1"/>
    <col min="49" max="50" width="9.140625" style="2"/>
    <col min="51" max="51" width="3.7109375" style="2" customWidth="1"/>
    <col min="52" max="52" width="55" style="2" customWidth="1"/>
    <col min="53" max="53" width="9.140625" style="2"/>
    <col min="54" max="54" width="35.140625" style="2" customWidth="1"/>
    <col min="55" max="55" width="9.140625" style="2"/>
    <col min="56" max="56" width="1.7109375" style="2" customWidth="1"/>
    <col min="57" max="57" width="12.5703125" style="646" customWidth="1"/>
    <col min="58" max="58" width="14.28515625" style="646" customWidth="1"/>
    <col min="59" max="59" width="30.7109375" style="2" customWidth="1"/>
    <col min="60" max="60" width="40.7109375" style="191" customWidth="1"/>
    <col min="61" max="61" width="15" style="191" customWidth="1"/>
    <col min="62" max="62" width="40.7109375" style="191" customWidth="1"/>
    <col min="63" max="63" width="2.7109375" style="191" customWidth="1"/>
    <col min="64" max="64" width="44.7109375" style="191" customWidth="1"/>
    <col min="65" max="65" width="2.7109375" style="191" customWidth="1"/>
    <col min="66" max="66" width="40.7109375" style="191" customWidth="1"/>
    <col min="67" max="68" width="9.140625" style="2"/>
    <col min="69" max="69" width="18.140625" style="2" customWidth="1"/>
    <col min="70" max="70" width="57.85546875" style="2" customWidth="1"/>
    <col min="71" max="71" width="1.7109375" style="2" customWidth="1"/>
    <col min="72" max="72" width="22.5703125" style="2" customWidth="1"/>
    <col min="73" max="73" width="57.85546875" style="2" customWidth="1"/>
    <col min="74" max="74" width="1.7109375" style="2" customWidth="1"/>
    <col min="75" max="75" width="22.5703125" style="2" customWidth="1"/>
    <col min="76" max="76" width="57.85546875" style="2" customWidth="1"/>
    <col min="77" max="77" width="1.7109375" style="2" customWidth="1"/>
    <col min="78" max="78" width="22.5703125" style="2" customWidth="1"/>
    <col min="79" max="79" width="57.85546875" style="2" customWidth="1"/>
    <col min="80" max="81" width="9.140625" style="2"/>
    <col min="82" max="82" width="49.5703125" style="2" customWidth="1"/>
  </cols>
  <sheetData>
    <row r="1" spans="1:79" s="51" customFormat="1" ht="11.25" customHeight="1">
      <c r="A1" s="647" t="s">
        <v>554</v>
      </c>
      <c r="B1" s="647" t="s">
        <v>555</v>
      </c>
      <c r="C1" s="647" t="s">
        <v>556</v>
      </c>
      <c r="D1" s="647" t="s">
        <v>557</v>
      </c>
      <c r="E1" s="647" t="s">
        <v>558</v>
      </c>
      <c r="F1" s="647" t="s">
        <v>559</v>
      </c>
      <c r="G1" s="647" t="s">
        <v>560</v>
      </c>
      <c r="H1" s="647" t="s">
        <v>561</v>
      </c>
      <c r="I1" s="647" t="s">
        <v>562</v>
      </c>
      <c r="J1" s="647" t="s">
        <v>563</v>
      </c>
      <c r="K1" s="647" t="s">
        <v>564</v>
      </c>
      <c r="L1" s="647"/>
      <c r="M1" s="647"/>
      <c r="N1" s="647" t="s">
        <v>565</v>
      </c>
      <c r="O1" s="647" t="s">
        <v>566</v>
      </c>
      <c r="P1" s="647" t="s">
        <v>567</v>
      </c>
      <c r="Q1" s="647" t="s">
        <v>568</v>
      </c>
      <c r="R1" s="647" t="s">
        <v>569</v>
      </c>
      <c r="S1" s="647" t="s">
        <v>570</v>
      </c>
      <c r="T1" s="647" t="s">
        <v>571</v>
      </c>
      <c r="U1" s="647" t="s">
        <v>572</v>
      </c>
      <c r="V1" s="647"/>
      <c r="W1" s="475" t="s">
        <v>573</v>
      </c>
      <c r="X1" s="647" t="s">
        <v>574</v>
      </c>
      <c r="Y1" s="647" t="s">
        <v>575</v>
      </c>
      <c r="Z1" s="647"/>
      <c r="AA1" s="647" t="s">
        <v>576</v>
      </c>
      <c r="AB1" s="647"/>
      <c r="AC1" s="647" t="s">
        <v>577</v>
      </c>
      <c r="AD1" s="647"/>
      <c r="AF1" s="647" t="s">
        <v>578</v>
      </c>
      <c r="AH1" s="647" t="s">
        <v>579</v>
      </c>
      <c r="AI1" s="647" t="s">
        <v>580</v>
      </c>
      <c r="AK1" s="647" t="s">
        <v>581</v>
      </c>
      <c r="AM1" s="647" t="s">
        <v>582</v>
      </c>
      <c r="AP1" s="647" t="s">
        <v>583</v>
      </c>
      <c r="AQ1" s="647" t="s">
        <v>584</v>
      </c>
      <c r="AS1" s="647" t="s">
        <v>585</v>
      </c>
      <c r="AU1" s="647" t="s">
        <v>586</v>
      </c>
      <c r="AW1" s="647" t="s">
        <v>587</v>
      </c>
      <c r="AX1" s="647" t="s">
        <v>588</v>
      </c>
      <c r="AZ1" s="687" t="s">
        <v>589</v>
      </c>
      <c r="BB1" s="647" t="s">
        <v>590</v>
      </c>
      <c r="BC1" s="647"/>
      <c r="BE1" s="647" t="s">
        <v>591</v>
      </c>
      <c r="BF1" s="647" t="s">
        <v>592</v>
      </c>
      <c r="BH1" s="649" t="s">
        <v>593</v>
      </c>
      <c r="BI1" s="191"/>
      <c r="BJ1" s="650" t="s">
        <v>594</v>
      </c>
      <c r="BK1" s="191"/>
      <c r="BL1" s="651" t="s">
        <v>595</v>
      </c>
      <c r="BM1" s="191"/>
      <c r="BN1" s="652" t="s">
        <v>596</v>
      </c>
    </row>
    <row r="2" spans="1:79" ht="11.25" customHeight="1">
      <c r="A2" s="2" t="s">
        <v>597</v>
      </c>
      <c r="B2" s="653">
        <v>2000</v>
      </c>
      <c r="C2" s="653">
        <v>2022</v>
      </c>
      <c r="D2" s="653" t="s">
        <v>59</v>
      </c>
      <c r="E2" s="654" t="s">
        <v>598</v>
      </c>
      <c r="F2" s="654" t="s">
        <v>599</v>
      </c>
      <c r="G2" s="654" t="s">
        <v>600</v>
      </c>
      <c r="H2" s="654" t="s">
        <v>55</v>
      </c>
      <c r="I2" s="654" t="s">
        <v>110</v>
      </c>
      <c r="J2" s="654" t="s">
        <v>601</v>
      </c>
      <c r="K2" s="174" t="s">
        <v>602</v>
      </c>
      <c r="L2" s="174" t="s">
        <v>602</v>
      </c>
      <c r="M2" s="174">
        <v>1</v>
      </c>
      <c r="N2" s="689" t="s">
        <v>603</v>
      </c>
      <c r="O2" s="654" t="s">
        <v>604</v>
      </c>
      <c r="P2" s="655" t="s">
        <v>34</v>
      </c>
      <c r="Q2" s="656" t="s">
        <v>605</v>
      </c>
      <c r="R2" s="58" t="s">
        <v>606</v>
      </c>
      <c r="S2" s="58" t="s">
        <v>607</v>
      </c>
      <c r="T2" s="657" t="s">
        <v>608</v>
      </c>
      <c r="U2" s="174" t="s">
        <v>609</v>
      </c>
      <c r="V2" s="658">
        <v>1</v>
      </c>
      <c r="W2" s="659"/>
      <c r="X2" s="659" t="s">
        <v>610</v>
      </c>
      <c r="Y2" s="653" t="s">
        <v>611</v>
      </c>
      <c r="Z2" s="660"/>
      <c r="AA2" s="653" t="s">
        <v>612</v>
      </c>
      <c r="AB2" s="661" t="s">
        <v>612</v>
      </c>
      <c r="AC2" s="653" t="s">
        <v>613</v>
      </c>
      <c r="AD2" s="661" t="s">
        <v>613</v>
      </c>
      <c r="AF2" s="654" t="s">
        <v>609</v>
      </c>
      <c r="AH2" s="654" t="s">
        <v>614</v>
      </c>
      <c r="AI2" s="654" t="s">
        <v>614</v>
      </c>
      <c r="AK2" s="654" t="s">
        <v>615</v>
      </c>
      <c r="AM2" s="654" t="s">
        <v>616</v>
      </c>
      <c r="AP2" s="31" t="s">
        <v>610</v>
      </c>
      <c r="AQ2" s="662" t="s">
        <v>610</v>
      </c>
      <c r="AS2" s="653" t="s">
        <v>617</v>
      </c>
      <c r="AU2" s="682" t="s">
        <v>618</v>
      </c>
      <c r="AW2" s="682" t="s">
        <v>619</v>
      </c>
      <c r="AX2" s="682" t="s">
        <v>619</v>
      </c>
      <c r="AZ2" s="682" t="s">
        <v>620</v>
      </c>
      <c r="BB2" s="682" t="s">
        <v>621</v>
      </c>
      <c r="BC2" s="682" t="s">
        <v>622</v>
      </c>
      <c r="BE2" s="682">
        <v>2000</v>
      </c>
      <c r="BF2" s="682" t="s">
        <v>623</v>
      </c>
    </row>
    <row r="3" spans="1:79" ht="11.25" customHeight="1">
      <c r="A3" s="2" t="s">
        <v>624</v>
      </c>
      <c r="B3" s="653">
        <v>2001</v>
      </c>
      <c r="C3" s="653">
        <v>2023</v>
      </c>
      <c r="D3" s="653" t="s">
        <v>57</v>
      </c>
      <c r="E3" s="654" t="s">
        <v>625</v>
      </c>
      <c r="F3" s="654" t="s">
        <v>626</v>
      </c>
      <c r="G3" s="654" t="s">
        <v>627</v>
      </c>
      <c r="H3" s="654" t="s">
        <v>628</v>
      </c>
      <c r="I3" s="654" t="s">
        <v>111</v>
      </c>
      <c r="J3" s="654" t="s">
        <v>629</v>
      </c>
      <c r="K3" s="174" t="s">
        <v>630</v>
      </c>
      <c r="L3" s="174" t="s">
        <v>630</v>
      </c>
      <c r="M3" s="174">
        <v>2</v>
      </c>
      <c r="N3" s="689" t="s">
        <v>631</v>
      </c>
      <c r="O3" s="654" t="s">
        <v>632</v>
      </c>
      <c r="P3" s="655" t="s">
        <v>633</v>
      </c>
      <c r="Q3" s="656" t="s">
        <v>634</v>
      </c>
      <c r="R3" s="58" t="s">
        <v>635</v>
      </c>
      <c r="S3" s="58" t="s">
        <v>636</v>
      </c>
      <c r="T3" s="657" t="s">
        <v>637</v>
      </c>
      <c r="U3" s="174" t="s">
        <v>638</v>
      </c>
      <c r="V3" s="658">
        <v>2</v>
      </c>
      <c r="W3" s="659"/>
      <c r="X3" s="659" t="s">
        <v>639</v>
      </c>
      <c r="Y3" s="653" t="s">
        <v>611</v>
      </c>
      <c r="Z3" s="660"/>
      <c r="AA3" s="653" t="s">
        <v>640</v>
      </c>
      <c r="AB3" s="661" t="s">
        <v>640</v>
      </c>
      <c r="AC3" s="653" t="s">
        <v>641</v>
      </c>
      <c r="AD3" s="661" t="s">
        <v>641</v>
      </c>
      <c r="AF3" s="654" t="s">
        <v>638</v>
      </c>
      <c r="AH3" s="654" t="s">
        <v>642</v>
      </c>
      <c r="AI3" s="654" t="s">
        <v>643</v>
      </c>
      <c r="AK3" s="654" t="s">
        <v>644</v>
      </c>
      <c r="AM3" s="654" t="s">
        <v>645</v>
      </c>
      <c r="AP3" s="31" t="s">
        <v>646</v>
      </c>
      <c r="AQ3" s="662" t="s">
        <v>646</v>
      </c>
      <c r="AS3" s="653" t="s">
        <v>647</v>
      </c>
      <c r="AU3" s="682" t="s">
        <v>648</v>
      </c>
      <c r="AW3" s="682" t="s">
        <v>649</v>
      </c>
      <c r="AX3" s="682" t="s">
        <v>649</v>
      </c>
      <c r="AZ3" s="682" t="s">
        <v>650</v>
      </c>
      <c r="BB3" s="682" t="s">
        <v>651</v>
      </c>
      <c r="BC3" s="682" t="s">
        <v>622</v>
      </c>
      <c r="BE3" s="682">
        <v>2001</v>
      </c>
      <c r="BF3" s="682" t="s">
        <v>652</v>
      </c>
      <c r="BH3" s="647" t="s">
        <v>653</v>
      </c>
      <c r="BJ3" s="647" t="s">
        <v>654</v>
      </c>
      <c r="BL3" s="647" t="s">
        <v>655</v>
      </c>
      <c r="BN3" s="647" t="s">
        <v>656</v>
      </c>
      <c r="BR3" s="647" t="s">
        <v>657</v>
      </c>
      <c r="BS3" s="834"/>
      <c r="BT3" s="191"/>
      <c r="BU3" s="647" t="s">
        <v>658</v>
      </c>
      <c r="BV3" s="191"/>
      <c r="BW3"/>
      <c r="BX3" s="647" t="s">
        <v>659</v>
      </c>
      <c r="CA3" s="647" t="s">
        <v>660</v>
      </c>
    </row>
    <row r="4" spans="1:79" ht="11.25" customHeight="1">
      <c r="A4" s="2" t="s">
        <v>661</v>
      </c>
      <c r="B4" s="653">
        <v>2002</v>
      </c>
      <c r="C4" s="653">
        <v>2024</v>
      </c>
      <c r="E4" s="654" t="s">
        <v>662</v>
      </c>
      <c r="F4" s="654" t="s">
        <v>31</v>
      </c>
      <c r="H4" s="654" t="s">
        <v>663</v>
      </c>
      <c r="I4" s="654" t="s">
        <v>90</v>
      </c>
      <c r="J4" s="654" t="s">
        <v>664</v>
      </c>
      <c r="K4" s="174" t="s">
        <v>665</v>
      </c>
      <c r="L4" s="174" t="s">
        <v>665</v>
      </c>
      <c r="M4" s="174">
        <v>3</v>
      </c>
      <c r="N4" s="689" t="s">
        <v>666</v>
      </c>
      <c r="O4" s="654" t="s">
        <v>667</v>
      </c>
      <c r="Q4" s="656" t="s">
        <v>668</v>
      </c>
      <c r="R4" s="58" t="s">
        <v>669</v>
      </c>
      <c r="S4" s="58" t="s">
        <v>670</v>
      </c>
      <c r="T4" s="657" t="s">
        <v>671</v>
      </c>
      <c r="U4" s="174" t="s">
        <v>672</v>
      </c>
      <c r="V4" s="658">
        <v>3</v>
      </c>
      <c r="W4" s="659"/>
      <c r="X4" s="659" t="s">
        <v>673</v>
      </c>
      <c r="Y4" s="653" t="s">
        <v>611</v>
      </c>
      <c r="Z4" s="15"/>
      <c r="AC4" s="653" t="s">
        <v>674</v>
      </c>
      <c r="AD4" s="661" t="s">
        <v>674</v>
      </c>
      <c r="AF4" s="654" t="s">
        <v>672</v>
      </c>
      <c r="AH4" s="654" t="s">
        <v>675</v>
      </c>
      <c r="AK4" s="654" t="s">
        <v>676</v>
      </c>
      <c r="AM4" s="654" t="s">
        <v>677</v>
      </c>
      <c r="AP4" s="31" t="s">
        <v>639</v>
      </c>
      <c r="AQ4" s="662" t="s">
        <v>639</v>
      </c>
      <c r="AS4" s="653" t="s">
        <v>678</v>
      </c>
      <c r="AU4" s="682" t="s">
        <v>679</v>
      </c>
      <c r="AW4" s="682" t="s">
        <v>680</v>
      </c>
      <c r="AX4" s="682" t="s">
        <v>680</v>
      </c>
      <c r="AZ4" s="682" t="s">
        <v>681</v>
      </c>
      <c r="BB4" s="682" t="s">
        <v>682</v>
      </c>
      <c r="BC4" s="682" t="s">
        <v>683</v>
      </c>
      <c r="BE4" s="682">
        <v>2002</v>
      </c>
      <c r="BF4" s="682" t="s">
        <v>684</v>
      </c>
      <c r="BH4" s="648" t="s">
        <v>685</v>
      </c>
      <c r="BJ4" s="648" t="s">
        <v>685</v>
      </c>
      <c r="BL4" s="648" t="s">
        <v>685</v>
      </c>
      <c r="BN4" s="648" t="s">
        <v>685</v>
      </c>
      <c r="BQ4" s="836" t="s">
        <v>686</v>
      </c>
      <c r="BR4" s="31" t="s">
        <v>687</v>
      </c>
      <c r="BS4" s="31"/>
      <c r="BT4" s="836" t="s">
        <v>688</v>
      </c>
      <c r="BU4" s="31" t="s">
        <v>689</v>
      </c>
      <c r="BV4" s="191"/>
      <c r="BW4" s="836" t="s">
        <v>690</v>
      </c>
      <c r="BX4" s="31" t="s">
        <v>691</v>
      </c>
      <c r="BZ4" s="836" t="s">
        <v>692</v>
      </c>
      <c r="CA4" s="31" t="s">
        <v>693</v>
      </c>
    </row>
    <row r="5" spans="1:79" ht="11.25" customHeight="1">
      <c r="A5" s="2" t="s">
        <v>694</v>
      </c>
      <c r="B5" s="653">
        <v>2003</v>
      </c>
      <c r="C5" s="653">
        <v>2025</v>
      </c>
      <c r="E5" s="654" t="s">
        <v>695</v>
      </c>
      <c r="F5" s="654" t="s">
        <v>696</v>
      </c>
      <c r="H5" s="654" t="s">
        <v>697</v>
      </c>
      <c r="I5" s="654" t="s">
        <v>91</v>
      </c>
      <c r="K5" s="174" t="s">
        <v>698</v>
      </c>
      <c r="L5" s="174" t="s">
        <v>698</v>
      </c>
      <c r="M5" s="174">
        <v>4</v>
      </c>
      <c r="N5" s="664" t="s">
        <v>699</v>
      </c>
      <c r="O5" s="654" t="s">
        <v>700</v>
      </c>
      <c r="Q5" s="656" t="s">
        <v>701</v>
      </c>
      <c r="R5" s="58" t="s">
        <v>702</v>
      </c>
      <c r="T5" s="654" t="s">
        <v>703</v>
      </c>
      <c r="U5" s="174" t="s">
        <v>704</v>
      </c>
      <c r="V5" s="658">
        <v>4</v>
      </c>
      <c r="W5" s="659"/>
      <c r="X5" s="659" t="s">
        <v>168</v>
      </c>
      <c r="Y5" s="653" t="s">
        <v>705</v>
      </c>
      <c r="Z5" s="15">
        <v>1</v>
      </c>
      <c r="AF5" s="654" t="s">
        <v>706</v>
      </c>
      <c r="AH5" s="654" t="s">
        <v>707</v>
      </c>
      <c r="AK5" s="654" t="s">
        <v>708</v>
      </c>
      <c r="AM5" s="654" t="s">
        <v>709</v>
      </c>
      <c r="AP5" s="31" t="s">
        <v>168</v>
      </c>
      <c r="AQ5" s="662" t="s">
        <v>168</v>
      </c>
      <c r="AU5" s="682" t="s">
        <v>710</v>
      </c>
      <c r="AW5" s="682" t="s">
        <v>711</v>
      </c>
      <c r="AX5" s="682" t="s">
        <v>711</v>
      </c>
      <c r="AZ5" s="682" t="s">
        <v>712</v>
      </c>
      <c r="BB5" s="682" t="s">
        <v>713</v>
      </c>
      <c r="BC5" s="682" t="s">
        <v>714</v>
      </c>
      <c r="BE5" s="682">
        <v>2003</v>
      </c>
      <c r="BF5" s="682" t="s">
        <v>715</v>
      </c>
      <c r="BH5" s="648" t="s">
        <v>716</v>
      </c>
      <c r="BJ5" s="648" t="s">
        <v>716</v>
      </c>
      <c r="BL5" s="648" t="s">
        <v>716</v>
      </c>
      <c r="BN5" s="648" t="s">
        <v>717</v>
      </c>
      <c r="BQ5" s="682">
        <v>4213775</v>
      </c>
      <c r="BR5" s="648" t="s">
        <v>610</v>
      </c>
      <c r="BS5" s="770"/>
      <c r="BT5" s="682">
        <v>64236871</v>
      </c>
      <c r="BU5" s="648" t="s">
        <v>217</v>
      </c>
      <c r="BV5" s="191"/>
      <c r="BW5" s="682">
        <v>4213767</v>
      </c>
      <c r="BX5" s="648" t="s">
        <v>718</v>
      </c>
      <c r="BZ5" s="682">
        <v>64237509</v>
      </c>
      <c r="CA5" s="775" t="s">
        <v>719</v>
      </c>
    </row>
    <row r="6" spans="1:79" ht="11.25" customHeight="1">
      <c r="A6" s="2" t="s">
        <v>720</v>
      </c>
      <c r="B6" s="653">
        <v>2004</v>
      </c>
      <c r="C6" s="653">
        <v>2026</v>
      </c>
      <c r="E6" s="654" t="s">
        <v>721</v>
      </c>
      <c r="F6" s="33"/>
      <c r="H6" s="654" t="s">
        <v>722</v>
      </c>
      <c r="I6" s="654" t="s">
        <v>112</v>
      </c>
      <c r="J6" s="647" t="s">
        <v>723</v>
      </c>
      <c r="N6" s="664" t="s">
        <v>724</v>
      </c>
      <c r="O6" s="654" t="s">
        <v>725</v>
      </c>
      <c r="R6" s="58" t="s">
        <v>605</v>
      </c>
      <c r="T6" s="654" t="s">
        <v>726</v>
      </c>
      <c r="U6" s="174" t="s">
        <v>706</v>
      </c>
      <c r="V6" s="658">
        <v>5</v>
      </c>
      <c r="W6" s="659"/>
      <c r="X6" s="653" t="s">
        <v>174</v>
      </c>
      <c r="Y6" s="653" t="s">
        <v>727</v>
      </c>
      <c r="Z6" s="15"/>
      <c r="AA6" s="203"/>
      <c r="AH6" s="654" t="s">
        <v>728</v>
      </c>
      <c r="AK6" s="654" t="s">
        <v>729</v>
      </c>
      <c r="AM6" s="654" t="s">
        <v>730</v>
      </c>
      <c r="AP6" s="31" t="s">
        <v>174</v>
      </c>
      <c r="AQ6" s="662" t="s">
        <v>174</v>
      </c>
      <c r="AU6" s="682" t="s">
        <v>731</v>
      </c>
      <c r="AW6" s="682" t="s">
        <v>732</v>
      </c>
      <c r="AX6" s="682" t="s">
        <v>732</v>
      </c>
      <c r="BB6" s="682" t="s">
        <v>733</v>
      </c>
      <c r="BC6" s="682" t="s">
        <v>714</v>
      </c>
      <c r="BE6" s="682">
        <v>2004</v>
      </c>
      <c r="BF6" s="682" t="s">
        <v>734</v>
      </c>
      <c r="BH6" s="648" t="s">
        <v>735</v>
      </c>
      <c r="BJ6" s="648" t="s">
        <v>736</v>
      </c>
      <c r="BL6" s="648" t="s">
        <v>736</v>
      </c>
      <c r="BN6" s="648" t="s">
        <v>737</v>
      </c>
      <c r="BQ6" s="682">
        <v>4213784</v>
      </c>
      <c r="BR6" s="775" t="s">
        <v>646</v>
      </c>
      <c r="BS6" s="835"/>
      <c r="BT6" s="682">
        <v>64236872</v>
      </c>
      <c r="BU6" s="648" t="s">
        <v>222</v>
      </c>
      <c r="BV6" s="191"/>
      <c r="BW6" s="682">
        <v>4213768</v>
      </c>
      <c r="BX6" s="648" t="s">
        <v>242</v>
      </c>
      <c r="BZ6" s="682">
        <v>64237510</v>
      </c>
      <c r="CA6" s="648" t="s">
        <v>738</v>
      </c>
    </row>
    <row r="7" spans="1:79" ht="11.25" customHeight="1">
      <c r="A7" s="2" t="s">
        <v>739</v>
      </c>
      <c r="B7" s="653">
        <v>2005</v>
      </c>
      <c r="E7" s="654" t="s">
        <v>740</v>
      </c>
      <c r="F7" s="33"/>
      <c r="H7" s="654" t="s">
        <v>741</v>
      </c>
      <c r="I7" s="654" t="s">
        <v>92</v>
      </c>
      <c r="J7" s="654" t="s">
        <v>742</v>
      </c>
      <c r="N7" s="450" t="s">
        <v>743</v>
      </c>
      <c r="O7" s="654" t="s">
        <v>744</v>
      </c>
      <c r="U7" s="174" t="s">
        <v>57</v>
      </c>
      <c r="V7" s="222" t="s">
        <v>92</v>
      </c>
      <c r="W7" s="659"/>
      <c r="X7" s="653" t="s">
        <v>180</v>
      </c>
      <c r="Y7" s="653" t="s">
        <v>705</v>
      </c>
      <c r="Z7" s="15"/>
      <c r="AA7" s="203"/>
      <c r="AH7" s="654" t="s">
        <v>745</v>
      </c>
      <c r="AK7" s="654" t="s">
        <v>746</v>
      </c>
      <c r="AM7" s="654" t="s">
        <v>747</v>
      </c>
      <c r="AP7" s="31" t="s">
        <v>180</v>
      </c>
      <c r="AQ7" s="662" t="s">
        <v>180</v>
      </c>
      <c r="AU7" s="682" t="s">
        <v>748</v>
      </c>
      <c r="AW7" s="682" t="s">
        <v>749</v>
      </c>
      <c r="AX7" s="682" t="s">
        <v>749</v>
      </c>
      <c r="AZ7" s="647" t="s">
        <v>750</v>
      </c>
      <c r="BB7" s="682" t="s">
        <v>751</v>
      </c>
      <c r="BC7" s="682" t="s">
        <v>714</v>
      </c>
      <c r="BE7" s="682">
        <v>2005</v>
      </c>
      <c r="BF7" s="682" t="s">
        <v>752</v>
      </c>
      <c r="BH7" s="648" t="s">
        <v>753</v>
      </c>
      <c r="BJ7" s="648" t="s">
        <v>735</v>
      </c>
      <c r="BL7" s="648" t="s">
        <v>735</v>
      </c>
      <c r="BN7" s="648" t="s">
        <v>754</v>
      </c>
      <c r="BQ7" s="682">
        <v>4213781</v>
      </c>
      <c r="BR7" s="648" t="s">
        <v>639</v>
      </c>
      <c r="BS7" s="770"/>
      <c r="BT7" s="682">
        <v>64236873</v>
      </c>
      <c r="BU7" s="648" t="s">
        <v>227</v>
      </c>
      <c r="BV7" s="191"/>
      <c r="BW7" s="682">
        <v>4213769</v>
      </c>
      <c r="BX7" s="648" t="s">
        <v>755</v>
      </c>
      <c r="BZ7" s="682">
        <v>64237511</v>
      </c>
      <c r="CA7" s="648" t="s">
        <v>257</v>
      </c>
    </row>
    <row r="8" spans="1:79" ht="11.25" customHeight="1">
      <c r="A8" s="2" t="s">
        <v>756</v>
      </c>
      <c r="B8" s="653">
        <v>2006</v>
      </c>
      <c r="E8" s="654" t="s">
        <v>757</v>
      </c>
      <c r="F8" s="33"/>
      <c r="I8" s="654" t="s">
        <v>93</v>
      </c>
      <c r="J8" s="654" t="s">
        <v>758</v>
      </c>
      <c r="N8" s="690" t="s">
        <v>759</v>
      </c>
      <c r="O8" s="654" t="s">
        <v>760</v>
      </c>
      <c r="V8" s="222" t="s">
        <v>93</v>
      </c>
      <c r="W8" s="659"/>
      <c r="X8" s="653" t="s">
        <v>186</v>
      </c>
      <c r="Y8" s="653" t="s">
        <v>705</v>
      </c>
      <c r="Z8" s="15"/>
      <c r="AA8" s="203"/>
      <c r="AK8" s="654" t="s">
        <v>761</v>
      </c>
      <c r="AP8" s="31" t="s">
        <v>186</v>
      </c>
      <c r="AQ8" s="662" t="s">
        <v>186</v>
      </c>
      <c r="AU8" s="682" t="s">
        <v>762</v>
      </c>
      <c r="AW8" s="682" t="s">
        <v>763</v>
      </c>
      <c r="AX8" s="682" t="s">
        <v>763</v>
      </c>
      <c r="AZ8" s="682" t="s">
        <v>764</v>
      </c>
      <c r="BB8" s="682" t="s">
        <v>765</v>
      </c>
      <c r="BC8" s="682" t="s">
        <v>714</v>
      </c>
      <c r="BE8" s="682">
        <v>2006</v>
      </c>
      <c r="BF8" s="682" t="s">
        <v>766</v>
      </c>
      <c r="BH8" s="648" t="s">
        <v>767</v>
      </c>
      <c r="BJ8" s="648" t="s">
        <v>768</v>
      </c>
      <c r="BL8" s="648" t="s">
        <v>768</v>
      </c>
      <c r="BN8" s="648" t="s">
        <v>769</v>
      </c>
      <c r="BQ8" s="682">
        <v>4213776</v>
      </c>
      <c r="BR8" s="648" t="s">
        <v>168</v>
      </c>
      <c r="BS8" s="770"/>
      <c r="BT8" s="682">
        <v>64236874</v>
      </c>
      <c r="BU8" s="775" t="s">
        <v>770</v>
      </c>
      <c r="BV8" s="191"/>
      <c r="BW8" s="682">
        <v>4213770</v>
      </c>
      <c r="BX8" s="775" t="s">
        <v>771</v>
      </c>
      <c r="BZ8" s="682">
        <v>64237512</v>
      </c>
      <c r="CA8" s="648" t="s">
        <v>252</v>
      </c>
    </row>
    <row r="9" spans="1:79" ht="11.25" customHeight="1">
      <c r="A9" s="2" t="s">
        <v>772</v>
      </c>
      <c r="B9" s="653">
        <v>2007</v>
      </c>
      <c r="E9" s="654" t="s">
        <v>773</v>
      </c>
      <c r="F9" s="33"/>
      <c r="G9" s="647" t="s">
        <v>774</v>
      </c>
      <c r="H9" s="647" t="s">
        <v>775</v>
      </c>
      <c r="I9" s="654" t="s">
        <v>113</v>
      </c>
      <c r="O9" s="654" t="s">
        <v>776</v>
      </c>
      <c r="V9" s="222" t="s">
        <v>113</v>
      </c>
      <c r="W9" s="659"/>
      <c r="X9" s="653" t="s">
        <v>192</v>
      </c>
      <c r="Y9" s="653" t="s">
        <v>611</v>
      </c>
      <c r="Z9" s="15">
        <v>1</v>
      </c>
      <c r="AA9" s="203"/>
      <c r="AK9" s="654" t="s">
        <v>777</v>
      </c>
      <c r="AP9" s="31" t="s">
        <v>778</v>
      </c>
      <c r="AQ9" s="662" t="s">
        <v>778</v>
      </c>
      <c r="AW9" s="682" t="s">
        <v>779</v>
      </c>
      <c r="AX9" s="682" t="s">
        <v>779</v>
      </c>
      <c r="AZ9" s="682" t="s">
        <v>780</v>
      </c>
      <c r="BB9" s="682" t="s">
        <v>781</v>
      </c>
      <c r="BC9" s="682" t="s">
        <v>714</v>
      </c>
      <c r="BE9" s="682">
        <v>2007</v>
      </c>
      <c r="BF9" s="682" t="s">
        <v>782</v>
      </c>
      <c r="BH9" s="648" t="s">
        <v>783</v>
      </c>
      <c r="BJ9" s="648" t="s">
        <v>784</v>
      </c>
      <c r="BL9" s="648" t="s">
        <v>784</v>
      </c>
      <c r="BN9" s="648" t="s">
        <v>785</v>
      </c>
      <c r="BQ9" s="682">
        <v>4213777</v>
      </c>
      <c r="BR9" s="648" t="s">
        <v>174</v>
      </c>
      <c r="BS9" s="770"/>
      <c r="BT9" s="682">
        <v>64236875</v>
      </c>
      <c r="BU9" s="648" t="s">
        <v>232</v>
      </c>
      <c r="BV9" s="191"/>
      <c r="BW9"/>
      <c r="BX9"/>
    </row>
    <row r="10" spans="1:79" ht="11.25" customHeight="1">
      <c r="A10" s="2" t="s">
        <v>786</v>
      </c>
      <c r="B10" s="653">
        <v>2008</v>
      </c>
      <c r="E10" s="654" t="s">
        <v>787</v>
      </c>
      <c r="F10" s="33"/>
      <c r="G10" s="654" t="s">
        <v>788</v>
      </c>
      <c r="H10" s="654" t="s">
        <v>789</v>
      </c>
      <c r="I10" s="654" t="s">
        <v>150</v>
      </c>
      <c r="J10" s="647" t="s">
        <v>790</v>
      </c>
      <c r="K10" s="647" t="s">
        <v>791</v>
      </c>
      <c r="O10" s="654" t="s">
        <v>792</v>
      </c>
      <c r="V10" s="223" t="s">
        <v>150</v>
      </c>
      <c r="W10" s="665"/>
      <c r="X10" s="665" t="s">
        <v>793</v>
      </c>
      <c r="Y10" s="666" t="s">
        <v>794</v>
      </c>
      <c r="Z10" s="15"/>
      <c r="AP10" s="31" t="s">
        <v>793</v>
      </c>
      <c r="AQ10" s="662" t="s">
        <v>793</v>
      </c>
      <c r="AW10" s="682" t="s">
        <v>795</v>
      </c>
      <c r="AX10" s="682" t="s">
        <v>795</v>
      </c>
      <c r="AZ10" s="682" t="s">
        <v>796</v>
      </c>
      <c r="BB10" s="682" t="s">
        <v>797</v>
      </c>
      <c r="BC10" s="682" t="s">
        <v>714</v>
      </c>
      <c r="BE10" s="682">
        <v>2008</v>
      </c>
      <c r="BF10" s="682" t="s">
        <v>798</v>
      </c>
      <c r="BH10" s="648" t="s">
        <v>799</v>
      </c>
      <c r="BJ10" s="648" t="s">
        <v>800</v>
      </c>
      <c r="BL10" s="648" t="s">
        <v>800</v>
      </c>
      <c r="BN10" s="648" t="s">
        <v>801</v>
      </c>
      <c r="BQ10" s="682">
        <v>4213778</v>
      </c>
      <c r="BR10" s="648" t="s">
        <v>180</v>
      </c>
      <c r="BS10" s="770"/>
      <c r="BT10" s="682">
        <v>64236876</v>
      </c>
      <c r="BU10" s="648" t="s">
        <v>212</v>
      </c>
      <c r="BV10" s="191"/>
      <c r="BW10"/>
      <c r="BX10"/>
    </row>
    <row r="11" spans="1:79" ht="11.25" customHeight="1">
      <c r="A11" s="2" t="s">
        <v>802</v>
      </c>
      <c r="B11" s="653">
        <v>2009</v>
      </c>
      <c r="E11" s="654" t="s">
        <v>803</v>
      </c>
      <c r="F11" s="33"/>
      <c r="G11" s="654" t="s">
        <v>804</v>
      </c>
      <c r="H11" s="654" t="s">
        <v>805</v>
      </c>
      <c r="I11" s="654" t="s">
        <v>151</v>
      </c>
      <c r="J11" s="654" t="s">
        <v>806</v>
      </c>
      <c r="K11" s="667" t="s">
        <v>807</v>
      </c>
      <c r="O11" s="654" t="s">
        <v>808</v>
      </c>
      <c r="V11" s="222" t="s">
        <v>151</v>
      </c>
      <c r="W11" s="158"/>
      <c r="X11" s="659" t="s">
        <v>778</v>
      </c>
      <c r="Y11" s="653" t="s">
        <v>809</v>
      </c>
      <c r="Z11" s="15"/>
      <c r="AP11" s="31" t="s">
        <v>192</v>
      </c>
      <c r="AQ11" s="663" t="s">
        <v>192</v>
      </c>
      <c r="AW11" s="682" t="s">
        <v>810</v>
      </c>
      <c r="AX11" s="682" t="s">
        <v>810</v>
      </c>
      <c r="AZ11" s="682" t="s">
        <v>811</v>
      </c>
      <c r="BB11" s="682" t="s">
        <v>812</v>
      </c>
      <c r="BC11" s="682" t="s">
        <v>714</v>
      </c>
      <c r="BE11" s="682">
        <v>2009</v>
      </c>
      <c r="BF11" s="682" t="s">
        <v>813</v>
      </c>
      <c r="BH11" s="648" t="s">
        <v>814</v>
      </c>
      <c r="BJ11" s="648" t="s">
        <v>783</v>
      </c>
      <c r="BL11" s="648" t="s">
        <v>783</v>
      </c>
      <c r="BN11" s="648" t="s">
        <v>815</v>
      </c>
      <c r="BQ11" s="682">
        <v>4213780</v>
      </c>
      <c r="BR11" s="648" t="s">
        <v>186</v>
      </c>
      <c r="BS11" s="770"/>
      <c r="BW11"/>
      <c r="BX11"/>
    </row>
    <row r="12" spans="1:79" ht="11.25" customHeight="1">
      <c r="A12" s="2" t="s">
        <v>816</v>
      </c>
      <c r="B12" s="653">
        <v>2010</v>
      </c>
      <c r="E12" s="654" t="s">
        <v>817</v>
      </c>
      <c r="F12" s="33"/>
      <c r="G12" s="654" t="s">
        <v>805</v>
      </c>
      <c r="I12" s="654" t="s">
        <v>152</v>
      </c>
      <c r="J12" s="654" t="s">
        <v>818</v>
      </c>
      <c r="K12" s="667" t="s">
        <v>819</v>
      </c>
      <c r="O12" s="654" t="s">
        <v>605</v>
      </c>
      <c r="V12" s="222" t="s">
        <v>152</v>
      </c>
      <c r="W12" s="663"/>
      <c r="X12" s="659" t="s">
        <v>820</v>
      </c>
      <c r="Y12" s="653" t="s">
        <v>611</v>
      </c>
      <c r="AP12" s="31"/>
      <c r="AW12" s="682" t="s">
        <v>151</v>
      </c>
      <c r="AX12" s="682" t="s">
        <v>151</v>
      </c>
      <c r="AZ12" s="682" t="s">
        <v>821</v>
      </c>
      <c r="BB12" s="682" t="s">
        <v>822</v>
      </c>
      <c r="BC12" s="682" t="s">
        <v>714</v>
      </c>
      <c r="BE12" s="682">
        <v>2010</v>
      </c>
      <c r="BF12" s="682" t="s">
        <v>823</v>
      </c>
      <c r="BH12" s="648" t="s">
        <v>824</v>
      </c>
      <c r="BJ12" s="648" t="s">
        <v>825</v>
      </c>
      <c r="BL12" s="648" t="s">
        <v>825</v>
      </c>
      <c r="BN12" s="648" t="s">
        <v>826</v>
      </c>
      <c r="BQ12" s="682">
        <v>4213779</v>
      </c>
      <c r="BR12" s="648" t="s">
        <v>778</v>
      </c>
      <c r="BS12" s="770"/>
      <c r="BT12" s="191"/>
      <c r="BU12" s="191"/>
      <c r="BV12" s="191"/>
      <c r="BW12"/>
      <c r="BX12"/>
    </row>
    <row r="13" spans="1:79" ht="11.25" customHeight="1">
      <c r="A13" s="2" t="s">
        <v>827</v>
      </c>
      <c r="B13" s="653">
        <v>2011</v>
      </c>
      <c r="E13" s="654" t="s">
        <v>828</v>
      </c>
      <c r="F13" s="33"/>
      <c r="I13" s="654" t="s">
        <v>153</v>
      </c>
      <c r="K13" s="667" t="s">
        <v>777</v>
      </c>
      <c r="V13" s="222" t="s">
        <v>153</v>
      </c>
      <c r="W13" s="663"/>
      <c r="X13" s="663"/>
      <c r="Y13" s="663"/>
      <c r="AW13" s="682" t="s">
        <v>152</v>
      </c>
      <c r="AX13" s="682" t="s">
        <v>152</v>
      </c>
      <c r="BB13" s="682" t="s">
        <v>829</v>
      </c>
      <c r="BC13" s="682" t="s">
        <v>830</v>
      </c>
      <c r="BE13" s="682">
        <v>2011</v>
      </c>
      <c r="BF13" s="682" t="s">
        <v>831</v>
      </c>
      <c r="BH13" s="648" t="s">
        <v>832</v>
      </c>
      <c r="BJ13" s="648" t="s">
        <v>814</v>
      </c>
      <c r="BL13" s="648" t="s">
        <v>814</v>
      </c>
      <c r="BN13" s="648" t="s">
        <v>833</v>
      </c>
      <c r="BQ13" s="682">
        <v>4213783</v>
      </c>
      <c r="BR13" s="648" t="s">
        <v>793</v>
      </c>
      <c r="BS13" s="770"/>
      <c r="BT13" s="191"/>
      <c r="BU13" s="191"/>
      <c r="BV13" s="191"/>
      <c r="BW13" s="191"/>
      <c r="BX13"/>
    </row>
    <row r="14" spans="1:79" ht="11.25" customHeight="1">
      <c r="A14" s="2" t="s">
        <v>834</v>
      </c>
      <c r="B14" s="653">
        <v>2012</v>
      </c>
      <c r="I14" s="654" t="s">
        <v>154</v>
      </c>
      <c r="J14" s="647" t="s">
        <v>835</v>
      </c>
      <c r="N14" s="647" t="s">
        <v>836</v>
      </c>
      <c r="V14" s="658">
        <v>13</v>
      </c>
      <c r="W14" s="659"/>
      <c r="X14" s="659" t="s">
        <v>646</v>
      </c>
      <c r="Y14" s="653" t="s">
        <v>611</v>
      </c>
      <c r="AW14" s="682" t="s">
        <v>153</v>
      </c>
      <c r="AX14" s="682" t="s">
        <v>153</v>
      </c>
      <c r="AZ14" s="647" t="s">
        <v>837</v>
      </c>
      <c r="BB14" s="682" t="s">
        <v>838</v>
      </c>
      <c r="BC14" s="682" t="s">
        <v>830</v>
      </c>
      <c r="BE14" s="682">
        <v>2012</v>
      </c>
      <c r="BH14" s="648" t="s">
        <v>754</v>
      </c>
      <c r="BJ14" s="729" t="s">
        <v>839</v>
      </c>
      <c r="BL14" s="729" t="s">
        <v>839</v>
      </c>
      <c r="BN14" s="648" t="s">
        <v>840</v>
      </c>
      <c r="BQ14" s="682">
        <v>4213782</v>
      </c>
      <c r="BR14" s="648" t="s">
        <v>192</v>
      </c>
      <c r="BS14" s="770"/>
      <c r="BT14" s="191"/>
      <c r="BU14" s="191"/>
      <c r="BV14" s="191"/>
      <c r="BW14" s="191"/>
      <c r="BX14"/>
    </row>
    <row r="15" spans="1:79" ht="19.5" customHeight="1">
      <c r="A15" s="2" t="s">
        <v>841</v>
      </c>
      <c r="B15" s="653">
        <v>2013</v>
      </c>
      <c r="E15" s="944" t="s">
        <v>842</v>
      </c>
      <c r="G15" s="647" t="s">
        <v>843</v>
      </c>
      <c r="H15" s="647" t="s">
        <v>844</v>
      </c>
      <c r="I15" s="174" t="s">
        <v>155</v>
      </c>
      <c r="J15" s="663" t="s">
        <v>845</v>
      </c>
      <c r="N15" s="688" t="s">
        <v>846</v>
      </c>
      <c r="X15" s="31"/>
      <c r="AW15" s="682" t="s">
        <v>154</v>
      </c>
      <c r="AX15" s="682" t="s">
        <v>154</v>
      </c>
      <c r="AZ15" s="682" t="s">
        <v>764</v>
      </c>
      <c r="BB15" s="682" t="s">
        <v>847</v>
      </c>
      <c r="BC15" s="682" t="s">
        <v>830</v>
      </c>
      <c r="BE15" s="682">
        <v>2013</v>
      </c>
      <c r="BH15" s="648" t="s">
        <v>769</v>
      </c>
      <c r="BJ15" s="729" t="s">
        <v>848</v>
      </c>
      <c r="BL15" s="729" t="s">
        <v>848</v>
      </c>
      <c r="BN15" s="648" t="s">
        <v>849</v>
      </c>
      <c r="BR15" s="191"/>
      <c r="BS15" s="191"/>
      <c r="BT15" s="191"/>
      <c r="BU15" s="191"/>
      <c r="BV15" s="191"/>
      <c r="BW15" s="191"/>
      <c r="BX15"/>
    </row>
    <row r="16" spans="1:79" ht="21" customHeight="1">
      <c r="A16" s="2" t="s">
        <v>850</v>
      </c>
      <c r="B16" s="653">
        <v>2014</v>
      </c>
      <c r="E16" s="945" t="s">
        <v>851</v>
      </c>
      <c r="G16" s="654" t="s">
        <v>852</v>
      </c>
      <c r="H16" s="654" t="s">
        <v>853</v>
      </c>
      <c r="I16" s="174" t="s">
        <v>99</v>
      </c>
      <c r="J16" s="663" t="s">
        <v>629</v>
      </c>
      <c r="N16" s="688" t="s">
        <v>854</v>
      </c>
      <c r="AW16" s="682" t="s">
        <v>155</v>
      </c>
      <c r="AX16" s="682" t="s">
        <v>155</v>
      </c>
      <c r="AZ16" s="682" t="s">
        <v>780</v>
      </c>
      <c r="BB16" s="682" t="s">
        <v>855</v>
      </c>
      <c r="BC16" s="682" t="s">
        <v>830</v>
      </c>
      <c r="BE16" s="682">
        <v>2014</v>
      </c>
      <c r="BH16" s="648" t="s">
        <v>785</v>
      </c>
      <c r="BJ16" s="729" t="s">
        <v>856</v>
      </c>
      <c r="BL16" s="729" t="s">
        <v>856</v>
      </c>
      <c r="BN16" s="648" t="s">
        <v>857</v>
      </c>
      <c r="BR16" s="191"/>
      <c r="BS16" s="191"/>
      <c r="BT16" s="191"/>
      <c r="BU16" s="191"/>
      <c r="BV16" s="191"/>
      <c r="BW16" s="191"/>
      <c r="BX16"/>
    </row>
    <row r="17" spans="1:82" ht="21" customHeight="1">
      <c r="A17" s="2" t="s">
        <v>858</v>
      </c>
      <c r="B17" s="653">
        <v>2015</v>
      </c>
      <c r="G17" s="654" t="s">
        <v>805</v>
      </c>
      <c r="H17" s="654" t="s">
        <v>805</v>
      </c>
      <c r="I17" s="654" t="s">
        <v>859</v>
      </c>
      <c r="N17" s="688" t="s">
        <v>860</v>
      </c>
      <c r="X17" s="31"/>
      <c r="AW17" s="682" t="s">
        <v>99</v>
      </c>
      <c r="AX17" s="682" t="s">
        <v>99</v>
      </c>
      <c r="AZ17" s="682" t="s">
        <v>861</v>
      </c>
      <c r="BB17" s="682" t="s">
        <v>862</v>
      </c>
      <c r="BC17" s="682" t="s">
        <v>714</v>
      </c>
      <c r="BE17" s="682">
        <v>2015</v>
      </c>
      <c r="BH17" s="648" t="s">
        <v>801</v>
      </c>
      <c r="BJ17" s="729" t="s">
        <v>863</v>
      </c>
      <c r="BL17" s="729" t="s">
        <v>863</v>
      </c>
      <c r="BN17" s="648" t="s">
        <v>864</v>
      </c>
      <c r="BR17" s="647" t="s">
        <v>657</v>
      </c>
      <c r="BS17" s="834"/>
      <c r="BU17" s="647" t="s">
        <v>865</v>
      </c>
      <c r="BV17" s="191"/>
      <c r="BW17"/>
      <c r="BX17" s="647" t="s">
        <v>866</v>
      </c>
      <c r="CA17" s="647" t="s">
        <v>867</v>
      </c>
      <c r="CD17" s="647" t="s">
        <v>868</v>
      </c>
    </row>
    <row r="18" spans="1:82" ht="21" customHeight="1">
      <c r="A18" s="2" t="s">
        <v>869</v>
      </c>
      <c r="B18" s="653">
        <v>2016</v>
      </c>
      <c r="I18" s="654" t="s">
        <v>870</v>
      </c>
      <c r="N18" s="688" t="s">
        <v>871</v>
      </c>
      <c r="X18" s="31"/>
      <c r="AW18" s="682" t="s">
        <v>859</v>
      </c>
      <c r="AX18" s="682" t="s">
        <v>859</v>
      </c>
      <c r="BB18" s="682" t="s">
        <v>872</v>
      </c>
      <c r="BC18" s="682" t="s">
        <v>714</v>
      </c>
      <c r="BE18" s="682">
        <v>2016</v>
      </c>
      <c r="BH18" s="648" t="s">
        <v>815</v>
      </c>
      <c r="BJ18" s="729" t="s">
        <v>873</v>
      </c>
      <c r="BL18" s="729" t="s">
        <v>873</v>
      </c>
      <c r="BN18" s="648" t="s">
        <v>874</v>
      </c>
      <c r="BQ18" s="836" t="s">
        <v>686</v>
      </c>
      <c r="BR18" s="31" t="s">
        <v>687</v>
      </c>
      <c r="BS18" s="31"/>
      <c r="BT18" s="836" t="s">
        <v>875</v>
      </c>
      <c r="BU18" s="31" t="s">
        <v>876</v>
      </c>
      <c r="BV18" s="191"/>
      <c r="BW18" s="836" t="s">
        <v>877</v>
      </c>
      <c r="BX18" s="31" t="s">
        <v>878</v>
      </c>
      <c r="BZ18" s="836" t="s">
        <v>879</v>
      </c>
      <c r="CA18" s="31" t="s">
        <v>880</v>
      </c>
      <c r="CC18" s="836" t="s">
        <v>881</v>
      </c>
      <c r="CD18" s="31" t="s">
        <v>882</v>
      </c>
    </row>
    <row r="19" spans="1:82" ht="21" customHeight="1">
      <c r="A19" s="2" t="s">
        <v>883</v>
      </c>
      <c r="B19" s="653">
        <v>2017</v>
      </c>
      <c r="I19" s="654" t="s">
        <v>884</v>
      </c>
      <c r="N19" s="688" t="s">
        <v>885</v>
      </c>
      <c r="X19" s="31"/>
      <c r="AW19" s="682" t="s">
        <v>870</v>
      </c>
      <c r="AX19" s="682" t="s">
        <v>870</v>
      </c>
      <c r="AZ19" s="647" t="s">
        <v>886</v>
      </c>
      <c r="BB19" s="682" t="s">
        <v>887</v>
      </c>
      <c r="BC19" s="682" t="s">
        <v>714</v>
      </c>
      <c r="BE19" s="682">
        <v>2017</v>
      </c>
      <c r="BH19" s="648" t="s">
        <v>888</v>
      </c>
      <c r="BJ19" s="729" t="s">
        <v>889</v>
      </c>
      <c r="BL19" s="729" t="s">
        <v>889</v>
      </c>
      <c r="BQ19" s="682">
        <v>4190064</v>
      </c>
      <c r="BR19" s="648" t="s">
        <v>890</v>
      </c>
      <c r="BS19" s="770"/>
      <c r="BT19" s="682">
        <v>4189671</v>
      </c>
      <c r="BU19" s="648" t="s">
        <v>891</v>
      </c>
      <c r="BV19" s="191"/>
      <c r="BW19" s="682">
        <v>4189706</v>
      </c>
      <c r="BX19" s="648" t="s">
        <v>892</v>
      </c>
      <c r="BZ19" s="682">
        <v>4189714</v>
      </c>
      <c r="CA19" s="648" t="s">
        <v>893</v>
      </c>
      <c r="CC19" s="682">
        <v>4189708</v>
      </c>
      <c r="CD19" s="648" t="s">
        <v>894</v>
      </c>
    </row>
    <row r="20" spans="1:82" ht="21" customHeight="1">
      <c r="A20" s="2" t="s">
        <v>895</v>
      </c>
      <c r="B20" s="653">
        <v>2018</v>
      </c>
      <c r="I20" s="654" t="s">
        <v>896</v>
      </c>
      <c r="N20" s="688" t="s">
        <v>897</v>
      </c>
      <c r="AW20" s="682" t="s">
        <v>884</v>
      </c>
      <c r="AX20" s="682" t="s">
        <v>884</v>
      </c>
      <c r="AZ20" s="682" t="s">
        <v>898</v>
      </c>
      <c r="BB20" s="682" t="s">
        <v>899</v>
      </c>
      <c r="BC20" s="682" t="s">
        <v>830</v>
      </c>
      <c r="BE20" s="682">
        <v>2018</v>
      </c>
      <c r="BH20" s="648" t="s">
        <v>826</v>
      </c>
      <c r="BJ20" s="648" t="s">
        <v>754</v>
      </c>
      <c r="BL20" s="648" t="s">
        <v>754</v>
      </c>
      <c r="BQ20" s="682">
        <v>4190065</v>
      </c>
      <c r="BR20" s="648" t="s">
        <v>900</v>
      </c>
      <c r="BS20" s="770"/>
      <c r="BT20" s="682">
        <v>4189672</v>
      </c>
      <c r="BU20" s="648" t="s">
        <v>901</v>
      </c>
      <c r="BV20" s="191"/>
      <c r="BW20" s="682">
        <v>4189705</v>
      </c>
      <c r="BX20" s="648" t="s">
        <v>902</v>
      </c>
      <c r="BZ20" s="682">
        <v>4189713</v>
      </c>
      <c r="CA20" s="648" t="s">
        <v>902</v>
      </c>
      <c r="CC20" s="682">
        <v>4189709</v>
      </c>
      <c r="CD20" s="648" t="s">
        <v>903</v>
      </c>
    </row>
    <row r="21" spans="1:82" ht="21" customHeight="1">
      <c r="A21" s="2" t="s">
        <v>904</v>
      </c>
      <c r="B21" s="653">
        <v>2019</v>
      </c>
      <c r="I21" s="654" t="s">
        <v>905</v>
      </c>
      <c r="N21" s="688" t="s">
        <v>906</v>
      </c>
      <c r="AW21" s="682" t="s">
        <v>896</v>
      </c>
      <c r="AX21" s="682" t="s">
        <v>896</v>
      </c>
      <c r="AZ21" s="682" t="s">
        <v>907</v>
      </c>
      <c r="BB21" s="682" t="s">
        <v>908</v>
      </c>
      <c r="BC21" s="682" t="s">
        <v>714</v>
      </c>
      <c r="BE21" s="682">
        <v>2019</v>
      </c>
      <c r="BH21" s="648" t="s">
        <v>833</v>
      </c>
      <c r="BJ21" s="648" t="s">
        <v>769</v>
      </c>
      <c r="BL21" s="648" t="s">
        <v>769</v>
      </c>
      <c r="BQ21" s="682">
        <v>4190066</v>
      </c>
      <c r="BR21" s="648" t="s">
        <v>909</v>
      </c>
      <c r="BS21" s="770"/>
      <c r="BT21" s="682">
        <v>4189673</v>
      </c>
      <c r="BU21" s="648" t="s">
        <v>910</v>
      </c>
      <c r="BV21" s="191"/>
      <c r="BW21" s="682">
        <v>4189707</v>
      </c>
      <c r="BX21" s="648" t="s">
        <v>911</v>
      </c>
      <c r="BZ21" s="682">
        <v>4189712</v>
      </c>
      <c r="CA21" s="648" t="s">
        <v>912</v>
      </c>
      <c r="CC21" s="682">
        <v>4189710</v>
      </c>
      <c r="CD21" s="648" t="s">
        <v>913</v>
      </c>
    </row>
    <row r="22" spans="1:82" ht="21" customHeight="1">
      <c r="A22" s="2" t="s">
        <v>914</v>
      </c>
      <c r="B22" s="653">
        <v>2020</v>
      </c>
      <c r="N22" s="688" t="s">
        <v>915</v>
      </c>
      <c r="AW22" s="682" t="s">
        <v>905</v>
      </c>
      <c r="AX22" s="682" t="s">
        <v>905</v>
      </c>
      <c r="AZ22" s="682" t="s">
        <v>916</v>
      </c>
      <c r="BB22" s="682" t="s">
        <v>917</v>
      </c>
      <c r="BC22" s="682" t="s">
        <v>714</v>
      </c>
      <c r="BE22" s="682">
        <v>2020</v>
      </c>
      <c r="BH22" s="648" t="s">
        <v>840</v>
      </c>
      <c r="BJ22" s="648" t="s">
        <v>785</v>
      </c>
      <c r="BL22" s="648" t="s">
        <v>785</v>
      </c>
      <c r="BQ22" s="682">
        <v>4190067</v>
      </c>
      <c r="BR22" s="648" t="s">
        <v>918</v>
      </c>
      <c r="BS22" s="770"/>
      <c r="BT22" s="682">
        <v>4189674</v>
      </c>
      <c r="BU22" s="648" t="s">
        <v>919</v>
      </c>
      <c r="BV22" s="191"/>
      <c r="BW22" s="191"/>
      <c r="CC22" s="682">
        <v>4189711</v>
      </c>
      <c r="CD22" s="648" t="s">
        <v>281</v>
      </c>
    </row>
    <row r="23" spans="1:82" ht="21" customHeight="1">
      <c r="A23" s="2" t="s">
        <v>920</v>
      </c>
      <c r="B23" s="653">
        <v>2021</v>
      </c>
      <c r="AW23" s="682" t="s">
        <v>921</v>
      </c>
      <c r="AX23" s="682" t="s">
        <v>921</v>
      </c>
      <c r="AZ23" s="682" t="s">
        <v>922</v>
      </c>
      <c r="BB23" s="682" t="s">
        <v>923</v>
      </c>
      <c r="BC23" s="682" t="s">
        <v>622</v>
      </c>
      <c r="BE23" s="682">
        <v>2021</v>
      </c>
      <c r="BH23" s="648" t="s">
        <v>849</v>
      </c>
      <c r="BJ23" s="648" t="s">
        <v>801</v>
      </c>
      <c r="BL23" s="648" t="s">
        <v>801</v>
      </c>
      <c r="BQ23" s="682">
        <v>4190068</v>
      </c>
      <c r="BR23" s="648" t="s">
        <v>924</v>
      </c>
      <c r="BS23" s="770"/>
      <c r="BT23" s="682">
        <v>4189675</v>
      </c>
      <c r="BU23" s="648" t="s">
        <v>925</v>
      </c>
      <c r="BV23" s="191"/>
      <c r="BW23" s="191"/>
      <c r="CC23" s="682">
        <v>5110778</v>
      </c>
      <c r="CD23" s="648" t="s">
        <v>926</v>
      </c>
    </row>
    <row r="24" spans="1:82" ht="21" customHeight="1">
      <c r="A24" s="2" t="s">
        <v>927</v>
      </c>
      <c r="B24" s="653">
        <v>2022</v>
      </c>
      <c r="AW24" s="682" t="s">
        <v>928</v>
      </c>
      <c r="AX24" s="682" t="s">
        <v>928</v>
      </c>
      <c r="AZ24" s="682" t="s">
        <v>929</v>
      </c>
      <c r="BB24" s="682" t="s">
        <v>930</v>
      </c>
      <c r="BC24" s="682" t="s">
        <v>931</v>
      </c>
      <c r="BE24" s="682">
        <v>2022</v>
      </c>
      <c r="BH24" s="648" t="s">
        <v>857</v>
      </c>
      <c r="BJ24" s="648" t="s">
        <v>815</v>
      </c>
      <c r="BL24" s="648" t="s">
        <v>815</v>
      </c>
      <c r="BQ24" s="682">
        <v>4190069</v>
      </c>
      <c r="BR24" s="648" t="s">
        <v>932</v>
      </c>
      <c r="BS24" s="770"/>
      <c r="BT24" s="682">
        <v>4189676</v>
      </c>
      <c r="BU24" s="648" t="s">
        <v>933</v>
      </c>
      <c r="BV24" s="191"/>
      <c r="BW24" s="191"/>
      <c r="CC24" s="682">
        <v>25575374</v>
      </c>
      <c r="CD24" s="648" t="s">
        <v>934</v>
      </c>
    </row>
    <row r="25" spans="1:82" ht="11.25" customHeight="1">
      <c r="A25" s="2" t="s">
        <v>935</v>
      </c>
      <c r="B25" s="653">
        <v>2023</v>
      </c>
      <c r="AW25" s="682" t="s">
        <v>936</v>
      </c>
      <c r="AX25" s="682" t="s">
        <v>936</v>
      </c>
      <c r="AZ25" s="682" t="s">
        <v>937</v>
      </c>
      <c r="BB25" s="682" t="s">
        <v>938</v>
      </c>
      <c r="BC25" s="682" t="s">
        <v>931</v>
      </c>
      <c r="BE25" s="682">
        <v>2023</v>
      </c>
      <c r="BH25" s="648" t="s">
        <v>864</v>
      </c>
      <c r="BJ25" s="648" t="s">
        <v>888</v>
      </c>
      <c r="BL25" s="648" t="s">
        <v>888</v>
      </c>
      <c r="BQ25" s="682">
        <v>4190070</v>
      </c>
      <c r="BR25" s="648" t="s">
        <v>939</v>
      </c>
      <c r="BS25" s="770"/>
      <c r="BT25" s="682">
        <v>4189677</v>
      </c>
      <c r="BU25" s="648" t="s">
        <v>940</v>
      </c>
      <c r="BV25" s="191"/>
      <c r="BW25" s="191"/>
    </row>
    <row r="26" spans="1:82" ht="11.25" customHeight="1">
      <c r="A26" s="2" t="s">
        <v>941</v>
      </c>
      <c r="B26" s="653">
        <v>2024</v>
      </c>
      <c r="J26" s="976" t="s">
        <v>942</v>
      </c>
      <c r="AX26" s="682" t="s">
        <v>943</v>
      </c>
      <c r="AZ26" s="682" t="s">
        <v>808</v>
      </c>
      <c r="BB26" s="682" t="s">
        <v>944</v>
      </c>
      <c r="BC26" s="682" t="s">
        <v>931</v>
      </c>
      <c r="BE26" s="682">
        <v>2024</v>
      </c>
      <c r="BH26" s="648" t="s">
        <v>874</v>
      </c>
      <c r="BJ26" s="648" t="s">
        <v>826</v>
      </c>
      <c r="BL26" s="648" t="s">
        <v>826</v>
      </c>
      <c r="BQ26" s="682">
        <v>4190071</v>
      </c>
      <c r="BR26" s="648" t="s">
        <v>945</v>
      </c>
      <c r="BS26" s="770"/>
      <c r="BV26" s="191"/>
      <c r="BW26" s="191"/>
    </row>
    <row r="27" spans="1:82" ht="11.25" customHeight="1">
      <c r="A27" s="2" t="s">
        <v>946</v>
      </c>
      <c r="B27" s="653">
        <v>2025</v>
      </c>
      <c r="J27" s="84" t="s">
        <v>389</v>
      </c>
      <c r="AX27" s="682" t="s">
        <v>947</v>
      </c>
      <c r="BB27" s="682" t="s">
        <v>948</v>
      </c>
      <c r="BC27" s="682" t="s">
        <v>931</v>
      </c>
      <c r="BE27" s="682">
        <v>2025</v>
      </c>
      <c r="BH27" s="191" t="s">
        <v>18</v>
      </c>
      <c r="BJ27" s="648" t="s">
        <v>833</v>
      </c>
      <c r="BL27" s="648" t="s">
        <v>833</v>
      </c>
      <c r="BN27" s="191" t="s">
        <v>18</v>
      </c>
      <c r="BQ27" s="682">
        <v>4190072</v>
      </c>
      <c r="BR27" s="648" t="s">
        <v>949</v>
      </c>
      <c r="BS27" s="770"/>
      <c r="BV27" s="191"/>
      <c r="BW27" s="191"/>
    </row>
    <row r="28" spans="1:82" ht="11.25" customHeight="1">
      <c r="A28" s="2" t="s">
        <v>950</v>
      </c>
      <c r="D28" s="2"/>
      <c r="E28" s="668"/>
      <c r="F28" s="668"/>
      <c r="H28" s="145" t="s">
        <v>951</v>
      </c>
      <c r="AX28" s="682" t="s">
        <v>952</v>
      </c>
      <c r="AZ28" s="647" t="s">
        <v>953</v>
      </c>
      <c r="BB28" s="682" t="s">
        <v>954</v>
      </c>
      <c r="BC28" s="682" t="s">
        <v>955</v>
      </c>
      <c r="BE28" s="682">
        <v>2026</v>
      </c>
      <c r="BH28" s="191" t="s">
        <v>18</v>
      </c>
      <c r="BJ28" s="648" t="s">
        <v>840</v>
      </c>
      <c r="BL28" s="648" t="s">
        <v>840</v>
      </c>
      <c r="BN28" s="191" t="s">
        <v>18</v>
      </c>
      <c r="BQ28" s="682">
        <v>4190073</v>
      </c>
      <c r="BR28" s="648" t="s">
        <v>956</v>
      </c>
      <c r="BS28" s="770"/>
      <c r="BV28" s="191"/>
      <c r="BW28" s="191"/>
    </row>
    <row r="29" spans="1:82" ht="11.25" customHeight="1">
      <c r="A29" s="2" t="s">
        <v>957</v>
      </c>
      <c r="D29" s="669" t="s">
        <v>958</v>
      </c>
      <c r="E29" s="670" t="str">
        <f>IF(TEMPLATE_GROUP="","",INDEX(StartDateList,MATCH(TEMPLATE_GROUP,CodeTemplateList,0),1))</f>
        <v>01.07.2023</v>
      </c>
      <c r="F29" s="670" t="str">
        <f>IF(TEMPLATE_GROUP="","",INDEX(EndDateList,MATCH(TEMPLATE_GROUP,CodeTemplateList,0),1))</f>
        <v>30.09.2023</v>
      </c>
      <c r="H29" s="671" t="s">
        <v>959</v>
      </c>
      <c r="AX29" s="682" t="s">
        <v>960</v>
      </c>
      <c r="AZ29" s="682" t="s">
        <v>606</v>
      </c>
      <c r="BB29" s="682" t="s">
        <v>808</v>
      </c>
      <c r="BC29" s="15"/>
      <c r="BE29" s="682">
        <v>2027</v>
      </c>
      <c r="BJ29" s="648" t="s">
        <v>849</v>
      </c>
      <c r="BL29" s="648" t="s">
        <v>849</v>
      </c>
    </row>
    <row r="30" spans="1:82" ht="11.25" customHeight="1">
      <c r="A30" s="2" t="s">
        <v>961</v>
      </c>
      <c r="D30" s="672"/>
      <c r="E30" s="161"/>
      <c r="F30" s="161"/>
      <c r="AX30" s="682" t="s">
        <v>962</v>
      </c>
      <c r="AZ30" s="682" t="s">
        <v>635</v>
      </c>
      <c r="BE30" s="682">
        <v>2028</v>
      </c>
      <c r="BJ30" s="648" t="s">
        <v>963</v>
      </c>
      <c r="BL30" s="648" t="s">
        <v>963</v>
      </c>
    </row>
    <row r="31" spans="1:82" ht="12.75" customHeight="1">
      <c r="A31" s="2" t="s">
        <v>964</v>
      </c>
      <c r="D31" s="2"/>
      <c r="E31" s="668"/>
      <c r="F31" s="668"/>
      <c r="H31" s="673"/>
      <c r="AX31" s="682" t="s">
        <v>965</v>
      </c>
      <c r="AZ31" s="682" t="s">
        <v>966</v>
      </c>
      <c r="BE31" s="682">
        <v>2029</v>
      </c>
      <c r="BJ31" s="648" t="s">
        <v>967</v>
      </c>
      <c r="BL31" s="648" t="s">
        <v>967</v>
      </c>
    </row>
    <row r="32" spans="1:82" ht="11.25" customHeight="1">
      <c r="A32" s="2" t="s">
        <v>968</v>
      </c>
      <c r="D32" s="669" t="s">
        <v>969</v>
      </c>
      <c r="E32" s="670" t="str">
        <f>IF(TEMPLATE_GROUP="","",INDEX(StartDateList,MATCH(TEMPLATE_GROUP,CodeTemplateList,0),1))</f>
        <v>01.07.2023</v>
      </c>
      <c r="F32" s="670" t="str">
        <f>IF(TEMPLATE_GROUP="","",INDEX(EndDateList,MATCH(TEMPLATE_GROUP,CodeTemplateList,0),1))</f>
        <v>30.09.2023</v>
      </c>
      <c r="H32" s="674" t="s">
        <v>970</v>
      </c>
      <c r="O32" s="2" t="s">
        <v>604</v>
      </c>
      <c r="AX32" s="682" t="s">
        <v>971</v>
      </c>
      <c r="AZ32" s="682" t="s">
        <v>702</v>
      </c>
      <c r="BE32" s="682">
        <v>2030</v>
      </c>
      <c r="BJ32" s="648" t="s">
        <v>857</v>
      </c>
      <c r="BL32" s="648" t="s">
        <v>857</v>
      </c>
    </row>
    <row r="33" spans="1:66" ht="11.25" customHeight="1">
      <c r="A33" s="2" t="s">
        <v>972</v>
      </c>
      <c r="O33" s="2" t="s">
        <v>632</v>
      </c>
      <c r="AX33" s="682" t="s">
        <v>973</v>
      </c>
      <c r="AZ33" s="682" t="s">
        <v>605</v>
      </c>
      <c r="BE33" s="682">
        <v>2031</v>
      </c>
      <c r="BJ33" s="648" t="s">
        <v>864</v>
      </c>
      <c r="BL33" s="648" t="s">
        <v>864</v>
      </c>
    </row>
    <row r="34" spans="1:66" ht="11.25" customHeight="1">
      <c r="A34" s="2" t="s">
        <v>974</v>
      </c>
      <c r="O34" s="2" t="s">
        <v>667</v>
      </c>
      <c r="AX34" s="682" t="s">
        <v>975</v>
      </c>
      <c r="BE34" s="682">
        <v>2032</v>
      </c>
      <c r="BJ34" s="648" t="s">
        <v>874</v>
      </c>
      <c r="BL34" s="648" t="s">
        <v>874</v>
      </c>
    </row>
    <row r="35" spans="1:66" ht="11.25" customHeight="1">
      <c r="A35" s="2" t="s">
        <v>976</v>
      </c>
      <c r="O35" s="2" t="s">
        <v>700</v>
      </c>
      <c r="AX35" s="682" t="s">
        <v>977</v>
      </c>
      <c r="AZ35" s="647" t="s">
        <v>978</v>
      </c>
      <c r="BE35" s="682">
        <v>2033</v>
      </c>
      <c r="BL35" s="648" t="s">
        <v>979</v>
      </c>
    </row>
    <row r="36" spans="1:66" ht="11.25" customHeight="1">
      <c r="A36" s="2" t="s">
        <v>980</v>
      </c>
      <c r="D36" s="675" t="s">
        <v>981</v>
      </c>
      <c r="E36" s="676" t="s">
        <v>982</v>
      </c>
      <c r="F36" s="662" t="str">
        <f>INDEX(E37:E41,MATCH(TEMPLATE_SPHERE,F37:F41,0))</f>
        <v>холодного водоснабжения</v>
      </c>
      <c r="G36" s="662" t="str">
        <f>INDEX(G37:G41,MATCH(TEMPLATE_SPHERE,F37:F41,0))</f>
        <v>холодное водоснабжение</v>
      </c>
      <c r="O36" s="2" t="s">
        <v>725</v>
      </c>
      <c r="AX36" s="682" t="s">
        <v>983</v>
      </c>
      <c r="AZ36" s="682" t="s">
        <v>605</v>
      </c>
      <c r="BE36" s="682">
        <v>2034</v>
      </c>
      <c r="BL36" s="648" t="s">
        <v>984</v>
      </c>
    </row>
    <row r="37" spans="1:66" ht="11.25" customHeight="1">
      <c r="A37" s="2" t="s">
        <v>14</v>
      </c>
      <c r="E37" s="246" t="s">
        <v>985</v>
      </c>
      <c r="F37" s="677" t="s">
        <v>593</v>
      </c>
      <c r="G37" s="246" t="s">
        <v>986</v>
      </c>
      <c r="O37" s="2" t="s">
        <v>744</v>
      </c>
      <c r="AX37" s="682" t="s">
        <v>987</v>
      </c>
      <c r="AZ37" s="682" t="s">
        <v>634</v>
      </c>
      <c r="BE37" s="682">
        <v>2035</v>
      </c>
    </row>
    <row r="38" spans="1:66" ht="11.25" customHeight="1">
      <c r="A38" s="2" t="s">
        <v>988</v>
      </c>
      <c r="E38" s="246" t="s">
        <v>989</v>
      </c>
      <c r="F38" s="678" t="s">
        <v>982</v>
      </c>
      <c r="G38" s="246" t="s">
        <v>990</v>
      </c>
      <c r="O38" s="2" t="s">
        <v>760</v>
      </c>
      <c r="AX38" s="682" t="s">
        <v>991</v>
      </c>
      <c r="AZ38" s="682" t="s">
        <v>668</v>
      </c>
      <c r="BE38" s="682">
        <v>2036</v>
      </c>
      <c r="BH38" s="647" t="s">
        <v>992</v>
      </c>
      <c r="BJ38" s="647" t="s">
        <v>993</v>
      </c>
      <c r="BL38" s="647" t="s">
        <v>994</v>
      </c>
      <c r="BN38" s="647" t="s">
        <v>995</v>
      </c>
    </row>
    <row r="39" spans="1:66" ht="11.25" customHeight="1">
      <c r="A39" s="2" t="s">
        <v>996</v>
      </c>
      <c r="E39" s="246" t="s">
        <v>997</v>
      </c>
      <c r="F39" s="678" t="s">
        <v>595</v>
      </c>
      <c r="G39" s="246" t="s">
        <v>998</v>
      </c>
      <c r="O39" s="2" t="s">
        <v>776</v>
      </c>
      <c r="AX39" s="682" t="s">
        <v>999</v>
      </c>
      <c r="AZ39" s="682" t="s">
        <v>701</v>
      </c>
      <c r="BE39" s="682">
        <v>2037</v>
      </c>
      <c r="BH39" s="648" t="s">
        <v>1000</v>
      </c>
      <c r="BJ39" s="729" t="s">
        <v>1000</v>
      </c>
      <c r="BL39" s="729" t="s">
        <v>1000</v>
      </c>
      <c r="BN39" s="648" t="s">
        <v>1001</v>
      </c>
    </row>
    <row r="40" spans="1:66" ht="11.25" customHeight="1">
      <c r="A40" s="2" t="s">
        <v>1002</v>
      </c>
      <c r="E40" s="246" t="s">
        <v>1003</v>
      </c>
      <c r="F40" s="678" t="s">
        <v>1004</v>
      </c>
      <c r="G40" s="246" t="s">
        <v>1005</v>
      </c>
      <c r="O40" s="2" t="s">
        <v>792</v>
      </c>
      <c r="AX40" s="682" t="s">
        <v>1006</v>
      </c>
      <c r="BE40" s="682">
        <v>2038</v>
      </c>
      <c r="BH40" s="648" t="s">
        <v>1007</v>
      </c>
      <c r="BJ40" s="729" t="s">
        <v>1008</v>
      </c>
      <c r="BL40" s="729" t="s">
        <v>1008</v>
      </c>
      <c r="BN40" s="648" t="s">
        <v>1009</v>
      </c>
    </row>
    <row r="41" spans="1:66" ht="11.25" customHeight="1">
      <c r="A41" s="2" t="s">
        <v>1010</v>
      </c>
      <c r="E41" s="246" t="s">
        <v>1011</v>
      </c>
      <c r="F41" s="678" t="s">
        <v>1012</v>
      </c>
      <c r="G41" s="246" t="s">
        <v>1011</v>
      </c>
      <c r="O41" s="2" t="s">
        <v>808</v>
      </c>
      <c r="AX41" s="682" t="s">
        <v>1013</v>
      </c>
      <c r="AZ41" s="647" t="s">
        <v>1014</v>
      </c>
      <c r="BE41" s="682">
        <v>2039</v>
      </c>
      <c r="BH41" s="648" t="s">
        <v>1015</v>
      </c>
      <c r="BJ41" s="729" t="s">
        <v>1016</v>
      </c>
      <c r="BL41" s="729" t="s">
        <v>1016</v>
      </c>
      <c r="BN41" s="648" t="s">
        <v>1017</v>
      </c>
    </row>
    <row r="42" spans="1:66" ht="11.25" customHeight="1">
      <c r="A42" s="2" t="s">
        <v>1018</v>
      </c>
      <c r="AX42" s="682" t="s">
        <v>1019</v>
      </c>
      <c r="AZ42" s="682" t="s">
        <v>604</v>
      </c>
      <c r="BE42" s="682">
        <v>2040</v>
      </c>
      <c r="BH42" s="648" t="s">
        <v>1020</v>
      </c>
      <c r="BJ42" s="729" t="s">
        <v>1021</v>
      </c>
      <c r="BL42" s="729" t="s">
        <v>1021</v>
      </c>
      <c r="BN42" s="648" t="s">
        <v>1022</v>
      </c>
    </row>
    <row r="43" spans="1:66" ht="11.25" customHeight="1">
      <c r="A43" s="2" t="s">
        <v>1023</v>
      </c>
      <c r="AX43" s="682" t="s">
        <v>1024</v>
      </c>
      <c r="AZ43" s="682" t="s">
        <v>632</v>
      </c>
      <c r="BE43" s="682">
        <v>2041</v>
      </c>
      <c r="BH43" s="648" t="s">
        <v>1025</v>
      </c>
      <c r="BJ43" s="729" t="s">
        <v>1015</v>
      </c>
      <c r="BL43" s="729" t="s">
        <v>1015</v>
      </c>
      <c r="BN43" s="648" t="s">
        <v>1026</v>
      </c>
    </row>
    <row r="44" spans="1:66" ht="11.25" customHeight="1">
      <c r="A44" s="2" t="s">
        <v>1027</v>
      </c>
      <c r="I44" s="476" t="s">
        <v>1028</v>
      </c>
      <c r="J44" s="663" t="s">
        <v>1029</v>
      </c>
      <c r="K44" s="663" t="s">
        <v>1030</v>
      </c>
      <c r="AX44" s="682" t="s">
        <v>1031</v>
      </c>
      <c r="AZ44" s="682" t="s">
        <v>667</v>
      </c>
      <c r="BE44" s="682">
        <v>2042</v>
      </c>
      <c r="BH44" s="648" t="s">
        <v>1032</v>
      </c>
      <c r="BJ44" s="729" t="s">
        <v>1020</v>
      </c>
      <c r="BL44" s="729" t="s">
        <v>1020</v>
      </c>
      <c r="BN44" s="648" t="s">
        <v>1033</v>
      </c>
    </row>
    <row r="45" spans="1:66" ht="11.25" customHeight="1">
      <c r="A45" s="2" t="s">
        <v>1034</v>
      </c>
      <c r="D45" s="675" t="s">
        <v>1035</v>
      </c>
      <c r="E45" s="676" t="s">
        <v>1036</v>
      </c>
      <c r="F45" s="475" t="s">
        <v>1037</v>
      </c>
      <c r="G45" s="474" t="s">
        <v>1038</v>
      </c>
      <c r="H45" s="476" t="s">
        <v>1039</v>
      </c>
      <c r="I45" s="986" t="b">
        <f>INDEX(PeriodIsEmptyList,MATCH(TEMPLATE_GROUP,CodeTemplateList,0),1)</f>
        <v>0</v>
      </c>
      <c r="J45" s="989"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989"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682" t="s">
        <v>1040</v>
      </c>
      <c r="AZ45" s="682" t="s">
        <v>700</v>
      </c>
      <c r="BE45" s="682">
        <v>2043</v>
      </c>
      <c r="BH45" s="648" t="s">
        <v>1041</v>
      </c>
      <c r="BJ45" s="729" t="s">
        <v>1042</v>
      </c>
      <c r="BL45" s="729" t="s">
        <v>1042</v>
      </c>
      <c r="BN45" s="648" t="s">
        <v>1043</v>
      </c>
    </row>
    <row r="46" spans="1:66" ht="11.25" customHeight="1">
      <c r="A46" s="2" t="s">
        <v>1044</v>
      </c>
      <c r="E46" s="246" t="s">
        <v>23</v>
      </c>
      <c r="F46" s="677" t="s">
        <v>1045</v>
      </c>
      <c r="G46" s="679"/>
      <c r="H46" s="679"/>
      <c r="I46" s="987" t="b">
        <f>IF(TITLE_DATE_FIL="",TRUE,FALSE)</f>
        <v>1</v>
      </c>
      <c r="J46" s="990" t="str">
        <f>"Общая информация о регулируемой организации ("&amp;TEMPLATE_SPHERE_RUS&amp;")"</f>
        <v>Общая информация о регулируемой организации (холодного водоснабжения)</v>
      </c>
      <c r="K46" s="756"/>
      <c r="AX46" s="682" t="s">
        <v>1046</v>
      </c>
      <c r="AZ46" s="682" t="s">
        <v>725</v>
      </c>
      <c r="BE46" s="682">
        <v>2044</v>
      </c>
      <c r="BH46" s="648" t="s">
        <v>1017</v>
      </c>
      <c r="BJ46" s="729" t="s">
        <v>1047</v>
      </c>
      <c r="BL46" s="729" t="s">
        <v>1047</v>
      </c>
      <c r="BN46" s="648" t="s">
        <v>1048</v>
      </c>
    </row>
    <row r="47" spans="1:66" ht="11.25" customHeight="1">
      <c r="A47" s="2" t="s">
        <v>1049</v>
      </c>
      <c r="E47" s="246" t="s">
        <v>29</v>
      </c>
      <c r="F47" s="678" t="s">
        <v>1036</v>
      </c>
      <c r="G47" s="680" t="str">
        <f>IF(f_year="","",IF(LEN(f_quart)=0,"",IF(f_quart="I квартал","01.01."&amp;f_year,IF(f_quart="II квартал","01.04."&amp;f_year,(IF(f_quart="III квартал","01.07."&amp;f_year,"01.10."&amp;f_year))))))</f>
        <v>01.07.2023</v>
      </c>
      <c r="H47" s="680" t="str">
        <f>IF(f_year="","",IF(LEN(f_quart)=0,"",IF(f_quart="I квартал","31.03."&amp;f_year,IF(f_quart="II квартал","30.06."&amp;f_year,(IF(f_quart="III квартал","30.09."&amp;f_year,"31.12."&amp;f_year))))))</f>
        <v>30.09.2023</v>
      </c>
      <c r="I47" s="988" t="b">
        <f>IF(OR(f_year="",f_quart=""),TRUE,FALSE)</f>
        <v>0</v>
      </c>
      <c r="J47" s="990"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756"/>
      <c r="AX47" s="682" t="s">
        <v>1050</v>
      </c>
      <c r="AZ47" s="682" t="s">
        <v>744</v>
      </c>
      <c r="BE47" s="682">
        <v>2045</v>
      </c>
      <c r="BH47" s="648" t="s">
        <v>1022</v>
      </c>
      <c r="BJ47" s="729" t="s">
        <v>1051</v>
      </c>
      <c r="BL47" s="729" t="s">
        <v>1051</v>
      </c>
      <c r="BN47" s="648" t="s">
        <v>1052</v>
      </c>
    </row>
    <row r="48" spans="1:66" ht="11.25" customHeight="1">
      <c r="A48" s="2" t="s">
        <v>1053</v>
      </c>
      <c r="E48" s="246" t="s">
        <v>1054</v>
      </c>
      <c r="F48" s="678" t="s">
        <v>1055</v>
      </c>
      <c r="G48" s="680" t="str">
        <f>IF(f_year="","","01.01."&amp;f_year)</f>
        <v>01.01.2023</v>
      </c>
      <c r="H48" s="680" t="str">
        <f>IF(f_year="","","31.12."&amp;f_year)</f>
        <v>31.12.2023</v>
      </c>
      <c r="I48" s="987" t="b">
        <f>IF(f_year="",TRUE,FALSE)</f>
        <v>0</v>
      </c>
      <c r="J48" s="990" t="s">
        <v>1056</v>
      </c>
      <c r="K48" s="756"/>
      <c r="AX48" s="682" t="s">
        <v>1057</v>
      </c>
      <c r="AZ48" s="682" t="s">
        <v>760</v>
      </c>
      <c r="BE48" s="682">
        <v>2046</v>
      </c>
      <c r="BH48" s="648" t="s">
        <v>1026</v>
      </c>
      <c r="BJ48" s="729" t="s">
        <v>1058</v>
      </c>
      <c r="BL48" s="729" t="s">
        <v>1058</v>
      </c>
      <c r="BN48" s="648" t="s">
        <v>1059</v>
      </c>
    </row>
    <row r="49" spans="1:64" ht="11.25" customHeight="1">
      <c r="A49" s="2" t="s">
        <v>1060</v>
      </c>
      <c r="E49" s="246" t="s">
        <v>1061</v>
      </c>
      <c r="F49" s="678" t="s">
        <v>1062</v>
      </c>
      <c r="G49" s="680" t="str">
        <f>IF(f_year="","","01.01."&amp;f_year)</f>
        <v>01.01.2023</v>
      </c>
      <c r="H49" s="680" t="str">
        <f>IF(f_year="","","31.12."&amp;f_year)</f>
        <v>31.12.2023</v>
      </c>
      <c r="I49" s="987" t="b">
        <f>IF(f_year="",TRUE,FALSE)</f>
        <v>0</v>
      </c>
      <c r="J49" s="990"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756"/>
      <c r="AX49" s="682" t="s">
        <v>1063</v>
      </c>
      <c r="AZ49" s="682" t="s">
        <v>776</v>
      </c>
      <c r="BE49" s="682">
        <v>2047</v>
      </c>
      <c r="BH49" s="648" t="s">
        <v>1064</v>
      </c>
      <c r="BJ49" s="729" t="s">
        <v>1065</v>
      </c>
      <c r="BL49" s="729" t="s">
        <v>1065</v>
      </c>
    </row>
    <row r="50" spans="1:64" ht="11.25" customHeight="1">
      <c r="A50" s="2" t="s">
        <v>1066</v>
      </c>
      <c r="E50" s="246" t="s">
        <v>1067</v>
      </c>
      <c r="F50" s="678" t="s">
        <v>1068</v>
      </c>
      <c r="G50" s="680" t="str">
        <f>IF(f_year="","","01.01."&amp;f_year)</f>
        <v>01.01.2023</v>
      </c>
      <c r="H50" s="680" t="str">
        <f>IF(f_year="","","31.12."&amp;f_year)</f>
        <v>31.12.2023</v>
      </c>
      <c r="I50" s="987" t="b">
        <f>IF(f_year="",TRUE,FALSE)</f>
        <v>0</v>
      </c>
      <c r="J50" s="990"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756"/>
      <c r="AX50" s="682" t="s">
        <v>1069</v>
      </c>
      <c r="AZ50" s="682" t="s">
        <v>792</v>
      </c>
      <c r="BE50" s="682">
        <v>2048</v>
      </c>
      <c r="BH50" s="648" t="s">
        <v>1033</v>
      </c>
      <c r="BJ50" s="729" t="s">
        <v>1070</v>
      </c>
      <c r="BL50" s="729" t="s">
        <v>1070</v>
      </c>
    </row>
    <row r="51" spans="1:64" ht="11.25" customHeight="1">
      <c r="A51" s="2" t="s">
        <v>1071</v>
      </c>
      <c r="E51" s="246" t="s">
        <v>1072</v>
      </c>
      <c r="F51" s="678" t="s">
        <v>1073</v>
      </c>
      <c r="G51" s="680" t="str">
        <f>IF(TITLE_PERIOD_START="","",TITLE_PERIOD_START)</f>
        <v/>
      </c>
      <c r="H51" s="680" t="str">
        <f>IF(TITLE_PERIOD_END="","",TITLE_PERIOD_END)</f>
        <v/>
      </c>
      <c r="I51" s="988" t="b">
        <f>IF(OR(TITLE_PERIOD_START="",TITLE_PERIOD_END=""),TRUE,FALSE)</f>
        <v>1</v>
      </c>
      <c r="J51" s="990"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756"/>
      <c r="AX51" s="682" t="s">
        <v>1074</v>
      </c>
      <c r="AZ51" s="682" t="s">
        <v>808</v>
      </c>
      <c r="BE51" s="682">
        <v>2049</v>
      </c>
      <c r="BH51" s="648" t="s">
        <v>1043</v>
      </c>
      <c r="BJ51" s="729" t="s">
        <v>1075</v>
      </c>
      <c r="BL51" s="729" t="s">
        <v>1075</v>
      </c>
    </row>
    <row r="52" spans="1:64" ht="11.25" customHeight="1">
      <c r="A52" s="2" t="s">
        <v>1076</v>
      </c>
      <c r="E52" s="246" t="s">
        <v>1077</v>
      </c>
      <c r="F52" s="678" t="s">
        <v>1078</v>
      </c>
      <c r="G52" s="680" t="str">
        <f>IF(TITLE_PERIOD_START="","",TITLE_PERIOD_START)</f>
        <v/>
      </c>
      <c r="H52" s="680" t="str">
        <f>IF(TITLE_PERIOD_END="","",TITLE_PERIOD_END)</f>
        <v/>
      </c>
      <c r="I52" s="988" t="b">
        <f>IF(OR(TITLE_PERIOD_START="",TITLE_PERIOD_END=""),TRUE,FALSE)</f>
        <v>1</v>
      </c>
      <c r="J52" s="990"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756"/>
      <c r="AX52" s="682" t="s">
        <v>1079</v>
      </c>
      <c r="AZ52" s="682" t="s">
        <v>605</v>
      </c>
      <c r="BE52" s="682">
        <v>2050</v>
      </c>
      <c r="BH52" s="648" t="s">
        <v>1048</v>
      </c>
      <c r="BJ52" s="729" t="s">
        <v>1017</v>
      </c>
      <c r="BL52" s="729" t="s">
        <v>1017</v>
      </c>
    </row>
    <row r="53" spans="1:64" ht="11.25" customHeight="1">
      <c r="A53" s="2" t="s">
        <v>1080</v>
      </c>
      <c r="E53" s="246" t="s">
        <v>1081</v>
      </c>
      <c r="F53" s="678" t="s">
        <v>1081</v>
      </c>
      <c r="G53" s="680" t="str">
        <f>IF(f_year="","","01.01."&amp;f_year)</f>
        <v>01.01.2023</v>
      </c>
      <c r="H53" s="680" t="str">
        <f>IF(f_year="","","31.12."&amp;f_year)</f>
        <v>31.12.2023</v>
      </c>
      <c r="I53" s="987" t="b">
        <f>IF(AND(f_year="",TITLE_DATE_FIL=""),TRUE,FALSE)</f>
        <v>0</v>
      </c>
      <c r="J53" s="990" t="s">
        <v>1082</v>
      </c>
      <c r="K53" s="756"/>
      <c r="AX53" s="682" t="s">
        <v>1083</v>
      </c>
      <c r="BE53" s="682">
        <v>2051</v>
      </c>
      <c r="BH53" s="648" t="s">
        <v>1052</v>
      </c>
      <c r="BJ53" s="729" t="s">
        <v>1022</v>
      </c>
      <c r="BL53" s="729" t="s">
        <v>1022</v>
      </c>
    </row>
    <row r="54" spans="1:64" ht="11.25" customHeight="1">
      <c r="A54" s="2" t="s">
        <v>1084</v>
      </c>
      <c r="AX54" s="682" t="s">
        <v>1085</v>
      </c>
      <c r="AZ54" s="647" t="s">
        <v>1086</v>
      </c>
      <c r="BE54" s="682">
        <v>2052</v>
      </c>
      <c r="BH54" s="648" t="s">
        <v>1059</v>
      </c>
      <c r="BJ54" s="729" t="s">
        <v>1026</v>
      </c>
      <c r="BL54" s="729" t="s">
        <v>1026</v>
      </c>
    </row>
    <row r="55" spans="1:64" ht="11.25" customHeight="1">
      <c r="A55" s="2" t="s">
        <v>1087</v>
      </c>
      <c r="AX55" s="682" t="s">
        <v>1088</v>
      </c>
      <c r="AZ55" s="682" t="s">
        <v>607</v>
      </c>
      <c r="BE55" s="682">
        <v>2053</v>
      </c>
      <c r="BH55" s="191" t="s">
        <v>18</v>
      </c>
      <c r="BJ55" s="729" t="s">
        <v>1064</v>
      </c>
      <c r="BL55" s="729" t="s">
        <v>1064</v>
      </c>
    </row>
    <row r="56" spans="1:64" ht="11.25" customHeight="1">
      <c r="A56" s="2" t="s">
        <v>1089</v>
      </c>
      <c r="D56" s="681" t="s">
        <v>1090</v>
      </c>
      <c r="E56" s="663">
        <v>55</v>
      </c>
      <c r="F56" s="2" t="s">
        <v>1091</v>
      </c>
      <c r="AX56" s="682" t="s">
        <v>1092</v>
      </c>
      <c r="AZ56" s="682" t="s">
        <v>636</v>
      </c>
      <c r="BE56" s="682">
        <v>2054</v>
      </c>
      <c r="BH56" s="191" t="s">
        <v>18</v>
      </c>
      <c r="BJ56" s="729" t="s">
        <v>1033</v>
      </c>
      <c r="BL56" s="729" t="s">
        <v>1033</v>
      </c>
    </row>
    <row r="57" spans="1:64" ht="11.25" customHeight="1">
      <c r="A57" s="2" t="s">
        <v>1093</v>
      </c>
      <c r="D57" s="681" t="s">
        <v>1094</v>
      </c>
      <c r="E57" s="663">
        <v>66</v>
      </c>
      <c r="F57" s="2" t="s">
        <v>1091</v>
      </c>
      <c r="AX57" s="682" t="s">
        <v>1095</v>
      </c>
      <c r="AZ57" s="682" t="s">
        <v>670</v>
      </c>
      <c r="BE57" s="682">
        <v>2055</v>
      </c>
      <c r="BJ57" s="729" t="s">
        <v>1043</v>
      </c>
      <c r="BL57" s="729" t="s">
        <v>1043</v>
      </c>
    </row>
    <row r="58" spans="1:64" ht="11.25" customHeight="1">
      <c r="A58" s="2" t="s">
        <v>1096</v>
      </c>
      <c r="D58" s="681" t="s">
        <v>1097</v>
      </c>
      <c r="E58" s="663">
        <v>44</v>
      </c>
      <c r="F58" s="2" t="s">
        <v>1091</v>
      </c>
      <c r="AX58" s="682" t="s">
        <v>1098</v>
      </c>
      <c r="BE58" s="682">
        <v>2056</v>
      </c>
      <c r="BJ58" s="729" t="s">
        <v>1048</v>
      </c>
      <c r="BL58" s="729" t="s">
        <v>1048</v>
      </c>
    </row>
    <row r="59" spans="1:64" ht="11.25" customHeight="1">
      <c r="A59" s="2" t="s">
        <v>1099</v>
      </c>
      <c r="D59" s="681" t="s">
        <v>133</v>
      </c>
      <c r="E59" s="663" t="s">
        <v>905</v>
      </c>
      <c r="F59" s="2" t="s">
        <v>1100</v>
      </c>
      <c r="AX59" s="682" t="s">
        <v>1101</v>
      </c>
      <c r="AZ59" s="647" t="s">
        <v>1102</v>
      </c>
      <c r="BE59" s="682">
        <v>2057</v>
      </c>
      <c r="BJ59" s="729" t="s">
        <v>1052</v>
      </c>
      <c r="BL59" s="729" t="s">
        <v>1052</v>
      </c>
    </row>
    <row r="60" spans="1:64" ht="11.25" customHeight="1">
      <c r="A60" s="2" t="s">
        <v>1103</v>
      </c>
      <c r="D60" s="681" t="s">
        <v>1104</v>
      </c>
      <c r="E60" s="663" t="s">
        <v>905</v>
      </c>
      <c r="F60" s="2" t="s">
        <v>1100</v>
      </c>
      <c r="AX60" s="682" t="s">
        <v>1105</v>
      </c>
      <c r="AZ60" s="682" t="s">
        <v>608</v>
      </c>
      <c r="BE60" s="682">
        <v>2058</v>
      </c>
      <c r="BJ60" s="729" t="s">
        <v>1059</v>
      </c>
      <c r="BL60" s="729" t="s">
        <v>1059</v>
      </c>
    </row>
    <row r="61" spans="1:64" ht="11.25" customHeight="1">
      <c r="A61" s="2" t="s">
        <v>1106</v>
      </c>
      <c r="D61" s="681" t="s">
        <v>1107</v>
      </c>
      <c r="E61" s="663">
        <v>26</v>
      </c>
      <c r="F61" s="2" t="s">
        <v>1100</v>
      </c>
      <c r="AX61" s="682" t="s">
        <v>1108</v>
      </c>
      <c r="AZ61" s="682" t="s">
        <v>637</v>
      </c>
      <c r="BE61" s="682">
        <v>2059</v>
      </c>
      <c r="BL61" s="729" t="s">
        <v>1109</v>
      </c>
    </row>
    <row r="62" spans="1:64" ht="11.25" customHeight="1">
      <c r="A62" s="2" t="s">
        <v>1110</v>
      </c>
      <c r="D62" s="681" t="s">
        <v>132</v>
      </c>
      <c r="E62" s="663">
        <v>30</v>
      </c>
      <c r="F62" s="2" t="s">
        <v>1100</v>
      </c>
      <c r="AZ62" s="682" t="s">
        <v>671</v>
      </c>
      <c r="BE62" s="682">
        <v>2060</v>
      </c>
      <c r="BL62" s="729" t="s">
        <v>1111</v>
      </c>
    </row>
    <row r="63" spans="1:64" ht="11.25" customHeight="1">
      <c r="A63" s="2" t="s">
        <v>1112</v>
      </c>
      <c r="D63" s="681" t="s">
        <v>1113</v>
      </c>
      <c r="E63" s="663">
        <v>30</v>
      </c>
      <c r="F63" s="2" t="s">
        <v>1100</v>
      </c>
      <c r="AZ63" s="682" t="s">
        <v>703</v>
      </c>
      <c r="BE63" s="682">
        <v>2061</v>
      </c>
    </row>
    <row r="64" spans="1:64" ht="11.25" customHeight="1">
      <c r="A64" s="2" t="s">
        <v>1114</v>
      </c>
      <c r="D64" s="681" t="s">
        <v>1115</v>
      </c>
      <c r="E64" s="663">
        <v>30</v>
      </c>
      <c r="F64" s="2" t="s">
        <v>1100</v>
      </c>
      <c r="AZ64" s="682" t="s">
        <v>726</v>
      </c>
      <c r="BE64" s="682">
        <v>2062</v>
      </c>
    </row>
    <row r="65" spans="1:66" ht="11.25" customHeight="1">
      <c r="A65" s="2" t="s">
        <v>1116</v>
      </c>
      <c r="D65" s="2"/>
      <c r="BE65" s="682">
        <v>2063</v>
      </c>
    </row>
    <row r="66" spans="1:66" ht="11.25" customHeight="1">
      <c r="A66" s="2" t="s">
        <v>1117</v>
      </c>
      <c r="AZ66" s="647" t="s">
        <v>1118</v>
      </c>
      <c r="BE66" s="682">
        <v>2064</v>
      </c>
    </row>
    <row r="67" spans="1:66" ht="11.25" customHeight="1">
      <c r="A67" s="2" t="s">
        <v>1119</v>
      </c>
      <c r="AZ67" s="682" t="s">
        <v>609</v>
      </c>
      <c r="BE67" s="682">
        <v>2065</v>
      </c>
    </row>
    <row r="68" spans="1:66" ht="11.25" customHeight="1">
      <c r="A68" s="2" t="s">
        <v>1120</v>
      </c>
      <c r="AZ68" s="682" t="s">
        <v>638</v>
      </c>
      <c r="BE68" s="682">
        <v>2066</v>
      </c>
      <c r="BH68" s="647" t="s">
        <v>1121</v>
      </c>
      <c r="BJ68" s="647" t="s">
        <v>1122</v>
      </c>
      <c r="BL68" s="647" t="s">
        <v>1123</v>
      </c>
      <c r="BN68" s="647" t="s">
        <v>1124</v>
      </c>
    </row>
    <row r="69" spans="1:66" ht="11.25" customHeight="1">
      <c r="A69" s="2" t="s">
        <v>1125</v>
      </c>
      <c r="AZ69" s="682" t="s">
        <v>672</v>
      </c>
      <c r="BE69" s="682">
        <v>2067</v>
      </c>
      <c r="BH69" s="648" t="s">
        <v>1126</v>
      </c>
      <c r="BI69" s="191" t="s">
        <v>110</v>
      </c>
      <c r="BJ69" s="648" t="s">
        <v>1127</v>
      </c>
      <c r="BK69" s="191" t="s">
        <v>110</v>
      </c>
      <c r="BL69" s="648" t="s">
        <v>1128</v>
      </c>
      <c r="BN69" s="648" t="s">
        <v>1129</v>
      </c>
    </row>
    <row r="70" spans="1:66" ht="11.25" customHeight="1">
      <c r="A70" s="2" t="s">
        <v>1130</v>
      </c>
      <c r="AZ70" s="682" t="s">
        <v>704</v>
      </c>
      <c r="BE70" s="682">
        <v>2068</v>
      </c>
      <c r="BH70" s="648" t="s">
        <v>1131</v>
      </c>
      <c r="BJ70" s="648" t="s">
        <v>1132</v>
      </c>
      <c r="BL70" s="648" t="s">
        <v>1133</v>
      </c>
      <c r="BN70" s="648" t="s">
        <v>1134</v>
      </c>
    </row>
    <row r="71" spans="1:66" ht="11.25" customHeight="1">
      <c r="A71" s="2" t="s">
        <v>1135</v>
      </c>
      <c r="AZ71" s="682" t="s">
        <v>706</v>
      </c>
      <c r="BE71" s="682">
        <v>2069</v>
      </c>
      <c r="BH71" s="648" t="s">
        <v>1136</v>
      </c>
      <c r="BI71" s="191" t="s">
        <v>90</v>
      </c>
      <c r="BJ71" s="648" t="s">
        <v>1137</v>
      </c>
      <c r="BK71" s="191" t="s">
        <v>90</v>
      </c>
      <c r="BL71" s="648" t="s">
        <v>1138</v>
      </c>
      <c r="BN71" s="648" t="s">
        <v>1139</v>
      </c>
    </row>
    <row r="72" spans="1:66" ht="11.25" customHeight="1">
      <c r="A72" s="2" t="s">
        <v>1140</v>
      </c>
      <c r="AZ72" s="682" t="s">
        <v>57</v>
      </c>
      <c r="BE72" s="682">
        <v>2070</v>
      </c>
      <c r="BH72" s="648" t="s">
        <v>1141</v>
      </c>
      <c r="BJ72" s="648" t="s">
        <v>1141</v>
      </c>
      <c r="BL72" s="648" t="s">
        <v>1141</v>
      </c>
      <c r="BN72" s="648" t="s">
        <v>1142</v>
      </c>
    </row>
    <row r="73" spans="1:66" ht="11.25" customHeight="1">
      <c r="A73" s="2" t="s">
        <v>1143</v>
      </c>
      <c r="BH73" s="648" t="s">
        <v>1144</v>
      </c>
      <c r="BI73" s="191" t="s">
        <v>112</v>
      </c>
      <c r="BJ73" s="648" t="s">
        <v>1145</v>
      </c>
      <c r="BK73" s="191" t="s">
        <v>112</v>
      </c>
      <c r="BL73" s="648" t="s">
        <v>1146</v>
      </c>
      <c r="BN73" s="648" t="s">
        <v>1147</v>
      </c>
    </row>
    <row r="74" spans="1:66" ht="11.25" customHeight="1">
      <c r="A74" s="2" t="s">
        <v>1148</v>
      </c>
      <c r="BH74" s="648" t="s">
        <v>1149</v>
      </c>
      <c r="BJ74" s="648" t="s">
        <v>1150</v>
      </c>
      <c r="BL74" s="648" t="s">
        <v>1151</v>
      </c>
      <c r="BN74" s="648" t="s">
        <v>1152</v>
      </c>
    </row>
    <row r="75" spans="1:66" ht="11.25" customHeight="1">
      <c r="A75" s="2" t="s">
        <v>1153</v>
      </c>
      <c r="AZ75" s="647" t="s">
        <v>1154</v>
      </c>
      <c r="BH75" s="648" t="s">
        <v>1155</v>
      </c>
      <c r="BJ75" s="648" t="s">
        <v>1155</v>
      </c>
      <c r="BL75" s="648" t="s">
        <v>1155</v>
      </c>
    </row>
    <row r="76" spans="1:66" ht="11.25" customHeight="1">
      <c r="A76" s="2" t="s">
        <v>1156</v>
      </c>
      <c r="AZ76" s="682" t="s">
        <v>618</v>
      </c>
      <c r="BH76" s="648" t="s">
        <v>1157</v>
      </c>
      <c r="BJ76" s="648" t="s">
        <v>1158</v>
      </c>
      <c r="BL76" s="648" t="s">
        <v>1159</v>
      </c>
    </row>
    <row r="77" spans="1:66" ht="11.25" customHeight="1">
      <c r="A77" s="2" t="s">
        <v>1160</v>
      </c>
      <c r="AZ77" s="682" t="s">
        <v>648</v>
      </c>
    </row>
    <row r="78" spans="1:66" ht="11.25" customHeight="1">
      <c r="A78" s="2" t="s">
        <v>1161</v>
      </c>
      <c r="AZ78" s="682" t="s">
        <v>679</v>
      </c>
    </row>
    <row r="79" spans="1:66" ht="11.25" customHeight="1">
      <c r="A79" s="2" t="s">
        <v>1162</v>
      </c>
      <c r="AZ79" s="682" t="s">
        <v>710</v>
      </c>
      <c r="BH79" s="647" t="s">
        <v>1163</v>
      </c>
      <c r="BJ79" s="647" t="s">
        <v>1164</v>
      </c>
      <c r="BL79" s="647" t="s">
        <v>1165</v>
      </c>
    </row>
    <row r="80" spans="1:66" ht="11.25" customHeight="1">
      <c r="A80" s="2" t="s">
        <v>1166</v>
      </c>
      <c r="AZ80" s="682" t="s">
        <v>731</v>
      </c>
      <c r="BH80" s="648" t="s">
        <v>1167</v>
      </c>
      <c r="BJ80" s="648" t="s">
        <v>1168</v>
      </c>
      <c r="BL80" s="648" t="s">
        <v>1169</v>
      </c>
    </row>
    <row r="81" spans="1:66" ht="11.25" customHeight="1">
      <c r="A81" s="2" t="s">
        <v>1170</v>
      </c>
      <c r="AZ81" s="682" t="s">
        <v>748</v>
      </c>
      <c r="BH81" s="648" t="s">
        <v>1171</v>
      </c>
      <c r="BJ81" s="648" t="s">
        <v>1172</v>
      </c>
      <c r="BL81" s="648" t="s">
        <v>1173</v>
      </c>
    </row>
    <row r="82" spans="1:66" ht="11.25" customHeight="1">
      <c r="A82" s="2" t="s">
        <v>1174</v>
      </c>
      <c r="AZ82" s="682" t="s">
        <v>762</v>
      </c>
      <c r="BH82" s="648" t="s">
        <v>1175</v>
      </c>
      <c r="BJ82" s="648" t="s">
        <v>1176</v>
      </c>
      <c r="BL82" s="648" t="s">
        <v>1177</v>
      </c>
    </row>
    <row r="83" spans="1:66" ht="11.25" customHeight="1">
      <c r="A83" s="2" t="s">
        <v>1178</v>
      </c>
      <c r="BH83" s="648" t="s">
        <v>1179</v>
      </c>
      <c r="BJ83" s="648" t="s">
        <v>1180</v>
      </c>
      <c r="BL83" s="648" t="s">
        <v>1181</v>
      </c>
    </row>
    <row r="84" spans="1:66" ht="11.25" customHeight="1">
      <c r="A84" s="2" t="s">
        <v>1182</v>
      </c>
      <c r="AZ84" s="647" t="s">
        <v>1183</v>
      </c>
    </row>
    <row r="85" spans="1:66" ht="11.25" customHeight="1">
      <c r="A85" s="2" t="s">
        <v>1184</v>
      </c>
      <c r="AZ85" s="682" t="s">
        <v>1185</v>
      </c>
    </row>
    <row r="86" spans="1:66" ht="11.25" customHeight="1">
      <c r="A86" s="2" t="s">
        <v>1186</v>
      </c>
      <c r="AZ86" s="682" t="s">
        <v>1187</v>
      </c>
      <c r="BH86" s="647" t="s">
        <v>1188</v>
      </c>
      <c r="BJ86" s="647" t="s">
        <v>1189</v>
      </c>
      <c r="BL86" s="647" t="s">
        <v>1190</v>
      </c>
    </row>
    <row r="87" spans="1:66" ht="11.25" customHeight="1">
      <c r="A87" s="2" t="s">
        <v>1191</v>
      </c>
      <c r="AZ87" s="682" t="s">
        <v>1192</v>
      </c>
      <c r="BH87" s="648" t="s">
        <v>1193</v>
      </c>
      <c r="BJ87" s="648" t="s">
        <v>1194</v>
      </c>
      <c r="BL87" s="648" t="s">
        <v>1195</v>
      </c>
    </row>
    <row r="88" spans="1:66" ht="11.25" customHeight="1">
      <c r="AZ88"/>
      <c r="BH88" s="648" t="s">
        <v>1196</v>
      </c>
      <c r="BJ88" s="648" t="s">
        <v>1197</v>
      </c>
      <c r="BL88" s="648" t="s">
        <v>1198</v>
      </c>
    </row>
    <row r="89" spans="1:66" ht="11.25" customHeight="1">
      <c r="AZ89" s="647" t="s">
        <v>1199</v>
      </c>
    </row>
    <row r="90" spans="1:66" ht="11.25" customHeight="1">
      <c r="AZ90" s="682" t="s">
        <v>1068</v>
      </c>
    </row>
    <row r="91" spans="1:66" ht="11.25" customHeight="1">
      <c r="AZ91" s="682" t="s">
        <v>1200</v>
      </c>
      <c r="BH91" s="647" t="s">
        <v>1201</v>
      </c>
      <c r="BJ91" s="647" t="s">
        <v>1202</v>
      </c>
      <c r="BL91" s="647" t="s">
        <v>1203</v>
      </c>
    </row>
    <row r="92" spans="1:66" ht="11.25" customHeight="1">
      <c r="AZ92" s="682" t="s">
        <v>1204</v>
      </c>
      <c r="BH92" s="648" t="s">
        <v>1205</v>
      </c>
      <c r="BJ92" s="648" t="s">
        <v>1206</v>
      </c>
      <c r="BL92" s="648" t="s">
        <v>1207</v>
      </c>
    </row>
    <row r="93" spans="1:66" ht="11.25" customHeight="1">
      <c r="AZ93" s="682" t="s">
        <v>1208</v>
      </c>
      <c r="BH93" s="648" t="s">
        <v>1209</v>
      </c>
      <c r="BJ93" s="648" t="s">
        <v>1210</v>
      </c>
      <c r="BL93" s="648" t="s">
        <v>1211</v>
      </c>
    </row>
    <row r="94" spans="1:66" ht="11.25" customHeight="1">
      <c r="AZ94" s="682" t="s">
        <v>1212</v>
      </c>
    </row>
    <row r="96" spans="1:66" ht="11.25" customHeight="1">
      <c r="AZ96" s="647" t="s">
        <v>1213</v>
      </c>
      <c r="BH96" s="647" t="s">
        <v>1214</v>
      </c>
      <c r="BJ96" s="647" t="s">
        <v>1215</v>
      </c>
      <c r="BL96" s="647" t="s">
        <v>1216</v>
      </c>
      <c r="BN96" s="647" t="s">
        <v>1217</v>
      </c>
    </row>
    <row r="97" spans="52:66" ht="11.25" customHeight="1">
      <c r="AZ97" s="682" t="s">
        <v>1218</v>
      </c>
      <c r="BH97" s="648" t="s">
        <v>1219</v>
      </c>
      <c r="BJ97" s="648" t="s">
        <v>1220</v>
      </c>
      <c r="BL97" s="648" t="s">
        <v>1221</v>
      </c>
      <c r="BN97" s="648" t="s">
        <v>1222</v>
      </c>
    </row>
    <row r="98" spans="52:66" ht="11.25" customHeight="1">
      <c r="AZ98" s="682" t="s">
        <v>1223</v>
      </c>
      <c r="BH98" s="648" t="s">
        <v>1224</v>
      </c>
      <c r="BJ98" s="648" t="s">
        <v>1225</v>
      </c>
      <c r="BL98" s="648" t="s">
        <v>1226</v>
      </c>
      <c r="BN98" s="648" t="s">
        <v>1227</v>
      </c>
    </row>
    <row r="99" spans="52:66" ht="11.25" customHeight="1">
      <c r="AZ99" s="682" t="s">
        <v>1228</v>
      </c>
      <c r="BH99" s="648" t="s">
        <v>1229</v>
      </c>
      <c r="BJ99" s="648" t="s">
        <v>1230</v>
      </c>
      <c r="BL99" s="648" t="s">
        <v>1231</v>
      </c>
      <c r="BN99" s="648" t="s">
        <v>1232</v>
      </c>
    </row>
    <row r="100" spans="52:66" ht="11.25" customHeight="1">
      <c r="BJ100" s="648" t="s">
        <v>808</v>
      </c>
      <c r="BL100" s="648" t="s">
        <v>808</v>
      </c>
      <c r="BN100" s="648" t="s">
        <v>1233</v>
      </c>
    </row>
    <row r="101" spans="52:66" ht="11.25" customHeight="1">
      <c r="AZ101" s="647" t="s">
        <v>1234</v>
      </c>
      <c r="BN101" s="648" t="s">
        <v>1235</v>
      </c>
    </row>
    <row r="102" spans="52:66" ht="11.25" customHeight="1">
      <c r="AZ102" s="682" t="s">
        <v>1236</v>
      </c>
      <c r="BN102" s="648" t="s">
        <v>1237</v>
      </c>
    </row>
    <row r="103" spans="52:66" ht="11.25" customHeight="1">
      <c r="AZ103" s="682" t="s">
        <v>1238</v>
      </c>
      <c r="BN103" s="648" t="s">
        <v>1239</v>
      </c>
    </row>
    <row r="104" spans="52:66" ht="11.25" customHeight="1">
      <c r="AZ104" s="682" t="s">
        <v>1240</v>
      </c>
      <c r="BN104" s="648" t="s">
        <v>1241</v>
      </c>
    </row>
    <row r="107" spans="52:66" ht="11.25" customHeight="1">
      <c r="BH107" s="647" t="s">
        <v>1242</v>
      </c>
      <c r="BJ107" s="647" t="s">
        <v>1243</v>
      </c>
      <c r="BL107" s="647" t="s">
        <v>1244</v>
      </c>
      <c r="BN107" s="647" t="s">
        <v>1245</v>
      </c>
    </row>
    <row r="108" spans="52:66" ht="11.25" customHeight="1">
      <c r="BH108" s="648" t="s">
        <v>1246</v>
      </c>
      <c r="BJ108" s="648" t="s">
        <v>1247</v>
      </c>
      <c r="BL108" s="648" t="s">
        <v>893</v>
      </c>
      <c r="BN108" s="648" t="s">
        <v>1248</v>
      </c>
    </row>
    <row r="109" spans="52:66" ht="11.25" customHeight="1">
      <c r="BH109" s="648" t="s">
        <v>1249</v>
      </c>
    </row>
    <row r="110" spans="52:66" ht="11.25" customHeight="1">
      <c r="BH110" s="648" t="s">
        <v>1249</v>
      </c>
    </row>
    <row r="114" spans="60:60" ht="11.25" customHeight="1">
      <c r="BH114" s="647" t="s">
        <v>1250</v>
      </c>
    </row>
    <row r="115" spans="60:60" ht="11.25" customHeight="1">
      <c r="BH115" s="648" t="s">
        <v>605</v>
      </c>
    </row>
    <row r="116" spans="60:60" ht="11.25" customHeight="1">
      <c r="BH116" s="648" t="s">
        <v>634</v>
      </c>
    </row>
    <row r="117" spans="60:60" ht="11.25" customHeight="1">
      <c r="BH117" s="648" t="s">
        <v>668</v>
      </c>
    </row>
    <row r="118" spans="60:60" ht="11.25" customHeight="1">
      <c r="BH118" s="648" t="s">
        <v>701</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DEF456-64CC-2688-F857-88ACDC27451C}">
  <sheetPr>
    <tabColor rgb="FFFFCC99"/>
  </sheetPr>
  <dimension ref="A1:H34"/>
  <sheetViews>
    <sheetView showGridLines="0" workbookViewId="0"/>
  </sheetViews>
  <sheetFormatPr defaultColWidth="43.140625" defaultRowHeight="9" customHeight="1"/>
  <cols>
    <col min="1" max="3" width="43.140625" style="493"/>
    <col min="4" max="5" width="36.42578125" style="493" customWidth="1"/>
    <col min="6" max="8" width="36.42578125" style="585" customWidth="1"/>
  </cols>
  <sheetData>
    <row r="1" spans="1:8" ht="9" customHeight="1">
      <c r="A1" s="499" t="s">
        <v>1251</v>
      </c>
      <c r="B1" s="499"/>
      <c r="C1" s="586" t="s">
        <v>1252</v>
      </c>
      <c r="D1" s="584" t="s">
        <v>593</v>
      </c>
      <c r="E1" s="584" t="s">
        <v>982</v>
      </c>
      <c r="F1" s="584" t="s">
        <v>595</v>
      </c>
      <c r="G1" s="584" t="s">
        <v>1004</v>
      </c>
      <c r="H1" s="584" t="s">
        <v>1012</v>
      </c>
    </row>
    <row r="2" spans="1:8" ht="9" customHeight="1">
      <c r="A2" s="587" t="s">
        <v>1253</v>
      </c>
      <c r="B2" s="587"/>
      <c r="C2" s="588" t="str">
        <f>INDEX(TEMPLATE_NUMBER_FORM_LIST,MATCH(TEMPLATE_SPHERE,TEMPLATE_SPHERE_LIST,0))</f>
        <v>10</v>
      </c>
      <c r="D2" s="587" t="s">
        <v>859</v>
      </c>
      <c r="E2" s="587" t="s">
        <v>151</v>
      </c>
      <c r="F2" s="589" t="s">
        <v>151</v>
      </c>
      <c r="G2" s="587" t="s">
        <v>151</v>
      </c>
      <c r="H2" s="590"/>
    </row>
    <row r="3" spans="1:8" ht="63" customHeight="1">
      <c r="A3" s="499"/>
      <c r="B3" s="499" t="s">
        <v>110</v>
      </c>
      <c r="C3" s="588"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588" t="s">
        <v>1254</v>
      </c>
      <c r="E3" s="588"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589"/>
      <c r="G3" s="590"/>
      <c r="H3" s="499"/>
    </row>
    <row r="4" spans="1:8" ht="54" customHeight="1">
      <c r="A4" s="499" t="s">
        <v>1255</v>
      </c>
      <c r="B4" s="499" t="s">
        <v>111</v>
      </c>
      <c r="C4" s="588"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587" t="s">
        <v>1256</v>
      </c>
      <c r="E4" s="588"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587"/>
      <c r="G4" s="587"/>
      <c r="H4" s="499" t="s">
        <v>1257</v>
      </c>
    </row>
    <row r="5" spans="1:8" ht="171" customHeight="1">
      <c r="A5" s="499" t="s">
        <v>1258</v>
      </c>
      <c r="B5" s="499" t="s">
        <v>90</v>
      </c>
      <c r="C5" s="588"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499" t="s">
        <v>1259</v>
      </c>
      <c r="E5" s="502"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590"/>
      <c r="G5" s="590"/>
      <c r="H5" s="499" t="s">
        <v>1260</v>
      </c>
    </row>
    <row r="6" spans="1:8" ht="90" customHeight="1">
      <c r="A6" s="499" t="s">
        <v>1261</v>
      </c>
      <c r="B6" s="499" t="s">
        <v>91</v>
      </c>
      <c r="C6" s="588"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499" t="s">
        <v>1262</v>
      </c>
      <c r="E6" s="502"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499"/>
      <c r="G6" s="499"/>
      <c r="H6" s="590"/>
    </row>
    <row r="7" spans="1:8" ht="45" customHeight="1">
      <c r="A7" s="499" t="s">
        <v>1263</v>
      </c>
      <c r="B7" s="499" t="s">
        <v>112</v>
      </c>
      <c r="C7" s="588"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499" t="s">
        <v>1264</v>
      </c>
      <c r="E7" s="499" t="s">
        <v>1265</v>
      </c>
      <c r="F7" s="590"/>
      <c r="G7" s="590"/>
      <c r="H7" s="590"/>
    </row>
    <row r="8" spans="1:8" ht="108" customHeight="1">
      <c r="A8" s="499" t="s">
        <v>1266</v>
      </c>
      <c r="B8" s="499" t="s">
        <v>92</v>
      </c>
      <c r="C8" s="588"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499" t="s">
        <v>1267</v>
      </c>
      <c r="E8" s="499" t="s">
        <v>1268</v>
      </c>
      <c r="F8" s="590"/>
      <c r="G8" s="590"/>
      <c r="H8" s="590"/>
    </row>
    <row r="9" spans="1:8" ht="99" customHeight="1">
      <c r="A9" s="499" t="s">
        <v>1269</v>
      </c>
      <c r="B9" s="499"/>
      <c r="C9" s="499" t="s">
        <v>1270</v>
      </c>
      <c r="D9" s="499"/>
      <c r="E9" s="499"/>
      <c r="F9" s="590"/>
      <c r="G9" s="590"/>
      <c r="H9" s="590"/>
    </row>
    <row r="10" spans="1:8" ht="126" customHeight="1">
      <c r="A10" s="499" t="s">
        <v>1271</v>
      </c>
      <c r="B10" s="499"/>
      <c r="C10" s="499" t="s">
        <v>1272</v>
      </c>
      <c r="D10" s="499"/>
      <c r="E10" s="499"/>
      <c r="F10" s="590"/>
      <c r="G10" s="590"/>
      <c r="H10" s="590"/>
    </row>
    <row r="11" spans="1:8" ht="108" customHeight="1">
      <c r="A11" s="499" t="s">
        <v>1273</v>
      </c>
      <c r="B11" s="499"/>
      <c r="C11" s="499" t="s">
        <v>1274</v>
      </c>
      <c r="D11" s="499"/>
      <c r="E11" s="499"/>
      <c r="F11" s="590"/>
      <c r="G11" s="590"/>
      <c r="H11" s="590"/>
    </row>
    <row r="12" spans="1:8" ht="54" customHeight="1">
      <c r="A12" s="499" t="s">
        <v>1275</v>
      </c>
      <c r="B12" s="499"/>
      <c r="C12" s="499" t="s">
        <v>1276</v>
      </c>
      <c r="D12" s="499"/>
      <c r="E12" s="499"/>
      <c r="F12" s="590"/>
      <c r="G12" s="590"/>
      <c r="H12" s="590"/>
    </row>
    <row r="13" spans="1:8" ht="45" customHeight="1">
      <c r="A13" s="499" t="s">
        <v>1277</v>
      </c>
      <c r="B13" s="499"/>
      <c r="C13" s="499" t="s">
        <v>1278</v>
      </c>
      <c r="D13" s="499"/>
      <c r="E13" s="499"/>
      <c r="F13" s="590"/>
      <c r="G13" s="590"/>
      <c r="H13" s="590"/>
    </row>
    <row r="14" spans="1:8" ht="117" customHeight="1">
      <c r="A14" s="499" t="s">
        <v>1279</v>
      </c>
      <c r="B14" s="499"/>
      <c r="C14" s="499" t="s">
        <v>1280</v>
      </c>
      <c r="D14" s="499"/>
      <c r="E14" s="499"/>
      <c r="F14" s="590"/>
      <c r="G14" s="590"/>
      <c r="H14" s="590"/>
    </row>
    <row r="15" spans="1:8" ht="117" customHeight="1">
      <c r="A15" s="499" t="s">
        <v>1281</v>
      </c>
      <c r="B15" s="499"/>
      <c r="C15" s="499" t="s">
        <v>1282</v>
      </c>
      <c r="D15" s="499"/>
      <c r="E15" s="499"/>
      <c r="F15" s="590"/>
      <c r="G15" s="590"/>
      <c r="H15" s="590"/>
    </row>
    <row r="16" spans="1:8" ht="63" customHeight="1">
      <c r="A16" s="499" t="s">
        <v>1283</v>
      </c>
      <c r="B16" s="499"/>
      <c r="C16" s="499" t="s">
        <v>1284</v>
      </c>
      <c r="D16" s="499"/>
      <c r="E16" s="499"/>
      <c r="F16" s="590"/>
      <c r="G16" s="590"/>
      <c r="H16" s="590"/>
    </row>
    <row r="17" spans="1:8" ht="63" customHeight="1">
      <c r="A17" s="499" t="s">
        <v>1285</v>
      </c>
      <c r="B17" s="499"/>
      <c r="C17" s="588" t="s">
        <v>1286</v>
      </c>
      <c r="D17" s="499"/>
      <c r="E17" s="499"/>
      <c r="F17" s="590"/>
      <c r="G17" s="590"/>
      <c r="H17" s="590"/>
    </row>
    <row r="18" spans="1:8" ht="27" customHeight="1">
      <c r="A18" s="499" t="s">
        <v>1287</v>
      </c>
      <c r="B18" s="499"/>
      <c r="C18" s="588" t="s">
        <v>1288</v>
      </c>
      <c r="D18" s="499"/>
      <c r="E18" s="499"/>
      <c r="F18" s="590"/>
      <c r="G18" s="590"/>
      <c r="H18" s="590"/>
    </row>
    <row r="19" spans="1:8" ht="54" customHeight="1">
      <c r="A19" s="499" t="s">
        <v>1289</v>
      </c>
      <c r="B19" s="499"/>
      <c r="C19" s="588" t="s">
        <v>1290</v>
      </c>
      <c r="D19" s="499"/>
      <c r="E19" s="499"/>
      <c r="F19" s="590"/>
      <c r="G19" s="590"/>
      <c r="H19" s="590"/>
    </row>
    <row r="20" spans="1:8" ht="36" customHeight="1">
      <c r="A20" s="499" t="s">
        <v>1291</v>
      </c>
      <c r="B20" s="499"/>
      <c r="C20" s="588" t="s">
        <v>1292</v>
      </c>
      <c r="D20" s="499"/>
      <c r="E20" s="499"/>
      <c r="F20" s="590"/>
      <c r="G20" s="590"/>
      <c r="H20" s="590"/>
    </row>
    <row r="21" spans="1:8" ht="28.5" customHeight="1">
      <c r="A21" s="499" t="s">
        <v>1293</v>
      </c>
      <c r="B21" s="499"/>
      <c r="C21" s="588" t="s">
        <v>1294</v>
      </c>
      <c r="D21" s="499"/>
      <c r="E21" s="499"/>
      <c r="F21" s="590"/>
      <c r="G21" s="590"/>
      <c r="H21" s="590"/>
    </row>
    <row r="22" spans="1:8" ht="28.5" customHeight="1">
      <c r="A22" s="499" t="s">
        <v>1295</v>
      </c>
      <c r="B22" s="499"/>
      <c r="C22" s="588" t="s">
        <v>1296</v>
      </c>
      <c r="D22" s="499"/>
      <c r="E22" s="499"/>
      <c r="F22" s="590"/>
      <c r="G22" s="590"/>
      <c r="H22" s="590"/>
    </row>
    <row r="23" spans="1:8" ht="28.5" customHeight="1">
      <c r="A23" s="499" t="s">
        <v>1297</v>
      </c>
      <c r="B23" s="499"/>
      <c r="C23" s="588" t="s">
        <v>1298</v>
      </c>
      <c r="D23" s="499"/>
      <c r="E23" s="499"/>
      <c r="F23" s="590"/>
      <c r="G23" s="590"/>
      <c r="H23" s="590"/>
    </row>
    <row r="24" spans="1:8" ht="28.5" customHeight="1">
      <c r="A24" s="499" t="s">
        <v>1299</v>
      </c>
      <c r="B24" s="499"/>
      <c r="C24" s="588" t="s">
        <v>1300</v>
      </c>
      <c r="D24" s="499"/>
      <c r="E24" s="499"/>
      <c r="F24" s="590"/>
      <c r="G24" s="590"/>
      <c r="H24" s="590"/>
    </row>
    <row r="25" spans="1:8" ht="28.5" customHeight="1">
      <c r="A25" s="499" t="s">
        <v>1301</v>
      </c>
      <c r="B25" s="499"/>
      <c r="C25" s="588" t="s">
        <v>1302</v>
      </c>
      <c r="D25" s="499"/>
      <c r="E25" s="499"/>
      <c r="F25" s="590"/>
      <c r="G25" s="590"/>
      <c r="H25" s="590"/>
    </row>
    <row r="26" spans="1:8" ht="28.5" customHeight="1">
      <c r="A26" s="499" t="s">
        <v>1303</v>
      </c>
      <c r="B26" s="499"/>
      <c r="C26" s="588" t="s">
        <v>1304</v>
      </c>
      <c r="D26" s="499"/>
      <c r="E26" s="499"/>
      <c r="F26" s="590"/>
      <c r="G26" s="590"/>
      <c r="H26" s="590"/>
    </row>
    <row r="27" spans="1:8" ht="28.5" customHeight="1">
      <c r="A27" s="499" t="s">
        <v>1305</v>
      </c>
      <c r="B27" s="499"/>
      <c r="C27" s="588" t="s">
        <v>1306</v>
      </c>
      <c r="D27" s="499"/>
      <c r="E27" s="499"/>
      <c r="F27" s="590"/>
      <c r="G27" s="590"/>
      <c r="H27" s="590"/>
    </row>
    <row r="28" spans="1:8" ht="28.5" customHeight="1">
      <c r="A28" s="499" t="s">
        <v>1307</v>
      </c>
      <c r="B28" s="499"/>
      <c r="C28" s="588" t="s">
        <v>1308</v>
      </c>
      <c r="D28" s="499"/>
      <c r="E28" s="499"/>
      <c r="F28" s="590"/>
      <c r="G28" s="590"/>
      <c r="H28" s="590"/>
    </row>
    <row r="29" spans="1:8" ht="126" customHeight="1">
      <c r="A29" s="499" t="s">
        <v>1309</v>
      </c>
      <c r="B29" s="499" t="s">
        <v>960</v>
      </c>
      <c r="C29" s="588"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499" t="s">
        <v>1310</v>
      </c>
      <c r="E29" s="502"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590"/>
      <c r="G29" s="590"/>
      <c r="H29" s="499" t="s">
        <v>1311</v>
      </c>
    </row>
    <row r="30" spans="1:8" ht="36" customHeight="1">
      <c r="A30" s="499" t="s">
        <v>1312</v>
      </c>
      <c r="B30" s="499"/>
      <c r="C30" s="588"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499" t="s">
        <v>1313</v>
      </c>
      <c r="E30" s="502"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590"/>
      <c r="G30" s="590"/>
      <c r="H30" s="590"/>
    </row>
    <row r="31" spans="1:8" ht="9" customHeight="1">
      <c r="A31" s="499"/>
      <c r="B31" s="499"/>
      <c r="C31" s="588"/>
      <c r="D31" s="499"/>
      <c r="E31" s="499"/>
      <c r="F31" s="590"/>
      <c r="G31" s="590"/>
      <c r="H31" s="590"/>
    </row>
    <row r="32" spans="1:8" ht="9" customHeight="1">
      <c r="A32" s="499"/>
      <c r="B32" s="499"/>
      <c r="C32" s="588"/>
      <c r="D32" s="499"/>
      <c r="E32" s="499"/>
      <c r="F32" s="590"/>
      <c r="G32" s="590"/>
      <c r="H32" s="590"/>
    </row>
    <row r="33" spans="1:8" ht="9" customHeight="1">
      <c r="A33" s="499"/>
      <c r="B33" s="499"/>
      <c r="C33" s="588"/>
      <c r="D33" s="499"/>
      <c r="E33" s="499"/>
      <c r="F33" s="590"/>
      <c r="G33" s="590"/>
      <c r="H33" s="590"/>
    </row>
    <row r="34" spans="1:8" ht="9" customHeight="1">
      <c r="A34" s="499"/>
      <c r="B34" s="499" t="s">
        <v>896</v>
      </c>
      <c r="C34" s="588">
        <f>INDEX(TEMPLATE_NAME_FORM_LIST,B34,MATCH(TEMPLATE_SPHERE,TEMPLATE_SPHERE_LIST,0))</f>
        <v>0</v>
      </c>
      <c r="D34" s="499"/>
      <c r="E34" s="499"/>
      <c r="F34" s="590"/>
      <c r="G34" s="590"/>
      <c r="H34" s="590"/>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B68C0A-A877-4365-70CA-2D6260240D87}">
  <sheetPr>
    <tabColor rgb="FFFFCC99"/>
  </sheetPr>
  <dimension ref="A1:AH154"/>
  <sheetViews>
    <sheetView showGridLines="0" workbookViewId="0"/>
  </sheetViews>
  <sheetFormatPr defaultColWidth="9.140625" defaultRowHeight="9" customHeight="1"/>
  <cols>
    <col min="1" max="2" width="9.140625" style="493"/>
    <col min="3" max="7" width="8" style="495" customWidth="1"/>
    <col min="8" max="12" width="8.5703125" style="495" customWidth="1"/>
    <col min="13" max="14" width="27.7109375" style="495" customWidth="1"/>
    <col min="15" max="19" width="5.140625" style="495" customWidth="1"/>
    <col min="20" max="24" width="27.7109375" style="495" customWidth="1"/>
    <col min="25" max="25" width="1.85546875" style="605" customWidth="1"/>
    <col min="26" max="26" width="27.7109375" style="493" customWidth="1"/>
    <col min="27" max="27" width="27.7109375" style="504" customWidth="1"/>
    <col min="28" max="29" width="27.7109375" style="493" customWidth="1"/>
    <col min="30" max="30" width="3.85546875" style="493" customWidth="1"/>
    <col min="31" max="34" width="9.140625" style="493"/>
  </cols>
  <sheetData>
    <row r="1" spans="1:34" s="492" customFormat="1" ht="18" customHeight="1">
      <c r="A1" s="538"/>
      <c r="B1" s="538"/>
      <c r="C1" s="538" t="s">
        <v>1314</v>
      </c>
      <c r="D1" s="538"/>
      <c r="E1" s="538"/>
      <c r="F1" s="538"/>
      <c r="G1" s="538"/>
      <c r="H1" s="538" t="s">
        <v>1315</v>
      </c>
      <c r="I1" s="538"/>
      <c r="J1" s="538"/>
      <c r="K1" s="538"/>
      <c r="L1" s="538"/>
      <c r="M1" s="538" t="s">
        <v>1316</v>
      </c>
      <c r="N1" s="538" t="s">
        <v>1317</v>
      </c>
      <c r="O1" s="1345" t="s">
        <v>1318</v>
      </c>
      <c r="P1" s="1345"/>
      <c r="Q1" s="1345"/>
      <c r="R1" s="1345"/>
      <c r="S1" s="1345"/>
      <c r="T1" s="1345" t="s">
        <v>1316</v>
      </c>
      <c r="U1" s="1345"/>
      <c r="V1" s="1345"/>
      <c r="W1" s="1345"/>
      <c r="X1" s="1345"/>
      <c r="Y1" s="603"/>
      <c r="Z1" s="1345" t="s">
        <v>1319</v>
      </c>
      <c r="AA1" s="1345"/>
      <c r="AB1" s="1345"/>
      <c r="AC1" s="1345"/>
      <c r="AD1" s="1345"/>
    </row>
    <row r="2" spans="1:34" ht="18" customHeight="1">
      <c r="A2" s="499"/>
      <c r="B2" s="499"/>
      <c r="C2" s="494" t="s">
        <v>593</v>
      </c>
      <c r="D2" s="494" t="s">
        <v>982</v>
      </c>
      <c r="E2" s="494" t="s">
        <v>595</v>
      </c>
      <c r="F2" s="494" t="s">
        <v>1004</v>
      </c>
      <c r="G2" s="494" t="s">
        <v>1012</v>
      </c>
      <c r="H2" s="496"/>
      <c r="I2" s="496"/>
      <c r="J2" s="496"/>
      <c r="K2" s="496"/>
      <c r="L2" s="496"/>
      <c r="M2" s="496"/>
      <c r="N2" s="496"/>
      <c r="O2" s="494" t="s">
        <v>593</v>
      </c>
      <c r="P2" s="494" t="s">
        <v>982</v>
      </c>
      <c r="Q2" s="494" t="s">
        <v>1004</v>
      </c>
      <c r="R2" s="494" t="s">
        <v>595</v>
      </c>
      <c r="S2" s="494" t="s">
        <v>1012</v>
      </c>
      <c r="T2" s="494" t="s">
        <v>593</v>
      </c>
      <c r="U2" s="494" t="s">
        <v>982</v>
      </c>
      <c r="V2" s="494" t="s">
        <v>1004</v>
      </c>
      <c r="W2" s="494" t="s">
        <v>595</v>
      </c>
      <c r="X2" s="494" t="s">
        <v>1012</v>
      </c>
      <c r="Y2" s="494"/>
      <c r="Z2" s="494" t="s">
        <v>593</v>
      </c>
      <c r="AA2" s="503" t="s">
        <v>982</v>
      </c>
      <c r="AB2" s="494" t="s">
        <v>1004</v>
      </c>
      <c r="AC2" s="494" t="s">
        <v>595</v>
      </c>
      <c r="AD2" s="494" t="s">
        <v>1012</v>
      </c>
    </row>
    <row r="3" spans="1:34" ht="162" customHeight="1">
      <c r="A3" s="498" t="s">
        <v>23</v>
      </c>
      <c r="B3" s="498"/>
      <c r="C3" s="1349" t="s">
        <v>1320</v>
      </c>
      <c r="D3" s="1350"/>
      <c r="E3" s="1350"/>
      <c r="F3" s="1351"/>
      <c r="G3" s="496"/>
      <c r="H3" s="496"/>
      <c r="I3" s="496"/>
      <c r="J3" s="496"/>
      <c r="K3" s="496"/>
      <c r="L3" s="496"/>
      <c r="M3" s="496"/>
      <c r="N3" s="497"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496"/>
      <c r="P3" s="496"/>
      <c r="Q3" s="496"/>
      <c r="R3" s="496"/>
      <c r="S3" s="496"/>
      <c r="T3" s="496"/>
      <c r="U3" s="496"/>
      <c r="V3" s="496"/>
      <c r="W3" s="496"/>
      <c r="X3" s="496"/>
      <c r="Y3" s="604"/>
      <c r="Z3" s="499" t="s">
        <v>1321</v>
      </c>
      <c r="AA3" s="496" t="s">
        <v>1322</v>
      </c>
      <c r="AB3" s="499" t="s">
        <v>1323</v>
      </c>
      <c r="AC3" s="499" t="s">
        <v>1324</v>
      </c>
      <c r="AD3" s="499"/>
      <c r="AG3" s="499"/>
      <c r="AH3" s="499"/>
    </row>
    <row r="4" spans="1:34" ht="9" customHeight="1">
      <c r="A4" s="498"/>
      <c r="B4" s="498"/>
      <c r="C4" s="496"/>
      <c r="D4" s="496"/>
      <c r="E4" s="496"/>
      <c r="F4" s="496"/>
      <c r="G4" s="496"/>
      <c r="H4" s="496"/>
      <c r="I4" s="496"/>
      <c r="J4" s="496"/>
      <c r="K4" s="496"/>
      <c r="L4" s="496"/>
      <c r="M4" s="496"/>
      <c r="N4" s="496"/>
      <c r="O4" s="496"/>
      <c r="P4" s="496"/>
      <c r="Q4" s="496"/>
      <c r="R4" s="496"/>
      <c r="S4" s="496"/>
      <c r="T4" s="496"/>
      <c r="U4" s="496"/>
      <c r="V4" s="496"/>
      <c r="W4" s="496"/>
      <c r="X4" s="496"/>
      <c r="Y4" s="604"/>
      <c r="Z4" s="499"/>
      <c r="AA4" s="502"/>
      <c r="AB4" s="499"/>
      <c r="AC4" s="499"/>
      <c r="AD4" s="499"/>
    </row>
    <row r="5" spans="1:34" ht="9" customHeight="1">
      <c r="A5" s="498"/>
      <c r="B5" s="498"/>
      <c r="C5" s="496"/>
      <c r="D5" s="496"/>
      <c r="E5" s="496"/>
      <c r="F5" s="496"/>
      <c r="G5" s="496"/>
      <c r="H5" s="496"/>
      <c r="I5" s="496"/>
      <c r="J5" s="496"/>
      <c r="K5" s="496"/>
      <c r="L5" s="496"/>
      <c r="M5" s="496"/>
      <c r="N5" s="496"/>
      <c r="O5" s="496"/>
      <c r="P5" s="496"/>
      <c r="Q5" s="496"/>
      <c r="R5" s="496"/>
      <c r="S5" s="496"/>
      <c r="T5" s="496"/>
      <c r="U5" s="496"/>
      <c r="V5" s="496"/>
      <c r="W5" s="496"/>
      <c r="X5" s="496"/>
      <c r="Y5" s="604"/>
      <c r="Z5" s="499"/>
      <c r="AA5" s="502"/>
      <c r="AB5" s="499"/>
      <c r="AC5" s="499"/>
      <c r="AD5" s="499"/>
    </row>
    <row r="6" spans="1:34" ht="9" customHeight="1">
      <c r="A6" s="498"/>
      <c r="B6" s="498"/>
      <c r="C6" s="496"/>
      <c r="D6" s="496"/>
      <c r="E6" s="496"/>
      <c r="F6" s="496"/>
      <c r="G6" s="496"/>
      <c r="H6" s="496"/>
      <c r="I6" s="496"/>
      <c r="J6" s="496"/>
      <c r="K6" s="496"/>
      <c r="L6" s="496"/>
      <c r="M6" s="496"/>
      <c r="N6" s="496"/>
      <c r="O6" s="496"/>
      <c r="P6" s="496"/>
      <c r="Q6" s="496"/>
      <c r="R6" s="496"/>
      <c r="S6" s="496"/>
      <c r="T6" s="496"/>
      <c r="U6" s="496"/>
      <c r="V6" s="496"/>
      <c r="W6" s="496"/>
      <c r="X6" s="496"/>
      <c r="Y6" s="604"/>
      <c r="Z6" s="499"/>
      <c r="AA6" s="502"/>
      <c r="AB6" s="499"/>
      <c r="AC6" s="499"/>
      <c r="AD6" s="499"/>
    </row>
    <row r="7" spans="1:34" ht="9" customHeight="1">
      <c r="A7" s="498"/>
      <c r="B7" s="498"/>
      <c r="C7" s="496"/>
      <c r="D7" s="496"/>
      <c r="E7" s="496"/>
      <c r="F7" s="496"/>
      <c r="G7" s="496"/>
      <c r="H7" s="496"/>
      <c r="I7" s="496"/>
      <c r="J7" s="496"/>
      <c r="K7" s="496"/>
      <c r="L7" s="496"/>
      <c r="M7" s="496"/>
      <c r="N7" s="496"/>
      <c r="O7" s="496"/>
      <c r="P7" s="496"/>
      <c r="Q7" s="496"/>
      <c r="R7" s="496"/>
      <c r="S7" s="496"/>
      <c r="T7" s="496"/>
      <c r="U7" s="496"/>
      <c r="V7" s="496"/>
      <c r="W7" s="496"/>
      <c r="X7" s="496"/>
      <c r="Y7" s="604"/>
      <c r="Z7" s="499"/>
      <c r="AA7" s="502"/>
      <c r="AB7" s="499"/>
      <c r="AC7" s="499"/>
      <c r="AD7" s="499"/>
    </row>
    <row r="8" spans="1:34" ht="9" customHeight="1">
      <c r="A8" s="498"/>
      <c r="B8" s="498"/>
      <c r="C8" s="496"/>
      <c r="D8" s="496"/>
      <c r="E8" s="496"/>
      <c r="F8" s="496"/>
      <c r="G8" s="496"/>
      <c r="H8" s="496"/>
      <c r="I8" s="496"/>
      <c r="J8" s="496"/>
      <c r="K8" s="496"/>
      <c r="L8" s="496"/>
      <c r="M8" s="496"/>
      <c r="N8" s="496"/>
      <c r="O8" s="496"/>
      <c r="P8" s="496"/>
      <c r="Q8" s="496"/>
      <c r="R8" s="496"/>
      <c r="S8" s="496"/>
      <c r="T8" s="496"/>
      <c r="U8" s="496"/>
      <c r="V8" s="496"/>
      <c r="W8" s="496"/>
      <c r="X8" s="496"/>
      <c r="Y8" s="604"/>
      <c r="Z8" s="499"/>
      <c r="AA8" s="502"/>
      <c r="AB8" s="499"/>
      <c r="AC8" s="499"/>
      <c r="AD8" s="499"/>
    </row>
    <row r="9" spans="1:34" ht="9" customHeight="1">
      <c r="A9" s="498"/>
      <c r="B9" s="498"/>
      <c r="C9" s="496"/>
      <c r="D9" s="496"/>
      <c r="E9" s="496"/>
      <c r="F9" s="496"/>
      <c r="G9" s="496"/>
      <c r="H9" s="496"/>
      <c r="I9" s="496"/>
      <c r="J9" s="496"/>
      <c r="K9" s="496"/>
      <c r="L9" s="496"/>
      <c r="M9" s="496"/>
      <c r="N9" s="496"/>
      <c r="O9" s="496"/>
      <c r="P9" s="496"/>
      <c r="Q9" s="496"/>
      <c r="R9" s="496"/>
      <c r="S9" s="496"/>
      <c r="T9" s="496"/>
      <c r="U9" s="496"/>
      <c r="V9" s="496"/>
      <c r="W9" s="496"/>
      <c r="X9" s="496"/>
      <c r="Y9" s="604"/>
      <c r="Z9" s="499"/>
      <c r="AA9" s="502"/>
      <c r="AB9" s="499"/>
      <c r="AC9" s="499"/>
      <c r="AD9" s="499"/>
    </row>
    <row r="10" spans="1:34" ht="9" customHeight="1">
      <c r="A10" s="539"/>
      <c r="B10" s="539"/>
      <c r="C10" s="539"/>
      <c r="D10" s="539"/>
      <c r="E10" s="539"/>
      <c r="F10" s="539"/>
      <c r="G10" s="539"/>
      <c r="H10" s="539"/>
      <c r="I10" s="539"/>
      <c r="J10" s="539"/>
      <c r="K10" s="539"/>
      <c r="L10" s="539"/>
      <c r="M10" s="539"/>
      <c r="N10" s="539"/>
      <c r="O10" s="539"/>
      <c r="P10" s="539"/>
      <c r="Q10" s="539"/>
      <c r="R10" s="539"/>
      <c r="S10" s="539"/>
      <c r="T10" s="539"/>
      <c r="U10" s="539"/>
      <c r="V10" s="539"/>
      <c r="W10" s="539"/>
      <c r="X10" s="539"/>
      <c r="Y10" s="539"/>
      <c r="Z10" s="539"/>
      <c r="AA10" s="539"/>
      <c r="AB10" s="539"/>
      <c r="AC10" s="539"/>
      <c r="AD10" s="539"/>
    </row>
    <row r="11" spans="1:34" ht="45" customHeight="1">
      <c r="A11" s="1346" t="s">
        <v>29</v>
      </c>
      <c r="B11" s="539">
        <v>1</v>
      </c>
      <c r="C11" s="1352" t="s">
        <v>947</v>
      </c>
      <c r="D11" s="1352" t="s">
        <v>943</v>
      </c>
      <c r="E11" s="1352" t="s">
        <v>1050</v>
      </c>
      <c r="F11" s="1352" t="s">
        <v>1325</v>
      </c>
      <c r="G11" s="1352"/>
      <c r="H11" s="538" t="s">
        <v>1326</v>
      </c>
      <c r="I11" s="538"/>
      <c r="J11" s="538"/>
      <c r="K11" s="538"/>
      <c r="L11" s="538"/>
      <c r="M11" s="497" t="str">
        <f>IF(TEMPLATE_SPHERE="HEAT",T11,U11)</f>
        <v xml:space="preserve">Количество поданных заявлений </v>
      </c>
      <c r="N11" s="497" t="str">
        <f t="shared" ref="N11:N16" si="0">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496"/>
      <c r="P11" s="496"/>
      <c r="Q11" s="496"/>
      <c r="R11" s="496"/>
      <c r="S11" s="496"/>
      <c r="T11" s="496" t="s">
        <v>1327</v>
      </c>
      <c r="U11" s="496" t="s">
        <v>1328</v>
      </c>
      <c r="V11" s="496"/>
      <c r="W11" s="496"/>
      <c r="X11" s="496"/>
      <c r="Y11" s="604"/>
      <c r="Z11" s="499" t="s">
        <v>1329</v>
      </c>
      <c r="AA11" s="502"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499"/>
      <c r="AC11" s="499"/>
      <c r="AD11" s="499"/>
    </row>
    <row r="12" spans="1:34" ht="45" customHeight="1">
      <c r="A12" s="1346"/>
      <c r="B12" s="539">
        <v>2</v>
      </c>
      <c r="C12" s="1353"/>
      <c r="D12" s="1353"/>
      <c r="E12" s="1353"/>
      <c r="F12" s="1353"/>
      <c r="G12" s="1353"/>
      <c r="H12" s="538" t="s">
        <v>1330</v>
      </c>
      <c r="I12" s="538"/>
      <c r="J12" s="538"/>
      <c r="K12" s="538"/>
      <c r="L12" s="538"/>
      <c r="M12" s="497" t="str">
        <f>IF(TEMPLATE_SPHERE="HEAT",T12,U12)</f>
        <v xml:space="preserve">Количество исполненных заявлений </v>
      </c>
      <c r="N12" s="497" t="str">
        <f t="shared" si="0"/>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496"/>
      <c r="P12" s="496"/>
      <c r="Q12" s="496"/>
      <c r="R12" s="496"/>
      <c r="S12" s="496"/>
      <c r="T12" s="496" t="s">
        <v>1331</v>
      </c>
      <c r="U12" s="496" t="s">
        <v>1332</v>
      </c>
      <c r="V12" s="496"/>
      <c r="W12" s="496"/>
      <c r="X12" s="496"/>
      <c r="Y12" s="604"/>
      <c r="Z12" s="499" t="s">
        <v>1333</v>
      </c>
      <c r="AA12" s="502"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499"/>
      <c r="AC12" s="499"/>
      <c r="AD12" s="499"/>
    </row>
    <row r="13" spans="1:34" ht="72" customHeight="1">
      <c r="A13" s="1346"/>
      <c r="B13" s="539">
        <v>3</v>
      </c>
      <c r="C13" s="1353"/>
      <c r="D13" s="1353"/>
      <c r="E13" s="1353"/>
      <c r="F13" s="1353"/>
      <c r="G13" s="1353"/>
      <c r="H13" s="1345" t="s">
        <v>1334</v>
      </c>
      <c r="I13" s="538"/>
      <c r="J13" s="538"/>
      <c r="K13" s="538"/>
      <c r="L13" s="538"/>
      <c r="M13" s="497" t="str">
        <f>IF(TEMPLATE_SPHERE="HEAT",T13,U13)</f>
        <v>Количество заявлений о заключении договоров о подключении (технологическом присоединении)</v>
      </c>
      <c r="N13" s="497" t="str">
        <f t="shared" si="0"/>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496"/>
      <c r="P13" s="497"/>
      <c r="Q13" s="497"/>
      <c r="R13" s="497"/>
      <c r="S13" s="496"/>
      <c r="T13" s="496" t="s">
        <v>1335</v>
      </c>
      <c r="U13" s="497" t="s">
        <v>1336</v>
      </c>
      <c r="V13" s="497"/>
      <c r="W13" s="497"/>
      <c r="X13" s="496"/>
      <c r="Y13" s="604"/>
      <c r="Z13" s="499" t="s">
        <v>1337</v>
      </c>
      <c r="AA13" s="502"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499"/>
      <c r="AC13" s="499"/>
      <c r="AD13" s="499"/>
    </row>
    <row r="14" spans="1:34" ht="45" customHeight="1">
      <c r="A14" s="1346"/>
      <c r="B14" s="539">
        <v>4</v>
      </c>
      <c r="C14" s="1353"/>
      <c r="D14" s="1353"/>
      <c r="E14" s="1353"/>
      <c r="F14" s="1353"/>
      <c r="G14" s="1353"/>
      <c r="H14" s="1345"/>
      <c r="I14" s="541"/>
      <c r="J14" s="541"/>
      <c r="K14" s="541"/>
      <c r="L14" s="541"/>
      <c r="M14" s="500"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497"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496"/>
      <c r="P14" s="497"/>
      <c r="Q14" s="497"/>
      <c r="R14" s="497"/>
      <c r="S14" s="496"/>
      <c r="T14" s="496" t="s">
        <v>1338</v>
      </c>
      <c r="U14" s="497"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497"/>
      <c r="W14" s="497"/>
      <c r="X14" s="496"/>
      <c r="Y14" s="604"/>
      <c r="Z14" s="499" t="s">
        <v>1339</v>
      </c>
      <c r="AA14" s="502" t="s">
        <v>1339</v>
      </c>
      <c r="AB14" s="499"/>
      <c r="AC14" s="499"/>
      <c r="AD14" s="499"/>
    </row>
    <row r="15" spans="1:34" ht="108" customHeight="1">
      <c r="A15" s="1346"/>
      <c r="B15" s="539">
        <v>5</v>
      </c>
      <c r="C15" s="1353"/>
      <c r="D15" s="1353"/>
      <c r="E15" s="1353"/>
      <c r="F15" s="1353"/>
      <c r="G15" s="1353"/>
      <c r="H15" s="1347" t="s">
        <v>1340</v>
      </c>
      <c r="I15" s="540"/>
      <c r="J15" s="540"/>
      <c r="K15" s="540"/>
      <c r="L15" s="540"/>
      <c r="M15" s="502"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501" t="str">
        <f t="shared" si="0"/>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496"/>
      <c r="P15" s="497"/>
      <c r="Q15" s="497"/>
      <c r="R15" s="497"/>
      <c r="S15" s="496"/>
      <c r="T15" s="496" t="s">
        <v>1341</v>
      </c>
      <c r="U15" s="497"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497"/>
      <c r="W15" s="497"/>
      <c r="X15" s="496"/>
      <c r="Y15" s="604"/>
      <c r="Z15" s="499" t="s">
        <v>1342</v>
      </c>
      <c r="AA15" s="502"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499"/>
      <c r="AC15" s="499"/>
      <c r="AD15" s="499"/>
    </row>
    <row r="16" spans="1:34" ht="108" customHeight="1">
      <c r="A16" s="539"/>
      <c r="B16" s="539">
        <v>6</v>
      </c>
      <c r="C16" s="1354"/>
      <c r="D16" s="1354"/>
      <c r="E16" s="1354"/>
      <c r="F16" s="1354"/>
      <c r="G16" s="1354"/>
      <c r="H16" s="1348"/>
      <c r="I16" s="569"/>
      <c r="J16" s="569"/>
      <c r="K16" s="569"/>
      <c r="L16" s="569"/>
      <c r="M16" s="535"/>
      <c r="N16" s="501" t="str">
        <f t="shared" si="0"/>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496"/>
      <c r="P16" s="497"/>
      <c r="Q16" s="497"/>
      <c r="R16" s="497"/>
      <c r="S16" s="496"/>
      <c r="T16" s="496"/>
      <c r="U16" s="497"/>
      <c r="V16" s="497"/>
      <c r="W16" s="497"/>
      <c r="X16" s="496"/>
      <c r="Y16" s="604"/>
      <c r="Z16" s="499" t="s">
        <v>1342</v>
      </c>
      <c r="AA16" s="502"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499"/>
      <c r="AC16" s="499"/>
      <c r="AD16" s="499"/>
    </row>
    <row r="17" spans="1:30" ht="9" customHeight="1">
      <c r="A17" s="539"/>
      <c r="B17" s="539"/>
      <c r="C17" s="539">
        <v>22</v>
      </c>
      <c r="D17" s="539">
        <v>21</v>
      </c>
      <c r="E17" s="539">
        <v>42</v>
      </c>
      <c r="F17" s="539">
        <v>63</v>
      </c>
      <c r="G17" s="539"/>
      <c r="H17" s="539"/>
      <c r="I17" s="539"/>
      <c r="J17" s="539"/>
      <c r="K17" s="539"/>
      <c r="L17" s="539"/>
      <c r="M17" s="539"/>
      <c r="N17" s="539"/>
      <c r="O17" s="539"/>
      <c r="P17" s="539"/>
      <c r="Q17" s="539"/>
      <c r="R17" s="539"/>
      <c r="S17" s="539"/>
      <c r="T17" s="539"/>
      <c r="U17" s="539"/>
      <c r="V17" s="539"/>
      <c r="W17" s="539"/>
      <c r="X17" s="539"/>
      <c r="Y17" s="539"/>
      <c r="Z17" s="539"/>
      <c r="AA17" s="539"/>
      <c r="AB17" s="539"/>
      <c r="AC17" s="539"/>
      <c r="AD17" s="539"/>
    </row>
    <row r="18" spans="1:30" ht="27" customHeight="1">
      <c r="A18" s="498" t="s">
        <v>1054</v>
      </c>
      <c r="B18" s="539">
        <v>1</v>
      </c>
      <c r="C18" s="496" t="s">
        <v>1326</v>
      </c>
      <c r="D18" s="574" t="s">
        <v>1326</v>
      </c>
      <c r="E18" s="496" t="s">
        <v>1326</v>
      </c>
      <c r="F18" s="496" t="s">
        <v>1326</v>
      </c>
      <c r="G18" s="496"/>
      <c r="H18" s="606"/>
      <c r="I18" s="607">
        <f t="shared" ref="I18:I49" si="1">INDEX(TEMPLATE_NUMBER_POINT_FHD,B18,MATCH(TEMPLATE_SPHERE,TEMPLATE_SPHERE_LIST_FOR_NOTE,0))</f>
        <v>1</v>
      </c>
      <c r="J18" s="607" t="str">
        <f t="shared" ref="J18:J49" si="2">INDEX(TEMPLATE_DATA_POINT_FHD,B18,MATCH(TEMPLATE_SPHERE,TEMPLATE_SPHERE_LIST_FOR_NOTE,0))</f>
        <v>Выручка от регулируемых видов деятельности в сфере холодного водоснабжения</v>
      </c>
      <c r="K18" s="607" t="str">
        <f t="shared" ref="K18:K49" si="3">INDEX(TEMPLATE_NOTE_POINT_FHD,B18,MATCH(TEMPLATE_SPHERE,TEMPLATE_SPHERE_LIST_FOR_NOTE,0))</f>
        <v>Указывается выручка с распределением по видам деятельности.</v>
      </c>
      <c r="L18" s="497">
        <f t="shared" ref="L18:L49" si="4">IF(I18=0,"",I18)</f>
        <v>1</v>
      </c>
      <c r="M18" s="497" t="str">
        <f t="shared" ref="M18:M49" si="5">IF(J18=0,"",J18)</f>
        <v>Выручка от регулируемых видов деятельности в сфере холодного водоснабжения</v>
      </c>
      <c r="N18" s="497" t="str">
        <f t="shared" ref="N18:N49" si="6">IF(K18=0,"",K18)</f>
        <v>Указывается выручка с распределением по видам деятельности.</v>
      </c>
      <c r="O18" s="564">
        <v>1</v>
      </c>
      <c r="P18" s="564">
        <v>1</v>
      </c>
      <c r="Q18" s="564">
        <v>1</v>
      </c>
      <c r="R18" s="564">
        <v>1</v>
      </c>
      <c r="S18" s="564"/>
      <c r="T18" s="571" t="s">
        <v>1343</v>
      </c>
      <c r="U18" s="499" t="s">
        <v>1344</v>
      </c>
      <c r="V18" s="499" t="s">
        <v>1345</v>
      </c>
      <c r="W18" s="499" t="s">
        <v>1346</v>
      </c>
      <c r="X18" s="496"/>
      <c r="Y18" s="604"/>
      <c r="Z18" s="499" t="s">
        <v>1347</v>
      </c>
      <c r="AA18" s="502" t="s">
        <v>1348</v>
      </c>
      <c r="AB18" s="502" t="s">
        <v>1348</v>
      </c>
      <c r="AC18" s="502" t="s">
        <v>1348</v>
      </c>
      <c r="AD18" s="499"/>
    </row>
    <row r="19" spans="1:30" ht="36" customHeight="1">
      <c r="A19" s="498"/>
      <c r="B19" s="539">
        <v>2</v>
      </c>
      <c r="C19" s="496" t="s">
        <v>1330</v>
      </c>
      <c r="D19" s="574" t="s">
        <v>1330</v>
      </c>
      <c r="E19" s="496" t="s">
        <v>1330</v>
      </c>
      <c r="F19" s="496" t="s">
        <v>1330</v>
      </c>
      <c r="G19" s="496"/>
      <c r="H19" s="606"/>
      <c r="I19" s="607">
        <f t="shared" si="1"/>
        <v>2</v>
      </c>
      <c r="J19" s="607" t="str">
        <f t="shared" si="2"/>
        <v>Себестоимость производимых товаров (оказываемых услуг) по регулируемым видам деятельности в сфере холодного водоснабжения, включая:</v>
      </c>
      <c r="K19" s="607" t="str">
        <f t="shared" si="3"/>
        <v>Указывается суммарная себестоимость производимых товаров.</v>
      </c>
      <c r="L19" s="497">
        <f t="shared" si="4"/>
        <v>2</v>
      </c>
      <c r="M19" s="497" t="str">
        <f t="shared" si="5"/>
        <v>Себестоимость производимых товаров (оказываемых услуг) по регулируемым видам деятельности в сфере холодного водоснабжения, включая:</v>
      </c>
      <c r="N19" s="497" t="str">
        <f t="shared" si="6"/>
        <v>Указывается суммарная себестоимость производимых товаров.</v>
      </c>
      <c r="O19" s="564">
        <v>2</v>
      </c>
      <c r="P19" s="564">
        <v>2</v>
      </c>
      <c r="Q19" s="564">
        <v>2</v>
      </c>
      <c r="R19" s="564">
        <v>2</v>
      </c>
      <c r="S19" s="564"/>
      <c r="T19" s="571" t="s">
        <v>1349</v>
      </c>
      <c r="U19" s="499" t="s">
        <v>1350</v>
      </c>
      <c r="V19" s="499" t="s">
        <v>1351</v>
      </c>
      <c r="W19" s="499" t="s">
        <v>1352</v>
      </c>
      <c r="X19" s="496"/>
      <c r="Y19" s="604"/>
      <c r="Z19" s="499" t="s">
        <v>1353</v>
      </c>
      <c r="AA19" s="502" t="s">
        <v>1353</v>
      </c>
      <c r="AB19" s="502" t="s">
        <v>1353</v>
      </c>
      <c r="AC19" s="502" t="s">
        <v>1353</v>
      </c>
      <c r="AD19" s="499"/>
    </row>
    <row r="20" spans="1:30" ht="27" customHeight="1">
      <c r="A20" s="498"/>
      <c r="B20" s="539">
        <v>3</v>
      </c>
      <c r="C20" s="496">
        <v>1</v>
      </c>
      <c r="D20" s="574"/>
      <c r="E20" s="496"/>
      <c r="F20" s="496"/>
      <c r="G20" s="496"/>
      <c r="H20" s="606"/>
      <c r="I20" s="607" t="str">
        <f t="shared" si="1"/>
        <v>2.1</v>
      </c>
      <c r="J20" s="607" t="str">
        <f t="shared" si="2"/>
        <v>Расходы на оплату холодной воды, приобретаемой у других организаций для последующей подачи потребителям</v>
      </c>
      <c r="K20" s="607">
        <f t="shared" si="3"/>
        <v>0</v>
      </c>
      <c r="L20" s="497" t="str">
        <f t="shared" si="4"/>
        <v>2.1</v>
      </c>
      <c r="M20" s="497" t="str">
        <f t="shared" si="5"/>
        <v>Расходы на оплату холодной воды, приобретаемой у других организаций для последующей подачи потребителям</v>
      </c>
      <c r="N20" s="497" t="str">
        <f t="shared" si="6"/>
        <v/>
      </c>
      <c r="O20" s="564" t="s">
        <v>452</v>
      </c>
      <c r="P20" s="564" t="s">
        <v>452</v>
      </c>
      <c r="Q20" s="564" t="s">
        <v>452</v>
      </c>
      <c r="R20" s="564" t="s">
        <v>452</v>
      </c>
      <c r="S20" s="564"/>
      <c r="T20" s="571" t="s">
        <v>1354</v>
      </c>
      <c r="U20" s="499" t="s">
        <v>1355</v>
      </c>
      <c r="V20" s="499" t="s">
        <v>1356</v>
      </c>
      <c r="W20" s="499" t="s">
        <v>1357</v>
      </c>
      <c r="X20" s="496"/>
      <c r="Y20" s="604"/>
      <c r="Z20" s="499"/>
      <c r="AA20" s="502"/>
      <c r="AB20" s="499"/>
      <c r="AC20" s="499"/>
      <c r="AD20" s="499"/>
    </row>
    <row r="21" spans="1:30" ht="36" customHeight="1">
      <c r="A21" s="498"/>
      <c r="B21" s="539">
        <v>4</v>
      </c>
      <c r="C21" s="496">
        <v>2</v>
      </c>
      <c r="D21" s="574"/>
      <c r="E21" s="496"/>
      <c r="F21" s="496"/>
      <c r="G21" s="496"/>
      <c r="H21" s="606"/>
      <c r="I21" s="607">
        <f t="shared" si="1"/>
        <v>0</v>
      </c>
      <c r="J21" s="607">
        <f t="shared" si="2"/>
        <v>0</v>
      </c>
      <c r="K21" s="607">
        <f t="shared" si="3"/>
        <v>0</v>
      </c>
      <c r="L21" s="497" t="str">
        <f t="shared" si="4"/>
        <v/>
      </c>
      <c r="M21" s="497" t="str">
        <f t="shared" si="5"/>
        <v/>
      </c>
      <c r="N21" s="497" t="str">
        <f t="shared" si="6"/>
        <v/>
      </c>
      <c r="O21" s="564" t="s">
        <v>295</v>
      </c>
      <c r="P21" s="564"/>
      <c r="Q21" s="564"/>
      <c r="R21" s="564"/>
      <c r="S21" s="564"/>
      <c r="T21" s="571" t="s">
        <v>1358</v>
      </c>
      <c r="U21" s="499"/>
      <c r="V21" s="499"/>
      <c r="W21" s="499"/>
      <c r="X21" s="496"/>
      <c r="Y21" s="604"/>
      <c r="Z21" s="499" t="s">
        <v>1359</v>
      </c>
      <c r="AA21" s="502"/>
      <c r="AB21" s="499"/>
      <c r="AC21" s="499"/>
      <c r="AD21" s="499"/>
    </row>
    <row r="22" spans="1:30" ht="36" customHeight="1">
      <c r="A22" s="498"/>
      <c r="B22" s="539">
        <v>5</v>
      </c>
      <c r="C22" s="496">
        <v>3</v>
      </c>
      <c r="D22" s="574"/>
      <c r="E22" s="496"/>
      <c r="F22" s="496"/>
      <c r="G22" s="534"/>
      <c r="H22" s="565"/>
      <c r="I22" s="607">
        <f t="shared" si="1"/>
        <v>0</v>
      </c>
      <c r="J22" s="607">
        <f t="shared" si="2"/>
        <v>0</v>
      </c>
      <c r="K22" s="607">
        <f t="shared" si="3"/>
        <v>0</v>
      </c>
      <c r="L22" s="497" t="str">
        <f t="shared" si="4"/>
        <v/>
      </c>
      <c r="M22" s="497" t="str">
        <f t="shared" si="5"/>
        <v/>
      </c>
      <c r="N22" s="497" t="str">
        <f t="shared" si="6"/>
        <v/>
      </c>
      <c r="O22" s="564"/>
      <c r="P22" s="564"/>
      <c r="Q22" s="564" t="s">
        <v>295</v>
      </c>
      <c r="R22" s="564"/>
      <c r="S22" s="564"/>
      <c r="T22" s="571"/>
      <c r="U22" s="499"/>
      <c r="V22" s="499" t="s">
        <v>1360</v>
      </c>
      <c r="W22" s="499"/>
      <c r="X22" s="496"/>
      <c r="Y22" s="604"/>
      <c r="Z22" s="499"/>
      <c r="AA22" s="502"/>
      <c r="AB22" s="499"/>
      <c r="AC22" s="499"/>
      <c r="AD22" s="499"/>
    </row>
    <row r="23" spans="1:30" ht="27" customHeight="1">
      <c r="A23" s="498"/>
      <c r="B23" s="539">
        <v>6</v>
      </c>
      <c r="C23" s="496">
        <v>4</v>
      </c>
      <c r="D23" s="574"/>
      <c r="E23" s="496"/>
      <c r="F23" s="496"/>
      <c r="G23" s="534"/>
      <c r="H23" s="565"/>
      <c r="I23" s="607">
        <f t="shared" si="1"/>
        <v>0</v>
      </c>
      <c r="J23" s="607">
        <f t="shared" si="2"/>
        <v>0</v>
      </c>
      <c r="K23" s="607">
        <f t="shared" si="3"/>
        <v>0</v>
      </c>
      <c r="L23" s="497" t="str">
        <f t="shared" si="4"/>
        <v/>
      </c>
      <c r="M23" s="497" t="str">
        <f t="shared" si="5"/>
        <v/>
      </c>
      <c r="N23" s="497" t="str">
        <f t="shared" si="6"/>
        <v/>
      </c>
      <c r="O23" s="564"/>
      <c r="P23" s="564"/>
      <c r="Q23" s="564" t="s">
        <v>298</v>
      </c>
      <c r="R23" s="564"/>
      <c r="S23" s="564"/>
      <c r="T23" s="571"/>
      <c r="U23" s="499"/>
      <c r="V23" s="499" t="s">
        <v>1361</v>
      </c>
      <c r="W23" s="499"/>
      <c r="X23" s="496"/>
      <c r="Y23" s="604"/>
      <c r="Z23" s="499"/>
      <c r="AA23" s="502"/>
      <c r="AB23" s="499"/>
      <c r="AC23" s="499"/>
      <c r="AD23" s="499"/>
    </row>
    <row r="24" spans="1:30" ht="36" customHeight="1">
      <c r="A24" s="498"/>
      <c r="B24" s="539">
        <v>7</v>
      </c>
      <c r="C24" s="496">
        <v>5</v>
      </c>
      <c r="D24" s="574"/>
      <c r="E24" s="496"/>
      <c r="F24" s="496"/>
      <c r="G24" s="534"/>
      <c r="H24" s="565"/>
      <c r="I24" s="607">
        <f t="shared" si="1"/>
        <v>0</v>
      </c>
      <c r="J24" s="607">
        <f t="shared" si="2"/>
        <v>0</v>
      </c>
      <c r="K24" s="607">
        <f t="shared" si="3"/>
        <v>0</v>
      </c>
      <c r="L24" s="497" t="str">
        <f t="shared" si="4"/>
        <v/>
      </c>
      <c r="M24" s="497" t="str">
        <f t="shared" si="5"/>
        <v/>
      </c>
      <c r="N24" s="497" t="str">
        <f t="shared" si="6"/>
        <v/>
      </c>
      <c r="O24" s="564"/>
      <c r="P24" s="564"/>
      <c r="Q24" s="564" t="s">
        <v>1362</v>
      </c>
      <c r="R24" s="564"/>
      <c r="S24" s="564"/>
      <c r="T24" s="571"/>
      <c r="U24" s="499"/>
      <c r="V24" s="499" t="s">
        <v>1363</v>
      </c>
      <c r="W24" s="499"/>
      <c r="X24" s="496"/>
      <c r="Y24" s="604"/>
      <c r="Z24" s="499"/>
      <c r="AA24" s="502"/>
      <c r="AB24" s="499"/>
      <c r="AC24" s="499"/>
      <c r="AD24" s="499"/>
    </row>
    <row r="25" spans="1:30" ht="36" customHeight="1">
      <c r="A25" s="498"/>
      <c r="B25" s="539">
        <v>8</v>
      </c>
      <c r="C25" s="496">
        <v>6</v>
      </c>
      <c r="D25" s="574"/>
      <c r="E25" s="496"/>
      <c r="F25" s="496"/>
      <c r="G25" s="534"/>
      <c r="H25" s="565"/>
      <c r="I25" s="607" t="str">
        <f t="shared" si="1"/>
        <v>2.2</v>
      </c>
      <c r="J25" s="607" t="str">
        <f t="shared" si="2"/>
        <v>Расходы на приобретаемую электрическую энергию (мощность), используемую в технологическом процессе</v>
      </c>
      <c r="K25" s="607">
        <f t="shared" si="3"/>
        <v>0</v>
      </c>
      <c r="L25" s="497" t="str">
        <f t="shared" si="4"/>
        <v>2.2</v>
      </c>
      <c r="M25" s="497" t="str">
        <f t="shared" si="5"/>
        <v>Расходы на приобретаемую электрическую энергию (мощность), используемую в технологическом процессе</v>
      </c>
      <c r="N25" s="497" t="str">
        <f t="shared" si="6"/>
        <v/>
      </c>
      <c r="O25" s="564" t="s">
        <v>298</v>
      </c>
      <c r="P25" s="564" t="s">
        <v>295</v>
      </c>
      <c r="Q25" s="564" t="s">
        <v>1364</v>
      </c>
      <c r="R25" s="564" t="s">
        <v>295</v>
      </c>
      <c r="S25" s="564"/>
      <c r="T25" s="571" t="s">
        <v>1365</v>
      </c>
      <c r="U25" s="499" t="s">
        <v>1365</v>
      </c>
      <c r="V25" s="499" t="s">
        <v>1365</v>
      </c>
      <c r="W25" s="499" t="s">
        <v>1365</v>
      </c>
      <c r="X25" s="496"/>
      <c r="Y25" s="604"/>
      <c r="Z25" s="499"/>
      <c r="AA25" s="502"/>
      <c r="AB25" s="499"/>
      <c r="AC25" s="499"/>
      <c r="AD25" s="499"/>
    </row>
    <row r="26" spans="1:30" ht="18" customHeight="1">
      <c r="A26" s="498"/>
      <c r="B26" s="539">
        <v>9</v>
      </c>
      <c r="C26" s="496" t="s">
        <v>1366</v>
      </c>
      <c r="D26" s="574"/>
      <c r="E26" s="496"/>
      <c r="F26" s="496"/>
      <c r="G26" s="534"/>
      <c r="H26" s="565"/>
      <c r="I26" s="607" t="str">
        <f t="shared" si="1"/>
        <v>2.2.1</v>
      </c>
      <c r="J26" s="607" t="str">
        <f t="shared" si="2"/>
        <v>Средневзвешенная стоимость 1 кВт.ч (с учетом мощности)</v>
      </c>
      <c r="K26" s="607">
        <f t="shared" si="3"/>
        <v>0</v>
      </c>
      <c r="L26" s="497" t="str">
        <f t="shared" si="4"/>
        <v>2.2.1</v>
      </c>
      <c r="M26" s="497" t="str">
        <f t="shared" si="5"/>
        <v>Средневзвешенная стоимость 1 кВт.ч (с учетом мощности)</v>
      </c>
      <c r="N26" s="497" t="str">
        <f t="shared" si="6"/>
        <v/>
      </c>
      <c r="O26" s="564" t="s">
        <v>1367</v>
      </c>
      <c r="P26" s="564" t="s">
        <v>1368</v>
      </c>
      <c r="Q26" s="564" t="s">
        <v>1369</v>
      </c>
      <c r="R26" s="564" t="s">
        <v>1368</v>
      </c>
      <c r="S26" s="564"/>
      <c r="T26" s="571" t="s">
        <v>1370</v>
      </c>
      <c r="U26" s="571" t="s">
        <v>1370</v>
      </c>
      <c r="V26" s="571" t="s">
        <v>1370</v>
      </c>
      <c r="W26" s="571" t="s">
        <v>1370</v>
      </c>
      <c r="X26" s="496"/>
      <c r="Y26" s="604"/>
      <c r="Z26" s="499"/>
      <c r="AA26" s="502"/>
      <c r="AB26" s="499"/>
      <c r="AC26" s="499"/>
      <c r="AD26" s="499"/>
    </row>
    <row r="27" spans="1:30" ht="18" customHeight="1">
      <c r="A27" s="498"/>
      <c r="B27" s="539">
        <v>10</v>
      </c>
      <c r="C27" s="496" t="s">
        <v>1371</v>
      </c>
      <c r="D27" s="574"/>
      <c r="E27" s="496"/>
      <c r="F27" s="496"/>
      <c r="G27" s="534"/>
      <c r="H27" s="565"/>
      <c r="I27" s="607" t="str">
        <f t="shared" si="1"/>
        <v>2.2.2</v>
      </c>
      <c r="J27" s="607" t="str">
        <f t="shared" si="2"/>
        <v>Объём приобретения электрической энергии</v>
      </c>
      <c r="K27" s="607">
        <f t="shared" si="3"/>
        <v>0</v>
      </c>
      <c r="L27" s="497" t="str">
        <f t="shared" si="4"/>
        <v>2.2.2</v>
      </c>
      <c r="M27" s="497" t="str">
        <f t="shared" si="5"/>
        <v>Объём приобретения электрической энергии</v>
      </c>
      <c r="N27" s="497" t="str">
        <f t="shared" si="6"/>
        <v/>
      </c>
      <c r="O27" s="564" t="s">
        <v>1372</v>
      </c>
      <c r="P27" s="564" t="s">
        <v>1373</v>
      </c>
      <c r="Q27" s="564" t="s">
        <v>1374</v>
      </c>
      <c r="R27" s="564" t="s">
        <v>1373</v>
      </c>
      <c r="S27" s="564"/>
      <c r="T27" s="571" t="s">
        <v>1375</v>
      </c>
      <c r="U27" s="571" t="s">
        <v>1375</v>
      </c>
      <c r="V27" s="571" t="s">
        <v>1375</v>
      </c>
      <c r="W27" s="571" t="s">
        <v>1375</v>
      </c>
      <c r="X27" s="496"/>
      <c r="Y27" s="604"/>
      <c r="Z27" s="499"/>
      <c r="AA27" s="502"/>
      <c r="AB27" s="499"/>
      <c r="AC27" s="499"/>
      <c r="AD27" s="499"/>
    </row>
    <row r="28" spans="1:30" ht="27" customHeight="1">
      <c r="A28" s="498"/>
      <c r="B28" s="539">
        <v>11</v>
      </c>
      <c r="C28" s="496">
        <v>7</v>
      </c>
      <c r="D28" s="574"/>
      <c r="E28" s="496"/>
      <c r="F28" s="496"/>
      <c r="G28" s="534"/>
      <c r="H28" s="565"/>
      <c r="I28" s="607">
        <f t="shared" si="1"/>
        <v>0</v>
      </c>
      <c r="J28" s="607">
        <f t="shared" si="2"/>
        <v>0</v>
      </c>
      <c r="K28" s="607">
        <f t="shared" si="3"/>
        <v>0</v>
      </c>
      <c r="L28" s="497" t="str">
        <f t="shared" si="4"/>
        <v/>
      </c>
      <c r="M28" s="497" t="str">
        <f t="shared" si="5"/>
        <v/>
      </c>
      <c r="N28" s="497" t="str">
        <f t="shared" si="6"/>
        <v/>
      </c>
      <c r="O28" s="564" t="s">
        <v>1362</v>
      </c>
      <c r="P28" s="564"/>
      <c r="Q28" s="564"/>
      <c r="R28" s="564"/>
      <c r="S28" s="564"/>
      <c r="T28" s="571" t="s">
        <v>1376</v>
      </c>
      <c r="U28" s="499"/>
      <c r="V28" s="499"/>
      <c r="W28" s="499"/>
      <c r="X28" s="496"/>
      <c r="Y28" s="604"/>
      <c r="Z28" s="499"/>
      <c r="AA28" s="502"/>
      <c r="AB28" s="499"/>
      <c r="AC28" s="499"/>
      <c r="AD28" s="499"/>
    </row>
    <row r="29" spans="1:30" ht="27" customHeight="1">
      <c r="A29" s="498"/>
      <c r="B29" s="539">
        <v>12</v>
      </c>
      <c r="C29" s="496">
        <v>8</v>
      </c>
      <c r="D29" s="574"/>
      <c r="E29" s="496"/>
      <c r="F29" s="496"/>
      <c r="G29" s="534"/>
      <c r="H29" s="565"/>
      <c r="I29" s="607" t="str">
        <f t="shared" si="1"/>
        <v>2.3</v>
      </c>
      <c r="J29" s="607" t="str">
        <f t="shared" si="2"/>
        <v>Расходы на химические реагенты, используемые в технологическом процессе</v>
      </c>
      <c r="K29" s="607">
        <f t="shared" si="3"/>
        <v>0</v>
      </c>
      <c r="L29" s="497" t="str">
        <f t="shared" si="4"/>
        <v>2.3</v>
      </c>
      <c r="M29" s="497" t="str">
        <f t="shared" si="5"/>
        <v>Расходы на химические реагенты, используемые в технологическом процессе</v>
      </c>
      <c r="N29" s="497" t="str">
        <f t="shared" si="6"/>
        <v/>
      </c>
      <c r="O29" s="564" t="s">
        <v>1364</v>
      </c>
      <c r="P29" s="564" t="s">
        <v>298</v>
      </c>
      <c r="Q29" s="564"/>
      <c r="R29" s="564" t="s">
        <v>298</v>
      </c>
      <c r="S29" s="564"/>
      <c r="T29" s="571" t="s">
        <v>1377</v>
      </c>
      <c r="U29" s="499" t="s">
        <v>1377</v>
      </c>
      <c r="V29" s="499"/>
      <c r="W29" s="499" t="s">
        <v>1377</v>
      </c>
      <c r="X29" s="496"/>
      <c r="Y29" s="604"/>
      <c r="Z29" s="499"/>
      <c r="AA29" s="502"/>
      <c r="AB29" s="499"/>
      <c r="AC29" s="499"/>
      <c r="AD29" s="499"/>
    </row>
    <row r="30" spans="1:30" ht="54" customHeight="1">
      <c r="A30" s="498"/>
      <c r="B30" s="539">
        <v>13</v>
      </c>
      <c r="C30" s="496">
        <v>9</v>
      </c>
      <c r="D30" s="574"/>
      <c r="E30" s="496"/>
      <c r="F30" s="496"/>
      <c r="G30" s="534"/>
      <c r="H30" s="565"/>
      <c r="I30" s="607" t="str">
        <f t="shared" si="1"/>
        <v>2.4</v>
      </c>
      <c r="J30" s="607"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607" t="str">
        <f t="shared" si="3"/>
        <v>Указывается общая сумма расходов на оплату труда и отчислений на социальные нужды основного производственного персонала.</v>
      </c>
      <c r="L30" s="497" t="str">
        <f t="shared" si="4"/>
        <v>2.4</v>
      </c>
      <c r="M30" s="497"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497" t="str">
        <f t="shared" si="6"/>
        <v>Указывается общая сумма расходов на оплату труда и отчислений на социальные нужды основного производственного персонала.</v>
      </c>
      <c r="O30" s="564" t="s">
        <v>1378</v>
      </c>
      <c r="P30" s="564" t="s">
        <v>1362</v>
      </c>
      <c r="Q30" s="564" t="s">
        <v>1378</v>
      </c>
      <c r="R30" s="564" t="s">
        <v>1362</v>
      </c>
      <c r="S30" s="564"/>
      <c r="T30" s="571" t="s">
        <v>1379</v>
      </c>
      <c r="U30" s="499" t="s">
        <v>1379</v>
      </c>
      <c r="V30" s="499" t="s">
        <v>1379</v>
      </c>
      <c r="W30" s="499" t="s">
        <v>1379</v>
      </c>
      <c r="X30" s="496"/>
      <c r="Y30" s="604"/>
      <c r="Z30" s="499"/>
      <c r="AA30" s="502" t="s">
        <v>1380</v>
      </c>
      <c r="AB30" s="502" t="s">
        <v>1380</v>
      </c>
      <c r="AC30" s="502" t="s">
        <v>1380</v>
      </c>
      <c r="AD30" s="499"/>
    </row>
    <row r="31" spans="1:30" ht="18" customHeight="1">
      <c r="A31" s="498"/>
      <c r="B31" s="539">
        <v>14</v>
      </c>
      <c r="C31" s="496" t="s">
        <v>1381</v>
      </c>
      <c r="D31" s="574"/>
      <c r="E31" s="496"/>
      <c r="F31" s="496"/>
      <c r="G31" s="534"/>
      <c r="H31" s="565"/>
      <c r="I31" s="607" t="str">
        <f t="shared" si="1"/>
        <v>2.4.1</v>
      </c>
      <c r="J31" s="607" t="str">
        <f t="shared" si="2"/>
        <v>Расходы на оплату труда основного производственного персонала</v>
      </c>
      <c r="K31" s="607">
        <f t="shared" si="3"/>
        <v>0</v>
      </c>
      <c r="L31" s="497" t="str">
        <f t="shared" si="4"/>
        <v>2.4.1</v>
      </c>
      <c r="M31" s="497" t="str">
        <f t="shared" si="5"/>
        <v>Расходы на оплату труда основного производственного персонала</v>
      </c>
      <c r="N31" s="497" t="str">
        <f t="shared" si="6"/>
        <v/>
      </c>
      <c r="O31" s="564" t="s">
        <v>1382</v>
      </c>
      <c r="P31" s="564" t="s">
        <v>1383</v>
      </c>
      <c r="Q31" s="564" t="s">
        <v>1382</v>
      </c>
      <c r="R31" s="564" t="s">
        <v>1383</v>
      </c>
      <c r="S31" s="564"/>
      <c r="T31" s="572" t="s">
        <v>1384</v>
      </c>
      <c r="U31" s="499" t="s">
        <v>1384</v>
      </c>
      <c r="V31" s="499" t="s">
        <v>1384</v>
      </c>
      <c r="W31" s="499" t="s">
        <v>1384</v>
      </c>
      <c r="X31" s="496"/>
      <c r="Y31" s="604"/>
      <c r="Z31" s="499"/>
      <c r="AA31" s="502"/>
      <c r="AB31" s="502"/>
      <c r="AC31" s="502"/>
      <c r="AD31" s="499"/>
    </row>
    <row r="32" spans="1:30" ht="36" customHeight="1">
      <c r="A32" s="498"/>
      <c r="B32" s="539">
        <v>15</v>
      </c>
      <c r="C32" s="496" t="s">
        <v>1385</v>
      </c>
      <c r="D32" s="574"/>
      <c r="E32" s="496"/>
      <c r="F32" s="496"/>
      <c r="G32" s="534"/>
      <c r="H32" s="565"/>
      <c r="I32" s="607" t="str">
        <f t="shared" si="1"/>
        <v>2.4.2</v>
      </c>
      <c r="J32" s="607" t="str">
        <f t="shared" si="2"/>
        <v>Страховые взносы на обязательное социальное страхование, выплачиваемые из фонда оплаты труда основного производственного персонала</v>
      </c>
      <c r="K32" s="607">
        <f t="shared" si="3"/>
        <v>0</v>
      </c>
      <c r="L32" s="497" t="str">
        <f t="shared" si="4"/>
        <v>2.4.2</v>
      </c>
      <c r="M32" s="497" t="str">
        <f t="shared" si="5"/>
        <v>Страховые взносы на обязательное социальное страхование, выплачиваемые из фонда оплаты труда основного производственного персонала</v>
      </c>
      <c r="N32" s="497" t="str">
        <f t="shared" si="6"/>
        <v/>
      </c>
      <c r="O32" s="564" t="s">
        <v>1386</v>
      </c>
      <c r="P32" s="564" t="s">
        <v>1387</v>
      </c>
      <c r="Q32" s="564" t="s">
        <v>1386</v>
      </c>
      <c r="R32" s="564" t="s">
        <v>1387</v>
      </c>
      <c r="S32" s="564"/>
      <c r="T32" s="573" t="s">
        <v>1388</v>
      </c>
      <c r="U32" s="499" t="s">
        <v>1388</v>
      </c>
      <c r="V32" s="499" t="s">
        <v>1388</v>
      </c>
      <c r="W32" s="499" t="s">
        <v>1388</v>
      </c>
      <c r="X32" s="496"/>
      <c r="Y32" s="604"/>
      <c r="Z32" s="499"/>
      <c r="AA32" s="502"/>
      <c r="AB32" s="502"/>
      <c r="AC32" s="502"/>
      <c r="AD32" s="499"/>
    </row>
    <row r="33" spans="1:30" ht="45" customHeight="1">
      <c r="A33" s="498"/>
      <c r="B33" s="539">
        <v>16</v>
      </c>
      <c r="C33" s="496">
        <v>10</v>
      </c>
      <c r="D33" s="574"/>
      <c r="E33" s="496"/>
      <c r="F33" s="496"/>
      <c r="G33" s="534"/>
      <c r="H33" s="565"/>
      <c r="I33" s="607" t="str">
        <f t="shared" si="1"/>
        <v>2.5</v>
      </c>
      <c r="J33" s="607"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607" t="str">
        <f t="shared" si="3"/>
        <v>Указывается общая сумма расходов на оплату труда и отчислений на социальные нужды административно-управленческого персонала.</v>
      </c>
      <c r="L33" s="497" t="str">
        <f t="shared" si="4"/>
        <v>2.5</v>
      </c>
      <c r="M33" s="497"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497" t="str">
        <f t="shared" si="6"/>
        <v>Указывается общая сумма расходов на оплату труда и отчислений на социальные нужды административно-управленческого персонала.</v>
      </c>
      <c r="O33" s="564" t="s">
        <v>1389</v>
      </c>
      <c r="P33" s="564" t="s">
        <v>1364</v>
      </c>
      <c r="Q33" s="564" t="s">
        <v>1389</v>
      </c>
      <c r="R33" s="564" t="s">
        <v>1364</v>
      </c>
      <c r="S33" s="564"/>
      <c r="T33" s="572" t="s">
        <v>1390</v>
      </c>
      <c r="U33" s="499" t="s">
        <v>1390</v>
      </c>
      <c r="V33" s="499" t="s">
        <v>1390</v>
      </c>
      <c r="W33" s="499" t="s">
        <v>1391</v>
      </c>
      <c r="X33" s="496"/>
      <c r="Y33" s="604"/>
      <c r="Z33" s="499"/>
      <c r="AA33" s="502" t="s">
        <v>1392</v>
      </c>
      <c r="AB33" s="502" t="s">
        <v>1392</v>
      </c>
      <c r="AC33" s="502" t="s">
        <v>1392</v>
      </c>
      <c r="AD33" s="499"/>
    </row>
    <row r="34" spans="1:30" ht="27" customHeight="1">
      <c r="A34" s="498"/>
      <c r="B34" s="539">
        <v>17</v>
      </c>
      <c r="C34" s="496" t="s">
        <v>1393</v>
      </c>
      <c r="D34" s="574"/>
      <c r="E34" s="496"/>
      <c r="F34" s="496"/>
      <c r="G34" s="534"/>
      <c r="H34" s="565"/>
      <c r="I34" s="607" t="str">
        <f t="shared" si="1"/>
        <v>2.5.1</v>
      </c>
      <c r="J34" s="607" t="str">
        <f t="shared" si="2"/>
        <v>Расходы на оплату труда административно-управленческого персонала</v>
      </c>
      <c r="K34" s="607">
        <f t="shared" si="3"/>
        <v>0</v>
      </c>
      <c r="L34" s="497" t="str">
        <f t="shared" si="4"/>
        <v>2.5.1</v>
      </c>
      <c r="M34" s="497" t="str">
        <f t="shared" si="5"/>
        <v>Расходы на оплату труда административно-управленческого персонала</v>
      </c>
      <c r="N34" s="497" t="str">
        <f t="shared" si="6"/>
        <v/>
      </c>
      <c r="O34" s="564" t="s">
        <v>1394</v>
      </c>
      <c r="P34" s="564" t="s">
        <v>1369</v>
      </c>
      <c r="Q34" s="564" t="s">
        <v>1394</v>
      </c>
      <c r="R34" s="564" t="s">
        <v>1369</v>
      </c>
      <c r="S34" s="564"/>
      <c r="T34" s="573" t="s">
        <v>1395</v>
      </c>
      <c r="U34" s="499" t="s">
        <v>1395</v>
      </c>
      <c r="V34" s="499" t="s">
        <v>1395</v>
      </c>
      <c r="W34" s="499" t="s">
        <v>1396</v>
      </c>
      <c r="X34" s="496"/>
      <c r="Y34" s="604"/>
      <c r="Z34" s="499"/>
      <c r="AA34" s="502"/>
      <c r="AB34" s="499"/>
      <c r="AC34" s="499"/>
      <c r="AD34" s="499"/>
    </row>
    <row r="35" spans="1:30" ht="45" customHeight="1">
      <c r="A35" s="498"/>
      <c r="B35" s="539">
        <v>18</v>
      </c>
      <c r="C35" s="496" t="s">
        <v>1397</v>
      </c>
      <c r="D35" s="574"/>
      <c r="E35" s="496"/>
      <c r="F35" s="496"/>
      <c r="G35" s="534"/>
      <c r="H35" s="565"/>
      <c r="I35" s="607" t="str">
        <f t="shared" si="1"/>
        <v>2.5.2</v>
      </c>
      <c r="J35" s="607"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607">
        <f t="shared" si="3"/>
        <v>0</v>
      </c>
      <c r="L35" s="497" t="str">
        <f t="shared" si="4"/>
        <v>2.5.2</v>
      </c>
      <c r="M35" s="497"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497" t="str">
        <f t="shared" si="6"/>
        <v/>
      </c>
      <c r="O35" s="564" t="s">
        <v>1398</v>
      </c>
      <c r="P35" s="564" t="s">
        <v>1374</v>
      </c>
      <c r="Q35" s="564" t="s">
        <v>1398</v>
      </c>
      <c r="R35" s="564" t="s">
        <v>1374</v>
      </c>
      <c r="S35" s="564"/>
      <c r="T35" s="571" t="s">
        <v>1399</v>
      </c>
      <c r="U35" s="499" t="s">
        <v>1399</v>
      </c>
      <c r="V35" s="499" t="s">
        <v>1399</v>
      </c>
      <c r="W35" s="499" t="s">
        <v>1399</v>
      </c>
      <c r="X35" s="496"/>
      <c r="Y35" s="604"/>
      <c r="Z35" s="499"/>
      <c r="AA35" s="502"/>
      <c r="AB35" s="499"/>
      <c r="AC35" s="499"/>
      <c r="AD35" s="499"/>
    </row>
    <row r="36" spans="1:30" ht="18" customHeight="1">
      <c r="A36" s="498"/>
      <c r="B36" s="539">
        <v>19</v>
      </c>
      <c r="C36" s="496">
        <v>11</v>
      </c>
      <c r="D36" s="574"/>
      <c r="E36" s="496"/>
      <c r="F36" s="496"/>
      <c r="G36" s="534"/>
      <c r="H36" s="565"/>
      <c r="I36" s="607" t="str">
        <f t="shared" si="1"/>
        <v>2.6</v>
      </c>
      <c r="J36" s="607" t="str">
        <f t="shared" si="2"/>
        <v>Расходы на амортизацию основных средств и нематериальных активов</v>
      </c>
      <c r="K36" s="607">
        <f t="shared" si="3"/>
        <v>0</v>
      </c>
      <c r="L36" s="497" t="str">
        <f t="shared" si="4"/>
        <v>2.6</v>
      </c>
      <c r="M36" s="497" t="str">
        <f t="shared" si="5"/>
        <v>Расходы на амортизацию основных средств и нематериальных активов</v>
      </c>
      <c r="N36" s="497" t="str">
        <f t="shared" si="6"/>
        <v/>
      </c>
      <c r="O36" s="564" t="s">
        <v>1400</v>
      </c>
      <c r="P36" s="564" t="s">
        <v>1378</v>
      </c>
      <c r="Q36" s="564" t="s">
        <v>1400</v>
      </c>
      <c r="R36" s="564" t="s">
        <v>1378</v>
      </c>
      <c r="S36" s="564"/>
      <c r="T36" s="571" t="s">
        <v>1401</v>
      </c>
      <c r="U36" s="499" t="s">
        <v>1401</v>
      </c>
      <c r="V36" s="499" t="s">
        <v>1401</v>
      </c>
      <c r="W36" s="499" t="s">
        <v>1401</v>
      </c>
      <c r="X36" s="496"/>
      <c r="Y36" s="604"/>
      <c r="Z36" s="499"/>
      <c r="AA36" s="502"/>
      <c r="AB36" s="499"/>
      <c r="AC36" s="499"/>
      <c r="AD36" s="499"/>
    </row>
    <row r="37" spans="1:30" ht="18" customHeight="1">
      <c r="A37" s="498"/>
      <c r="B37" s="539">
        <v>20</v>
      </c>
      <c r="C37" s="496" t="s">
        <v>1402</v>
      </c>
      <c r="D37" s="574"/>
      <c r="E37" s="496"/>
      <c r="F37" s="496"/>
      <c r="G37" s="534"/>
      <c r="H37" s="565"/>
      <c r="I37" s="607" t="str">
        <f t="shared" si="1"/>
        <v>2.6.1</v>
      </c>
      <c r="J37" s="607" t="str">
        <f t="shared" si="2"/>
        <v>Расходы на амортизацию основных средств</v>
      </c>
      <c r="K37" s="607">
        <f t="shared" si="3"/>
        <v>0</v>
      </c>
      <c r="L37" s="497" t="str">
        <f t="shared" si="4"/>
        <v>2.6.1</v>
      </c>
      <c r="M37" s="497" t="str">
        <f t="shared" si="5"/>
        <v>Расходы на амортизацию основных средств</v>
      </c>
      <c r="N37" s="497" t="str">
        <f t="shared" si="6"/>
        <v/>
      </c>
      <c r="O37" s="564" t="s">
        <v>1403</v>
      </c>
      <c r="P37" s="564" t="s">
        <v>1382</v>
      </c>
      <c r="Q37" s="564" t="s">
        <v>1403</v>
      </c>
      <c r="R37" s="564" t="s">
        <v>1382</v>
      </c>
      <c r="S37" s="564"/>
      <c r="T37" s="571" t="s">
        <v>1404</v>
      </c>
      <c r="U37" s="499" t="s">
        <v>1404</v>
      </c>
      <c r="V37" s="499" t="s">
        <v>1404</v>
      </c>
      <c r="W37" s="499" t="s">
        <v>1404</v>
      </c>
      <c r="X37" s="496"/>
      <c r="Y37" s="604"/>
      <c r="Z37" s="499"/>
      <c r="AA37" s="502"/>
      <c r="AB37" s="499"/>
      <c r="AC37" s="499"/>
      <c r="AD37" s="499"/>
    </row>
    <row r="38" spans="1:30" ht="18" customHeight="1">
      <c r="A38" s="498"/>
      <c r="B38" s="539">
        <v>21</v>
      </c>
      <c r="C38" s="496" t="s">
        <v>1405</v>
      </c>
      <c r="D38" s="574"/>
      <c r="E38" s="496"/>
      <c r="F38" s="496"/>
      <c r="G38" s="534"/>
      <c r="H38" s="565"/>
      <c r="I38" s="607" t="str">
        <f t="shared" si="1"/>
        <v>2.6.2</v>
      </c>
      <c r="J38" s="607" t="str">
        <f t="shared" si="2"/>
        <v>Расходы на амортизацию нематериальных активов</v>
      </c>
      <c r="K38" s="607">
        <f t="shared" si="3"/>
        <v>0</v>
      </c>
      <c r="L38" s="497" t="str">
        <f t="shared" si="4"/>
        <v>2.6.2</v>
      </c>
      <c r="M38" s="497" t="str">
        <f t="shared" si="5"/>
        <v>Расходы на амортизацию нематериальных активов</v>
      </c>
      <c r="N38" s="497" t="str">
        <f t="shared" si="6"/>
        <v/>
      </c>
      <c r="O38" s="564" t="s">
        <v>1406</v>
      </c>
      <c r="P38" s="564" t="s">
        <v>1386</v>
      </c>
      <c r="Q38" s="564" t="s">
        <v>1406</v>
      </c>
      <c r="R38" s="564" t="s">
        <v>1386</v>
      </c>
      <c r="S38" s="564"/>
      <c r="T38" s="571" t="s">
        <v>1407</v>
      </c>
      <c r="U38" s="499" t="s">
        <v>1407</v>
      </c>
      <c r="V38" s="499" t="s">
        <v>1407</v>
      </c>
      <c r="W38" s="499" t="s">
        <v>1407</v>
      </c>
      <c r="X38" s="496"/>
      <c r="Y38" s="604"/>
      <c r="Z38" s="499"/>
      <c r="AA38" s="502"/>
      <c r="AB38" s="499"/>
      <c r="AC38" s="499"/>
      <c r="AD38" s="499"/>
    </row>
    <row r="39" spans="1:30" ht="36" customHeight="1">
      <c r="A39" s="498"/>
      <c r="B39" s="539">
        <v>22</v>
      </c>
      <c r="C39" s="496">
        <v>12</v>
      </c>
      <c r="D39" s="574"/>
      <c r="E39" s="496"/>
      <c r="F39" s="496"/>
      <c r="G39" s="534"/>
      <c r="H39" s="565"/>
      <c r="I39" s="607" t="str">
        <f t="shared" si="1"/>
        <v>2.7</v>
      </c>
      <c r="J39" s="607" t="str">
        <f t="shared" si="2"/>
        <v>Расходы на аренду имущества, используемого для осуществления регулируемых видов деятельности в сфере холодного водоснабжения</v>
      </c>
      <c r="K39" s="607">
        <f t="shared" si="3"/>
        <v>0</v>
      </c>
      <c r="L39" s="497" t="str">
        <f t="shared" si="4"/>
        <v>2.7</v>
      </c>
      <c r="M39" s="497" t="str">
        <f t="shared" si="5"/>
        <v>Расходы на аренду имущества, используемого для осуществления регулируемых видов деятельности в сфере холодного водоснабжения</v>
      </c>
      <c r="N39" s="497" t="str">
        <f t="shared" si="6"/>
        <v/>
      </c>
      <c r="O39" s="564" t="s">
        <v>1408</v>
      </c>
      <c r="P39" s="564" t="s">
        <v>1389</v>
      </c>
      <c r="Q39" s="564" t="s">
        <v>1408</v>
      </c>
      <c r="R39" s="564" t="s">
        <v>1389</v>
      </c>
      <c r="S39" s="564"/>
      <c r="T39" s="571" t="s">
        <v>1409</v>
      </c>
      <c r="U39" s="499" t="s">
        <v>1410</v>
      </c>
      <c r="V39" s="499" t="s">
        <v>1411</v>
      </c>
      <c r="W39" s="499" t="s">
        <v>1412</v>
      </c>
      <c r="X39" s="496"/>
      <c r="Y39" s="604"/>
      <c r="Z39" s="499"/>
      <c r="AA39" s="502"/>
      <c r="AB39" s="499"/>
      <c r="AC39" s="499"/>
      <c r="AD39" s="499"/>
    </row>
    <row r="40" spans="1:30" ht="18" customHeight="1">
      <c r="A40" s="498"/>
      <c r="B40" s="539">
        <v>23</v>
      </c>
      <c r="C40" s="496">
        <v>13</v>
      </c>
      <c r="D40" s="574"/>
      <c r="E40" s="496"/>
      <c r="F40" s="496"/>
      <c r="G40" s="496"/>
      <c r="H40" s="537"/>
      <c r="I40" s="607" t="str">
        <f t="shared" si="1"/>
        <v>2.8</v>
      </c>
      <c r="J40" s="607" t="str">
        <f t="shared" si="2"/>
        <v>Общепроизводственные расходы, в том числе:</v>
      </c>
      <c r="K40" s="607" t="str">
        <f t="shared" si="3"/>
        <v>Указывается общая сумма общепроизводственных расходов.</v>
      </c>
      <c r="L40" s="497" t="str">
        <f t="shared" si="4"/>
        <v>2.8</v>
      </c>
      <c r="M40" s="497" t="str">
        <f t="shared" si="5"/>
        <v>Общепроизводственные расходы, в том числе:</v>
      </c>
      <c r="N40" s="497" t="str">
        <f t="shared" si="6"/>
        <v>Указывается общая сумма общепроизводственных расходов.</v>
      </c>
      <c r="O40" s="564" t="s">
        <v>1413</v>
      </c>
      <c r="P40" s="564" t="s">
        <v>1400</v>
      </c>
      <c r="Q40" s="564" t="s">
        <v>1413</v>
      </c>
      <c r="R40" s="564" t="s">
        <v>1400</v>
      </c>
      <c r="S40" s="564"/>
      <c r="T40" s="496" t="s">
        <v>1414</v>
      </c>
      <c r="U40" s="496" t="s">
        <v>1414</v>
      </c>
      <c r="V40" s="496" t="s">
        <v>1414</v>
      </c>
      <c r="W40" s="496" t="s">
        <v>1414</v>
      </c>
      <c r="X40" s="496"/>
      <c r="Y40" s="604"/>
      <c r="Z40" s="499" t="s">
        <v>1415</v>
      </c>
      <c r="AA40" s="502" t="s">
        <v>1415</v>
      </c>
      <c r="AB40" s="502" t="s">
        <v>1415</v>
      </c>
      <c r="AC40" s="502" t="s">
        <v>1415</v>
      </c>
      <c r="AD40" s="499"/>
    </row>
    <row r="41" spans="1:30" ht="27" customHeight="1">
      <c r="A41" s="498"/>
      <c r="B41" s="539">
        <v>24</v>
      </c>
      <c r="C41" s="496" t="s">
        <v>1416</v>
      </c>
      <c r="D41" s="574"/>
      <c r="E41" s="496"/>
      <c r="F41" s="496"/>
      <c r="G41" s="496"/>
      <c r="H41" s="534"/>
      <c r="I41" s="607" t="str">
        <f t="shared" si="1"/>
        <v>2.8.1</v>
      </c>
      <c r="J41" s="607" t="str">
        <f t="shared" si="2"/>
        <v>Расходы на текущий ремонт</v>
      </c>
      <c r="K41" s="607" t="str">
        <f t="shared" si="3"/>
        <v>Указываются расходы на текущий ремонт, отнесенные к общепроизводственным расходам.</v>
      </c>
      <c r="L41" s="497" t="str">
        <f t="shared" si="4"/>
        <v>2.8.1</v>
      </c>
      <c r="M41" s="497" t="str">
        <f t="shared" si="5"/>
        <v>Расходы на текущий ремонт</v>
      </c>
      <c r="N41" s="497" t="str">
        <f t="shared" si="6"/>
        <v>Указываются расходы на текущий ремонт, отнесенные к общепроизводственным расходам.</v>
      </c>
      <c r="O41" s="564" t="s">
        <v>1417</v>
      </c>
      <c r="P41" s="564" t="s">
        <v>1403</v>
      </c>
      <c r="Q41" s="564" t="s">
        <v>1417</v>
      </c>
      <c r="R41" s="564" t="s">
        <v>1403</v>
      </c>
      <c r="S41" s="564"/>
      <c r="T41" s="496" t="s">
        <v>1418</v>
      </c>
      <c r="U41" s="496" t="s">
        <v>1418</v>
      </c>
      <c r="V41" s="496" t="s">
        <v>1418</v>
      </c>
      <c r="W41" s="496" t="s">
        <v>1418</v>
      </c>
      <c r="X41" s="496"/>
      <c r="Y41" s="604"/>
      <c r="Z41" s="499" t="s">
        <v>1419</v>
      </c>
      <c r="AA41" s="499" t="s">
        <v>1419</v>
      </c>
      <c r="AB41" s="499" t="s">
        <v>1419</v>
      </c>
      <c r="AC41" s="499" t="s">
        <v>1419</v>
      </c>
      <c r="AD41" s="499"/>
    </row>
    <row r="42" spans="1:30" ht="27" customHeight="1">
      <c r="A42" s="498"/>
      <c r="B42" s="539">
        <v>25</v>
      </c>
      <c r="C42" s="496" t="s">
        <v>1420</v>
      </c>
      <c r="D42" s="574"/>
      <c r="E42" s="496"/>
      <c r="F42" s="496"/>
      <c r="G42" s="496"/>
      <c r="H42" s="534"/>
      <c r="I42" s="607" t="str">
        <f t="shared" si="1"/>
        <v>2.8.2</v>
      </c>
      <c r="J42" s="607" t="str">
        <f t="shared" si="2"/>
        <v>Расходы на капитальный ремонт</v>
      </c>
      <c r="K42" s="607" t="str">
        <f t="shared" si="3"/>
        <v>Указываются расходы на капитальный ремонт, отнесенные к общепроизводственным расходам.</v>
      </c>
      <c r="L42" s="497" t="str">
        <f t="shared" si="4"/>
        <v>2.8.2</v>
      </c>
      <c r="M42" s="497" t="str">
        <f t="shared" si="5"/>
        <v>Расходы на капитальный ремонт</v>
      </c>
      <c r="N42" s="497" t="str">
        <f t="shared" si="6"/>
        <v>Указываются расходы на капитальный ремонт, отнесенные к общепроизводственным расходам.</v>
      </c>
      <c r="O42" s="564" t="s">
        <v>1421</v>
      </c>
      <c r="P42" s="564" t="s">
        <v>1406</v>
      </c>
      <c r="Q42" s="564" t="s">
        <v>1421</v>
      </c>
      <c r="R42" s="564" t="s">
        <v>1406</v>
      </c>
      <c r="S42" s="564"/>
      <c r="T42" s="496" t="s">
        <v>1422</v>
      </c>
      <c r="U42" s="496" t="s">
        <v>1422</v>
      </c>
      <c r="V42" s="496" t="s">
        <v>1422</v>
      </c>
      <c r="W42" s="496" t="s">
        <v>1422</v>
      </c>
      <c r="X42" s="496"/>
      <c r="Y42" s="604"/>
      <c r="Z42" s="499" t="s">
        <v>1423</v>
      </c>
      <c r="AA42" s="499" t="s">
        <v>1423</v>
      </c>
      <c r="AB42" s="499" t="s">
        <v>1423</v>
      </c>
      <c r="AC42" s="499" t="s">
        <v>1423</v>
      </c>
      <c r="AD42" s="499"/>
    </row>
    <row r="43" spans="1:30" ht="18" customHeight="1">
      <c r="A43" s="498"/>
      <c r="B43" s="539">
        <v>26</v>
      </c>
      <c r="C43" s="496">
        <v>14</v>
      </c>
      <c r="D43" s="574"/>
      <c r="E43" s="496"/>
      <c r="F43" s="496"/>
      <c r="G43" s="496"/>
      <c r="H43" s="534"/>
      <c r="I43" s="607" t="str">
        <f t="shared" si="1"/>
        <v>2.9</v>
      </c>
      <c r="J43" s="607" t="str">
        <f t="shared" si="2"/>
        <v>Общехозяйственные расходы, в том числе:</v>
      </c>
      <c r="K43" s="607" t="str">
        <f t="shared" si="3"/>
        <v>Указывается общая сумма общехозяйственных расходов.</v>
      </c>
      <c r="L43" s="497" t="str">
        <f t="shared" si="4"/>
        <v>2.9</v>
      </c>
      <c r="M43" s="497" t="str">
        <f t="shared" si="5"/>
        <v>Общехозяйственные расходы, в том числе:</v>
      </c>
      <c r="N43" s="497" t="str">
        <f t="shared" si="6"/>
        <v>Указывается общая сумма общехозяйственных расходов.</v>
      </c>
      <c r="O43" s="564" t="s">
        <v>1424</v>
      </c>
      <c r="P43" s="564" t="s">
        <v>1408</v>
      </c>
      <c r="Q43" s="564" t="s">
        <v>1424</v>
      </c>
      <c r="R43" s="564" t="s">
        <v>1408</v>
      </c>
      <c r="S43" s="564"/>
      <c r="T43" s="496" t="s">
        <v>1425</v>
      </c>
      <c r="U43" s="496" t="s">
        <v>1425</v>
      </c>
      <c r="V43" s="496" t="s">
        <v>1425</v>
      </c>
      <c r="W43" s="496" t="s">
        <v>1425</v>
      </c>
      <c r="X43" s="496"/>
      <c r="Y43" s="604"/>
      <c r="Z43" s="499" t="s">
        <v>1426</v>
      </c>
      <c r="AA43" s="499" t="s">
        <v>1426</v>
      </c>
      <c r="AB43" s="499" t="s">
        <v>1426</v>
      </c>
      <c r="AC43" s="499" t="s">
        <v>1426</v>
      </c>
      <c r="AD43" s="499"/>
    </row>
    <row r="44" spans="1:30" ht="27" customHeight="1">
      <c r="A44" s="498"/>
      <c r="B44" s="539">
        <v>27</v>
      </c>
      <c r="C44" s="496" t="s">
        <v>1427</v>
      </c>
      <c r="D44" s="574"/>
      <c r="E44" s="496"/>
      <c r="F44" s="496"/>
      <c r="G44" s="496"/>
      <c r="H44" s="534"/>
      <c r="I44" s="607" t="str">
        <f t="shared" si="1"/>
        <v>2.9.1</v>
      </c>
      <c r="J44" s="607" t="str">
        <f t="shared" si="2"/>
        <v>Расходы на текущий ремонт</v>
      </c>
      <c r="K44" s="607" t="str">
        <f t="shared" si="3"/>
        <v>Указываются расходы на текущий ремонт, отнесенные к общехозяйственным расходам.</v>
      </c>
      <c r="L44" s="497" t="str">
        <f t="shared" si="4"/>
        <v>2.9.1</v>
      </c>
      <c r="M44" s="497" t="str">
        <f t="shared" si="5"/>
        <v>Расходы на текущий ремонт</v>
      </c>
      <c r="N44" s="497" t="str">
        <f t="shared" si="6"/>
        <v>Указываются расходы на текущий ремонт, отнесенные к общехозяйственным расходам.</v>
      </c>
      <c r="O44" s="564" t="s">
        <v>1428</v>
      </c>
      <c r="P44" s="564" t="s">
        <v>1429</v>
      </c>
      <c r="Q44" s="564" t="s">
        <v>1428</v>
      </c>
      <c r="R44" s="564" t="s">
        <v>1429</v>
      </c>
      <c r="S44" s="564"/>
      <c r="T44" s="496" t="s">
        <v>1418</v>
      </c>
      <c r="U44" s="496" t="s">
        <v>1418</v>
      </c>
      <c r="V44" s="496" t="s">
        <v>1418</v>
      </c>
      <c r="W44" s="496" t="s">
        <v>1418</v>
      </c>
      <c r="X44" s="496"/>
      <c r="Y44" s="604"/>
      <c r="Z44" s="499" t="s">
        <v>1430</v>
      </c>
      <c r="AA44" s="499" t="s">
        <v>1430</v>
      </c>
      <c r="AB44" s="499" t="s">
        <v>1430</v>
      </c>
      <c r="AC44" s="499" t="s">
        <v>1430</v>
      </c>
      <c r="AD44" s="499"/>
    </row>
    <row r="45" spans="1:30" ht="27" customHeight="1">
      <c r="A45" s="498"/>
      <c r="B45" s="539">
        <v>28</v>
      </c>
      <c r="C45" s="496" t="s">
        <v>1431</v>
      </c>
      <c r="D45" s="574"/>
      <c r="E45" s="496"/>
      <c r="F45" s="496"/>
      <c r="G45" s="496"/>
      <c r="H45" s="534"/>
      <c r="I45" s="607" t="str">
        <f t="shared" si="1"/>
        <v>2.9.2</v>
      </c>
      <c r="J45" s="607" t="str">
        <f t="shared" si="2"/>
        <v>Расходы на капитальный ремонт</v>
      </c>
      <c r="K45" s="607" t="str">
        <f t="shared" si="3"/>
        <v>Указываются расходы на капитальный ремонт, отнесенные к общехозяйственным расходам.</v>
      </c>
      <c r="L45" s="497" t="str">
        <f t="shared" si="4"/>
        <v>2.9.2</v>
      </c>
      <c r="M45" s="497" t="str">
        <f t="shared" si="5"/>
        <v>Расходы на капитальный ремонт</v>
      </c>
      <c r="N45" s="497" t="str">
        <f t="shared" si="6"/>
        <v>Указываются расходы на капитальный ремонт, отнесенные к общехозяйственным расходам.</v>
      </c>
      <c r="O45" s="564" t="s">
        <v>1432</v>
      </c>
      <c r="P45" s="564" t="s">
        <v>1433</v>
      </c>
      <c r="Q45" s="564" t="s">
        <v>1432</v>
      </c>
      <c r="R45" s="564" t="s">
        <v>1433</v>
      </c>
      <c r="S45" s="564"/>
      <c r="T45" s="496" t="s">
        <v>1422</v>
      </c>
      <c r="U45" s="496" t="s">
        <v>1422</v>
      </c>
      <c r="V45" s="496" t="s">
        <v>1422</v>
      </c>
      <c r="W45" s="496" t="s">
        <v>1422</v>
      </c>
      <c r="X45" s="496"/>
      <c r="Y45" s="604"/>
      <c r="Z45" s="499" t="s">
        <v>1434</v>
      </c>
      <c r="AA45" s="499" t="s">
        <v>1434</v>
      </c>
      <c r="AB45" s="499" t="s">
        <v>1434</v>
      </c>
      <c r="AC45" s="499" t="s">
        <v>1434</v>
      </c>
      <c r="AD45" s="499"/>
    </row>
    <row r="46" spans="1:30" ht="54" customHeight="1">
      <c r="A46" s="498"/>
      <c r="B46" s="539">
        <v>29</v>
      </c>
      <c r="C46" s="496">
        <v>15</v>
      </c>
      <c r="D46" s="574"/>
      <c r="E46" s="496"/>
      <c r="F46" s="496"/>
      <c r="G46" s="496"/>
      <c r="H46" s="534"/>
      <c r="I46" s="607" t="str">
        <f t="shared" si="1"/>
        <v>2.10</v>
      </c>
      <c r="J46" s="607" t="str">
        <f t="shared" si="2"/>
        <v>Расходы на капитальный и текущий ремонт основных средств</v>
      </c>
      <c r="K46" s="607"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497" t="str">
        <f t="shared" si="4"/>
        <v>2.10</v>
      </c>
      <c r="M46" s="497" t="str">
        <f t="shared" si="5"/>
        <v>Расходы на капитальный и текущий ремонт основных средств</v>
      </c>
      <c r="N46" s="497"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564" t="s">
        <v>1435</v>
      </c>
      <c r="P46" s="564" t="s">
        <v>1413</v>
      </c>
      <c r="Q46" s="564" t="s">
        <v>1435</v>
      </c>
      <c r="R46" s="564" t="s">
        <v>1413</v>
      </c>
      <c r="S46" s="564"/>
      <c r="T46" s="496" t="s">
        <v>1436</v>
      </c>
      <c r="U46" s="496" t="s">
        <v>1436</v>
      </c>
      <c r="V46" s="496" t="s">
        <v>1436</v>
      </c>
      <c r="W46" s="496" t="s">
        <v>1436</v>
      </c>
      <c r="X46" s="496"/>
      <c r="Y46" s="604"/>
      <c r="Z46" s="499" t="s">
        <v>1437</v>
      </c>
      <c r="AA46" s="499" t="s">
        <v>1438</v>
      </c>
      <c r="AB46" s="499" t="s">
        <v>1438</v>
      </c>
      <c r="AC46" s="499" t="s">
        <v>1438</v>
      </c>
      <c r="AD46" s="499"/>
    </row>
    <row r="47" spans="1:30" ht="54" customHeight="1">
      <c r="A47" s="498"/>
      <c r="B47" s="539">
        <v>30</v>
      </c>
      <c r="C47" s="496" t="s">
        <v>1439</v>
      </c>
      <c r="D47" s="574"/>
      <c r="E47" s="496"/>
      <c r="F47" s="496"/>
      <c r="G47" s="496"/>
      <c r="H47" s="534"/>
      <c r="I47" s="607" t="str">
        <f t="shared" si="1"/>
        <v>2.10.1</v>
      </c>
      <c r="J47" s="607"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607">
        <f t="shared" si="3"/>
        <v>0</v>
      </c>
      <c r="L47" s="497" t="str">
        <f t="shared" si="4"/>
        <v>2.10.1</v>
      </c>
      <c r="M47" s="497"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497" t="str">
        <f t="shared" si="6"/>
        <v/>
      </c>
      <c r="O47" s="564" t="s">
        <v>1440</v>
      </c>
      <c r="P47" s="564" t="s">
        <v>1417</v>
      </c>
      <c r="Q47" s="564" t="s">
        <v>1440</v>
      </c>
      <c r="R47" s="564" t="s">
        <v>1417</v>
      </c>
      <c r="S47" s="564"/>
      <c r="T47" s="496" t="s">
        <v>1441</v>
      </c>
      <c r="U47" s="496" t="s">
        <v>1441</v>
      </c>
      <c r="V47" s="496" t="s">
        <v>1441</v>
      </c>
      <c r="W47" s="496" t="s">
        <v>1441</v>
      </c>
      <c r="X47" s="496"/>
      <c r="Y47" s="604"/>
      <c r="Z47" s="499"/>
      <c r="AA47" s="502"/>
      <c r="AB47" s="502"/>
      <c r="AC47" s="502"/>
      <c r="AD47" s="499"/>
    </row>
    <row r="48" spans="1:30" ht="54" customHeight="1">
      <c r="A48" s="498"/>
      <c r="B48" s="539">
        <v>31</v>
      </c>
      <c r="C48" s="496">
        <v>16</v>
      </c>
      <c r="D48" s="574"/>
      <c r="E48" s="496"/>
      <c r="F48" s="496"/>
      <c r="G48" s="496"/>
      <c r="H48" s="534"/>
      <c r="I48" s="607" t="str">
        <f t="shared" si="1"/>
        <v>2.11</v>
      </c>
      <c r="J48" s="607" t="str">
        <f t="shared" si="2"/>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607"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497" t="str">
        <f t="shared" si="4"/>
        <v>2.11</v>
      </c>
      <c r="M48" s="497" t="str">
        <f t="shared" si="5"/>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497"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564"/>
      <c r="P48" s="564" t="s">
        <v>1424</v>
      </c>
      <c r="Q48" s="564" t="s">
        <v>1442</v>
      </c>
      <c r="R48" s="564" t="s">
        <v>1424</v>
      </c>
      <c r="S48" s="564"/>
      <c r="T48" s="496"/>
      <c r="U48" s="496" t="s">
        <v>1443</v>
      </c>
      <c r="V48" s="496" t="s">
        <v>1444</v>
      </c>
      <c r="W48" s="496" t="s">
        <v>1444</v>
      </c>
      <c r="X48" s="496"/>
      <c r="Y48" s="604"/>
      <c r="Z48" s="499"/>
      <c r="AA48" s="502" t="s">
        <v>1438</v>
      </c>
      <c r="AB48" s="502" t="s">
        <v>1438</v>
      </c>
      <c r="AC48" s="502" t="s">
        <v>1438</v>
      </c>
      <c r="AD48" s="499"/>
    </row>
    <row r="49" spans="1:30" ht="54" customHeight="1">
      <c r="A49" s="498"/>
      <c r="B49" s="539">
        <v>32</v>
      </c>
      <c r="C49" s="496" t="s">
        <v>1445</v>
      </c>
      <c r="D49" s="574"/>
      <c r="E49" s="496"/>
      <c r="F49" s="496"/>
      <c r="G49" s="496"/>
      <c r="H49" s="534"/>
      <c r="I49" s="607" t="str">
        <f t="shared" si="1"/>
        <v>2.11.1</v>
      </c>
      <c r="J49" s="607"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607">
        <f t="shared" si="3"/>
        <v>0</v>
      </c>
      <c r="L49" s="497" t="str">
        <f t="shared" si="4"/>
        <v>2.11.1</v>
      </c>
      <c r="M49" s="497"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497" t="str">
        <f t="shared" si="6"/>
        <v/>
      </c>
      <c r="O49" s="564"/>
      <c r="P49" s="564" t="s">
        <v>1428</v>
      </c>
      <c r="Q49" s="564" t="s">
        <v>1446</v>
      </c>
      <c r="R49" s="564" t="s">
        <v>1428</v>
      </c>
      <c r="S49" s="564"/>
      <c r="T49" s="496"/>
      <c r="U49" s="496" t="s">
        <v>1441</v>
      </c>
      <c r="V49" s="496" t="s">
        <v>1441</v>
      </c>
      <c r="W49" s="496" t="s">
        <v>1441</v>
      </c>
      <c r="X49" s="496"/>
      <c r="Y49" s="604"/>
      <c r="Z49" s="499"/>
      <c r="AA49" s="502"/>
      <c r="AB49" s="502"/>
      <c r="AC49" s="502"/>
      <c r="AD49" s="499"/>
    </row>
    <row r="50" spans="1:30" ht="126" customHeight="1">
      <c r="A50" s="498"/>
      <c r="B50" s="539">
        <v>33</v>
      </c>
      <c r="C50" s="496">
        <v>17</v>
      </c>
      <c r="D50" s="574"/>
      <c r="E50" s="496"/>
      <c r="F50" s="496"/>
      <c r="G50" s="496"/>
      <c r="H50" s="534"/>
      <c r="I50" s="607" t="str">
        <f t="shared" ref="I50:I81" si="7">INDEX(TEMPLATE_NUMBER_POINT_FHD,B50,MATCH(TEMPLATE_SPHERE,TEMPLATE_SPHERE_LIST_FOR_NOTE,0))</f>
        <v>2.12</v>
      </c>
      <c r="J50" s="607" t="str">
        <f t="shared" ref="J50:J81" si="8">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607"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497" t="str">
        <f t="shared" ref="L50:L81" si="10">IF(I50=0,"",I50)</f>
        <v>2.12</v>
      </c>
      <c r="M50" s="497" t="str">
        <f t="shared" ref="M50:M81" si="11">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497" t="str">
        <f t="shared" ref="N50:N81" si="12">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564" t="s">
        <v>1442</v>
      </c>
      <c r="P50" s="564" t="s">
        <v>1435</v>
      </c>
      <c r="Q50" s="564" t="s">
        <v>1447</v>
      </c>
      <c r="R50" s="564" t="s">
        <v>1435</v>
      </c>
      <c r="S50" s="564"/>
      <c r="T50" s="496" t="s">
        <v>1448</v>
      </c>
      <c r="U50" s="496" t="s">
        <v>1449</v>
      </c>
      <c r="V50" s="496" t="s">
        <v>1450</v>
      </c>
      <c r="W50" s="496" t="s">
        <v>1451</v>
      </c>
      <c r="X50" s="496"/>
      <c r="Y50" s="604"/>
      <c r="Z50" s="499" t="s">
        <v>1452</v>
      </c>
      <c r="AA50" s="502" t="s">
        <v>1453</v>
      </c>
      <c r="AB50" s="502" t="s">
        <v>1453</v>
      </c>
      <c r="AC50" s="502" t="s">
        <v>1453</v>
      </c>
      <c r="AD50" s="499"/>
    </row>
    <row r="51" spans="1:30" ht="27" customHeight="1">
      <c r="A51" s="498"/>
      <c r="B51" s="539">
        <v>34</v>
      </c>
      <c r="C51" s="496" t="s">
        <v>1454</v>
      </c>
      <c r="D51" s="574"/>
      <c r="E51" s="496"/>
      <c r="F51" s="496"/>
      <c r="G51" s="496"/>
      <c r="H51" s="534"/>
      <c r="I51" s="607">
        <f t="shared" si="7"/>
        <v>0</v>
      </c>
      <c r="J51" s="607">
        <f t="shared" si="8"/>
        <v>0</v>
      </c>
      <c r="K51" s="607">
        <f t="shared" si="9"/>
        <v>0</v>
      </c>
      <c r="L51" s="497" t="str">
        <f t="shared" si="10"/>
        <v/>
      </c>
      <c r="M51" s="497" t="str">
        <f t="shared" si="11"/>
        <v/>
      </c>
      <c r="N51" s="497" t="str">
        <f t="shared" si="12"/>
        <v/>
      </c>
      <c r="O51" s="564" t="s">
        <v>90</v>
      </c>
      <c r="P51" s="564"/>
      <c r="Q51" s="564"/>
      <c r="R51" s="564"/>
      <c r="S51" s="564"/>
      <c r="T51" s="496" t="s">
        <v>1455</v>
      </c>
      <c r="U51" s="496"/>
      <c r="V51" s="496"/>
      <c r="W51" s="496"/>
      <c r="X51" s="496"/>
      <c r="Y51" s="604"/>
      <c r="Z51" s="499"/>
      <c r="AA51" s="502"/>
      <c r="AB51" s="502"/>
      <c r="AC51" s="502"/>
      <c r="AD51" s="499"/>
    </row>
    <row r="52" spans="1:30" ht="36" customHeight="1">
      <c r="A52" s="498"/>
      <c r="B52" s="539">
        <v>35</v>
      </c>
      <c r="C52" s="496" t="s">
        <v>1334</v>
      </c>
      <c r="D52" s="574" t="s">
        <v>1334</v>
      </c>
      <c r="E52" s="496" t="s">
        <v>1334</v>
      </c>
      <c r="F52" s="496" t="s">
        <v>1334</v>
      </c>
      <c r="G52" s="496"/>
      <c r="H52" s="534"/>
      <c r="I52" s="607" t="str">
        <f t="shared" si="7"/>
        <v>3</v>
      </c>
      <c r="J52" s="607" t="str">
        <f t="shared" si="8"/>
        <v>Чистая прибыль, полученная от регулируемого вида деятельности в сфере холодного водоснабжения, в том числе:</v>
      </c>
      <c r="K52" s="607" t="str">
        <f t="shared" si="9"/>
        <v>Указывается общая сумма чистой прибыли, полученной от регулируемого вида деятельности.</v>
      </c>
      <c r="L52" s="497" t="str">
        <f t="shared" si="10"/>
        <v>3</v>
      </c>
      <c r="M52" s="497" t="str">
        <f t="shared" si="11"/>
        <v>Чистая прибыль, полученная от регулируемого вида деятельности в сфере холодного водоснабжения, в том числе:</v>
      </c>
      <c r="N52" s="497" t="str">
        <f t="shared" si="12"/>
        <v>Указывается общая сумма чистой прибыли, полученной от регулируемого вида деятельности.</v>
      </c>
      <c r="O52" s="564" t="s">
        <v>91</v>
      </c>
      <c r="P52" s="564" t="s">
        <v>90</v>
      </c>
      <c r="Q52" s="564" t="s">
        <v>90</v>
      </c>
      <c r="R52" s="564" t="s">
        <v>90</v>
      </c>
      <c r="S52" s="564"/>
      <c r="T52" s="496" t="s">
        <v>1456</v>
      </c>
      <c r="U52" s="496" t="s">
        <v>1457</v>
      </c>
      <c r="V52" s="496" t="s">
        <v>1458</v>
      </c>
      <c r="W52" s="496" t="s">
        <v>1459</v>
      </c>
      <c r="X52" s="496"/>
      <c r="Y52" s="604"/>
      <c r="Z52" s="499" t="s">
        <v>1460</v>
      </c>
      <c r="AA52" s="502" t="s">
        <v>1460</v>
      </c>
      <c r="AB52" s="502" t="s">
        <v>1460</v>
      </c>
      <c r="AC52" s="502" t="s">
        <v>1460</v>
      </c>
      <c r="AD52" s="499"/>
    </row>
    <row r="53" spans="1:30" ht="36" customHeight="1">
      <c r="A53" s="498"/>
      <c r="B53" s="539">
        <v>36</v>
      </c>
      <c r="C53" s="496">
        <v>1</v>
      </c>
      <c r="D53" s="574"/>
      <c r="E53" s="496"/>
      <c r="F53" s="496"/>
      <c r="G53" s="496"/>
      <c r="H53" s="534"/>
      <c r="I53" s="607" t="str">
        <f t="shared" si="7"/>
        <v>3.1</v>
      </c>
      <c r="J53" s="607"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607">
        <f t="shared" si="9"/>
        <v>0</v>
      </c>
      <c r="L53" s="497" t="str">
        <f t="shared" si="10"/>
        <v>3.1</v>
      </c>
      <c r="M53" s="497"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497" t="str">
        <f t="shared" si="12"/>
        <v/>
      </c>
      <c r="O53" s="564" t="s">
        <v>1461</v>
      </c>
      <c r="P53" s="564" t="s">
        <v>314</v>
      </c>
      <c r="Q53" s="564" t="s">
        <v>314</v>
      </c>
      <c r="R53" s="564" t="s">
        <v>314</v>
      </c>
      <c r="S53" s="564"/>
      <c r="T53" s="496" t="s">
        <v>1462</v>
      </c>
      <c r="U53" s="496" t="s">
        <v>1462</v>
      </c>
      <c r="V53" s="496" t="s">
        <v>1462</v>
      </c>
      <c r="W53" s="496" t="s">
        <v>1462</v>
      </c>
      <c r="X53" s="496"/>
      <c r="Y53" s="604"/>
      <c r="Z53" s="499"/>
      <c r="AA53" s="502"/>
      <c r="AB53" s="499"/>
      <c r="AC53" s="499"/>
      <c r="AD53" s="499"/>
    </row>
    <row r="54" spans="1:30" ht="18" customHeight="1">
      <c r="A54" s="498"/>
      <c r="B54" s="539">
        <v>37</v>
      </c>
      <c r="C54" s="496" t="s">
        <v>1340</v>
      </c>
      <c r="D54" s="574" t="s">
        <v>1340</v>
      </c>
      <c r="E54" s="496" t="s">
        <v>1340</v>
      </c>
      <c r="F54" s="496" t="s">
        <v>1340</v>
      </c>
      <c r="G54" s="496"/>
      <c r="H54" s="534"/>
      <c r="I54" s="607" t="str">
        <f t="shared" si="7"/>
        <v>4</v>
      </c>
      <c r="J54" s="607" t="str">
        <f t="shared" si="8"/>
        <v>Изменение стоимости основных фондов, в том числе:</v>
      </c>
      <c r="K54" s="607" t="str">
        <f t="shared" si="9"/>
        <v>Указывается общее изменение стоимости основных фондов.</v>
      </c>
      <c r="L54" s="497" t="str">
        <f t="shared" si="10"/>
        <v>4</v>
      </c>
      <c r="M54" s="497" t="str">
        <f t="shared" si="11"/>
        <v>Изменение стоимости основных фондов, в том числе:</v>
      </c>
      <c r="N54" s="497" t="str">
        <f t="shared" si="12"/>
        <v>Указывается общее изменение стоимости основных фондов.</v>
      </c>
      <c r="O54" s="564" t="s">
        <v>112</v>
      </c>
      <c r="P54" s="564" t="s">
        <v>91</v>
      </c>
      <c r="Q54" s="564" t="s">
        <v>91</v>
      </c>
      <c r="R54" s="564" t="s">
        <v>91</v>
      </c>
      <c r="S54" s="564"/>
      <c r="T54" s="496" t="s">
        <v>1463</v>
      </c>
      <c r="U54" s="496" t="s">
        <v>1463</v>
      </c>
      <c r="V54" s="496" t="s">
        <v>1463</v>
      </c>
      <c r="W54" s="496" t="s">
        <v>1463</v>
      </c>
      <c r="X54" s="496"/>
      <c r="Y54" s="604"/>
      <c r="Z54" s="499" t="s">
        <v>1464</v>
      </c>
      <c r="AA54" s="499" t="s">
        <v>1464</v>
      </c>
      <c r="AB54" s="499" t="s">
        <v>1464</v>
      </c>
      <c r="AC54" s="499" t="s">
        <v>1464</v>
      </c>
      <c r="AD54" s="499"/>
    </row>
    <row r="55" spans="1:30" ht="36" customHeight="1">
      <c r="A55" s="498"/>
      <c r="B55" s="539">
        <v>38</v>
      </c>
      <c r="C55" s="496">
        <v>1</v>
      </c>
      <c r="D55" s="574"/>
      <c r="E55" s="496"/>
      <c r="F55" s="496"/>
      <c r="G55" s="496"/>
      <c r="H55" s="534"/>
      <c r="I55" s="607" t="str">
        <f t="shared" si="7"/>
        <v>4.1</v>
      </c>
      <c r="J55" s="607" t="str">
        <f t="shared" si="8"/>
        <v>Изменение стоимости основных фондов за счет их ввода в эксплуатацию (вывода из эксплуатации)</v>
      </c>
      <c r="K55" s="607" t="str">
        <f t="shared" si="9"/>
        <v>Указываются общее изменение стоимости основных фондов за счет их ввода в эксплуатацию и вывода из эксплуатации.</v>
      </c>
      <c r="L55" s="497" t="str">
        <f t="shared" si="10"/>
        <v>4.1</v>
      </c>
      <c r="M55" s="497" t="str">
        <f t="shared" si="11"/>
        <v>Изменение стоимости основных фондов за счет их ввода в эксплуатацию (вывода из эксплуатации)</v>
      </c>
      <c r="N55" s="497" t="str">
        <f t="shared" si="12"/>
        <v>Указываются общее изменение стоимости основных фондов за счет их ввода в эксплуатацию и вывода из эксплуатации.</v>
      </c>
      <c r="O55" s="564" t="s">
        <v>303</v>
      </c>
      <c r="P55" s="564" t="s">
        <v>1461</v>
      </c>
      <c r="Q55" s="564" t="s">
        <v>1461</v>
      </c>
      <c r="R55" s="564" t="s">
        <v>1461</v>
      </c>
      <c r="S55" s="564"/>
      <c r="T55" s="496" t="s">
        <v>1465</v>
      </c>
      <c r="U55" s="496" t="s">
        <v>1466</v>
      </c>
      <c r="V55" s="496" t="s">
        <v>1466</v>
      </c>
      <c r="W55" s="496" t="s">
        <v>1466</v>
      </c>
      <c r="X55" s="496"/>
      <c r="Y55" s="604"/>
      <c r="Z55" s="499" t="s">
        <v>1467</v>
      </c>
      <c r="AA55" s="499" t="s">
        <v>1467</v>
      </c>
      <c r="AB55" s="499" t="s">
        <v>1467</v>
      </c>
      <c r="AC55" s="499" t="s">
        <v>1467</v>
      </c>
      <c r="AD55" s="499"/>
    </row>
    <row r="56" spans="1:30" ht="27" customHeight="1">
      <c r="A56" s="498"/>
      <c r="B56" s="539">
        <v>39</v>
      </c>
      <c r="C56" s="496" t="s">
        <v>427</v>
      </c>
      <c r="D56" s="574"/>
      <c r="E56" s="496"/>
      <c r="F56" s="496"/>
      <c r="G56" s="496"/>
      <c r="H56" s="534"/>
      <c r="I56" s="607" t="str">
        <f t="shared" si="7"/>
        <v>4.1.1</v>
      </c>
      <c r="J56" s="607" t="str">
        <f t="shared" si="8"/>
        <v>Изменение стоимости основных фондов за счет их ввода в эксплуатацию</v>
      </c>
      <c r="K56" s="607" t="str">
        <f t="shared" si="9"/>
        <v>Указываются изменение стоимости основных фондов за счет их ввода в эксплуатацию.</v>
      </c>
      <c r="L56" s="497" t="str">
        <f t="shared" si="10"/>
        <v>4.1.1</v>
      </c>
      <c r="M56" s="497" t="str">
        <f t="shared" si="11"/>
        <v>Изменение стоимости основных фондов за счет их ввода в эксплуатацию</v>
      </c>
      <c r="N56" s="497" t="str">
        <f t="shared" si="12"/>
        <v>Указываются изменение стоимости основных фондов за счет их ввода в эксплуатацию.</v>
      </c>
      <c r="O56" s="564" t="s">
        <v>1468</v>
      </c>
      <c r="P56" s="564" t="s">
        <v>1469</v>
      </c>
      <c r="Q56" s="564" t="s">
        <v>1469</v>
      </c>
      <c r="R56" s="564" t="s">
        <v>1469</v>
      </c>
      <c r="S56" s="564"/>
      <c r="T56" s="496" t="s">
        <v>1470</v>
      </c>
      <c r="U56" s="496" t="s">
        <v>1471</v>
      </c>
      <c r="V56" s="496" t="s">
        <v>1471</v>
      </c>
      <c r="W56" s="496" t="s">
        <v>1471</v>
      </c>
      <c r="X56" s="496"/>
      <c r="Y56" s="604"/>
      <c r="Z56" s="499" t="s">
        <v>1472</v>
      </c>
      <c r="AA56" s="499" t="s">
        <v>1472</v>
      </c>
      <c r="AB56" s="499" t="s">
        <v>1472</v>
      </c>
      <c r="AC56" s="499" t="s">
        <v>1472</v>
      </c>
      <c r="AD56" s="499"/>
    </row>
    <row r="57" spans="1:30" ht="27" customHeight="1">
      <c r="A57" s="498"/>
      <c r="B57" s="539">
        <v>40</v>
      </c>
      <c r="C57" s="496" t="s">
        <v>442</v>
      </c>
      <c r="D57" s="574"/>
      <c r="E57" s="496"/>
      <c r="F57" s="496"/>
      <c r="G57" s="496"/>
      <c r="H57" s="534"/>
      <c r="I57" s="607" t="str">
        <f t="shared" si="7"/>
        <v>4.1.2</v>
      </c>
      <c r="J57" s="607" t="str">
        <f t="shared" si="8"/>
        <v>Изменение стоимости основных фондов за счет их вывода в эксплуатацию</v>
      </c>
      <c r="K57" s="607" t="str">
        <f t="shared" si="9"/>
        <v>Указываются изменение стоимости основных фондов за счет их вывода из эксплуатации.</v>
      </c>
      <c r="L57" s="497" t="str">
        <f t="shared" si="10"/>
        <v>4.1.2</v>
      </c>
      <c r="M57" s="497" t="str">
        <f t="shared" si="11"/>
        <v>Изменение стоимости основных фондов за счет их вывода в эксплуатацию</v>
      </c>
      <c r="N57" s="497" t="str">
        <f t="shared" si="12"/>
        <v>Указываются изменение стоимости основных фондов за счет их вывода из эксплуатации.</v>
      </c>
      <c r="O57" s="564" t="s">
        <v>1473</v>
      </c>
      <c r="P57" s="564" t="s">
        <v>1474</v>
      </c>
      <c r="Q57" s="564" t="s">
        <v>1474</v>
      </c>
      <c r="R57" s="564" t="s">
        <v>1474</v>
      </c>
      <c r="S57" s="564"/>
      <c r="T57" s="496" t="s">
        <v>1475</v>
      </c>
      <c r="U57" s="496" t="s">
        <v>1476</v>
      </c>
      <c r="V57" s="496" t="s">
        <v>1476</v>
      </c>
      <c r="W57" s="496" t="s">
        <v>1476</v>
      </c>
      <c r="X57" s="496"/>
      <c r="Y57" s="604"/>
      <c r="Z57" s="499" t="s">
        <v>1477</v>
      </c>
      <c r="AA57" s="499" t="s">
        <v>1477</v>
      </c>
      <c r="AB57" s="499" t="s">
        <v>1477</v>
      </c>
      <c r="AC57" s="499" t="s">
        <v>1477</v>
      </c>
      <c r="AD57" s="499"/>
    </row>
    <row r="58" spans="1:30" ht="18" customHeight="1">
      <c r="A58" s="498"/>
      <c r="B58" s="539">
        <v>41</v>
      </c>
      <c r="C58" s="496">
        <v>2</v>
      </c>
      <c r="D58" s="574"/>
      <c r="E58" s="496"/>
      <c r="F58" s="496"/>
      <c r="G58" s="496"/>
      <c r="H58" s="534"/>
      <c r="I58" s="607" t="str">
        <f t="shared" si="7"/>
        <v>4.2</v>
      </c>
      <c r="J58" s="607" t="str">
        <f t="shared" si="8"/>
        <v>Изменение стоимости основных фондов за счет их переоценки</v>
      </c>
      <c r="K58" s="607">
        <f t="shared" si="9"/>
        <v>0</v>
      </c>
      <c r="L58" s="497" t="str">
        <f t="shared" si="10"/>
        <v>4.2</v>
      </c>
      <c r="M58" s="497" t="str">
        <f t="shared" si="11"/>
        <v>Изменение стоимости основных фондов за счет их переоценки</v>
      </c>
      <c r="N58" s="497" t="str">
        <f t="shared" si="12"/>
        <v/>
      </c>
      <c r="O58" s="564" t="s">
        <v>305</v>
      </c>
      <c r="P58" s="564" t="s">
        <v>1478</v>
      </c>
      <c r="Q58" s="564" t="s">
        <v>1478</v>
      </c>
      <c r="R58" s="564" t="s">
        <v>1478</v>
      </c>
      <c r="S58" s="564"/>
      <c r="T58" s="496" t="s">
        <v>1479</v>
      </c>
      <c r="U58" s="496" t="s">
        <v>1479</v>
      </c>
      <c r="V58" s="496" t="s">
        <v>1479</v>
      </c>
      <c r="W58" s="496" t="s">
        <v>1479</v>
      </c>
      <c r="X58" s="496"/>
      <c r="Y58" s="604"/>
      <c r="Z58" s="499"/>
      <c r="AA58" s="502"/>
      <c r="AB58" s="499"/>
      <c r="AC58" s="499"/>
      <c r="AD58" s="499"/>
    </row>
    <row r="59" spans="1:30" ht="36" customHeight="1">
      <c r="A59" s="498"/>
      <c r="B59" s="539">
        <v>42</v>
      </c>
      <c r="C59" s="496">
        <v>3</v>
      </c>
      <c r="D59" s="574" t="s">
        <v>1454</v>
      </c>
      <c r="E59" s="496" t="s">
        <v>1454</v>
      </c>
      <c r="F59" s="496" t="s">
        <v>1454</v>
      </c>
      <c r="G59" s="496"/>
      <c r="H59" s="534"/>
      <c r="I59" s="607" t="str">
        <f t="shared" si="7"/>
        <v>5</v>
      </c>
      <c r="J59" s="607" t="str">
        <f t="shared" si="8"/>
        <v>Валовая прибыль (убытки) от продажи товаров и услуг по регулируемым видам деятельности в сфере холодного водоснабжения</v>
      </c>
      <c r="K59" s="607">
        <f t="shared" si="9"/>
        <v>0</v>
      </c>
      <c r="L59" s="497" t="str">
        <f t="shared" si="10"/>
        <v>5</v>
      </c>
      <c r="M59" s="497" t="str">
        <f t="shared" si="11"/>
        <v>Валовая прибыль (убытки) от продажи товаров и услуг по регулируемым видам деятельности в сфере холодного водоснабжения</v>
      </c>
      <c r="N59" s="497" t="str">
        <f t="shared" si="12"/>
        <v/>
      </c>
      <c r="O59" s="564"/>
      <c r="P59" s="564" t="s">
        <v>112</v>
      </c>
      <c r="Q59" s="564" t="s">
        <v>112</v>
      </c>
      <c r="R59" s="564" t="s">
        <v>112</v>
      </c>
      <c r="S59" s="564"/>
      <c r="T59" s="496"/>
      <c r="U59" s="496" t="s">
        <v>1480</v>
      </c>
      <c r="V59" s="496" t="s">
        <v>1481</v>
      </c>
      <c r="W59" s="496" t="s">
        <v>1482</v>
      </c>
      <c r="X59" s="496"/>
      <c r="Y59" s="604"/>
      <c r="Z59" s="499"/>
      <c r="AA59" s="502"/>
      <c r="AB59" s="499"/>
      <c r="AC59" s="499"/>
      <c r="AD59" s="499"/>
    </row>
    <row r="60" spans="1:30" ht="81" customHeight="1">
      <c r="A60" s="498"/>
      <c r="B60" s="539">
        <v>43</v>
      </c>
      <c r="C60" s="496" t="s">
        <v>1483</v>
      </c>
      <c r="D60" s="574" t="s">
        <v>1483</v>
      </c>
      <c r="E60" s="496" t="s">
        <v>1483</v>
      </c>
      <c r="F60" s="496" t="s">
        <v>1483</v>
      </c>
      <c r="G60" s="496"/>
      <c r="H60" s="534"/>
      <c r="I60" s="607" t="str">
        <f t="shared" si="7"/>
        <v>6</v>
      </c>
      <c r="J60" s="607" t="str">
        <f t="shared" si="8"/>
        <v>Годовая бухгалтерская (финансовая) отчетность, включая бухгалтерский баланс и приложения к нему</v>
      </c>
      <c r="K60" s="607" t="str">
        <f t="shared" si="9"/>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497" t="str">
        <f t="shared" si="10"/>
        <v>6</v>
      </c>
      <c r="M60" s="497" t="str">
        <f t="shared" si="11"/>
        <v>Годовая бухгалтерская (финансовая) отчетность, включая бухгалтерский баланс и приложения к нему</v>
      </c>
      <c r="N60" s="497" t="str">
        <f t="shared" si="12"/>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564" t="s">
        <v>92</v>
      </c>
      <c r="P60" s="564" t="s">
        <v>92</v>
      </c>
      <c r="Q60" s="564" t="s">
        <v>92</v>
      </c>
      <c r="R60" s="564" t="s">
        <v>92</v>
      </c>
      <c r="S60" s="564"/>
      <c r="T60" s="496" t="s">
        <v>1484</v>
      </c>
      <c r="U60" s="496" t="s">
        <v>1484</v>
      </c>
      <c r="V60" s="496" t="s">
        <v>1484</v>
      </c>
      <c r="W60" s="496" t="s">
        <v>1484</v>
      </c>
      <c r="X60" s="496"/>
      <c r="Y60" s="604"/>
      <c r="Z60" s="499" t="s">
        <v>1485</v>
      </c>
      <c r="AA60" s="502" t="s">
        <v>1486</v>
      </c>
      <c r="AB60" s="499" t="s">
        <v>1487</v>
      </c>
      <c r="AC60" s="499" t="s">
        <v>1486</v>
      </c>
      <c r="AD60" s="499"/>
    </row>
    <row r="61" spans="1:30" ht="9" customHeight="1">
      <c r="A61" s="498"/>
      <c r="B61" s="539">
        <v>44</v>
      </c>
      <c r="C61" s="496"/>
      <c r="D61" s="574" t="s">
        <v>1488</v>
      </c>
      <c r="E61" s="496"/>
      <c r="F61" s="496"/>
      <c r="G61" s="496"/>
      <c r="H61" s="534"/>
      <c r="I61" s="607" t="str">
        <f t="shared" si="7"/>
        <v>7</v>
      </c>
      <c r="J61" s="607" t="str">
        <f t="shared" si="8"/>
        <v>Объём поднятой воды</v>
      </c>
      <c r="K61" s="607">
        <f t="shared" si="9"/>
        <v>0</v>
      </c>
      <c r="L61" s="497" t="str">
        <f t="shared" si="10"/>
        <v>7</v>
      </c>
      <c r="M61" s="497" t="str">
        <f t="shared" si="11"/>
        <v>Объём поднятой воды</v>
      </c>
      <c r="N61" s="497" t="str">
        <f t="shared" si="12"/>
        <v/>
      </c>
      <c r="O61" s="564"/>
      <c r="P61" s="564" t="s">
        <v>93</v>
      </c>
      <c r="Q61" s="564"/>
      <c r="R61" s="564"/>
      <c r="S61" s="564"/>
      <c r="T61" s="496"/>
      <c r="U61" s="496" t="s">
        <v>1489</v>
      </c>
      <c r="V61" s="496"/>
      <c r="W61" s="496"/>
      <c r="X61" s="496"/>
      <c r="Y61" s="604"/>
      <c r="Z61" s="499"/>
      <c r="AA61" s="502"/>
      <c r="AB61" s="499"/>
      <c r="AC61" s="499"/>
      <c r="AD61" s="499"/>
    </row>
    <row r="62" spans="1:30" ht="9" customHeight="1">
      <c r="A62" s="498"/>
      <c r="B62" s="539">
        <v>45</v>
      </c>
      <c r="C62" s="496"/>
      <c r="D62" s="574" t="s">
        <v>1490</v>
      </c>
      <c r="E62" s="496"/>
      <c r="F62" s="496"/>
      <c r="G62" s="496"/>
      <c r="H62" s="534"/>
      <c r="I62" s="607" t="str">
        <f t="shared" si="7"/>
        <v>8</v>
      </c>
      <c r="J62" s="607" t="str">
        <f t="shared" si="8"/>
        <v>Объём покупной воды</v>
      </c>
      <c r="K62" s="607">
        <f t="shared" si="9"/>
        <v>0</v>
      </c>
      <c r="L62" s="497" t="str">
        <f t="shared" si="10"/>
        <v>8</v>
      </c>
      <c r="M62" s="497" t="str">
        <f t="shared" si="11"/>
        <v>Объём покупной воды</v>
      </c>
      <c r="N62" s="497" t="str">
        <f t="shared" si="12"/>
        <v/>
      </c>
      <c r="O62" s="564"/>
      <c r="P62" s="564" t="s">
        <v>113</v>
      </c>
      <c r="Q62" s="564"/>
      <c r="R62" s="564"/>
      <c r="S62" s="564"/>
      <c r="T62" s="496"/>
      <c r="U62" s="496" t="s">
        <v>1491</v>
      </c>
      <c r="V62" s="496"/>
      <c r="W62" s="496"/>
      <c r="X62" s="496"/>
      <c r="Y62" s="604"/>
      <c r="Z62" s="499"/>
      <c r="AA62" s="502"/>
      <c r="AB62" s="499"/>
      <c r="AC62" s="499"/>
      <c r="AD62" s="499"/>
    </row>
    <row r="63" spans="1:30" ht="18" customHeight="1">
      <c r="A63" s="498"/>
      <c r="B63" s="539">
        <v>46</v>
      </c>
      <c r="C63" s="496"/>
      <c r="D63" s="574" t="s">
        <v>1492</v>
      </c>
      <c r="E63" s="496"/>
      <c r="F63" s="496"/>
      <c r="G63" s="496"/>
      <c r="H63" s="534"/>
      <c r="I63" s="607" t="str">
        <f t="shared" si="7"/>
        <v>9</v>
      </c>
      <c r="J63" s="607" t="str">
        <f t="shared" si="8"/>
        <v>Объём воды, пропущенной через очистные сооружения</v>
      </c>
      <c r="K63" s="607">
        <f t="shared" si="9"/>
        <v>0</v>
      </c>
      <c r="L63" s="497" t="str">
        <f t="shared" si="10"/>
        <v>9</v>
      </c>
      <c r="M63" s="497" t="str">
        <f t="shared" si="11"/>
        <v>Объём воды, пропущенной через очистные сооружения</v>
      </c>
      <c r="N63" s="497" t="str">
        <f t="shared" si="12"/>
        <v/>
      </c>
      <c r="O63" s="564"/>
      <c r="P63" s="564" t="s">
        <v>150</v>
      </c>
      <c r="Q63" s="564"/>
      <c r="R63" s="564"/>
      <c r="S63" s="564"/>
      <c r="T63" s="496"/>
      <c r="U63" s="496" t="s">
        <v>1493</v>
      </c>
      <c r="V63" s="496"/>
      <c r="W63" s="496"/>
      <c r="X63" s="496"/>
      <c r="Y63" s="604"/>
      <c r="Z63" s="499"/>
      <c r="AA63" s="502"/>
      <c r="AB63" s="499"/>
      <c r="AC63" s="499"/>
      <c r="AD63" s="499"/>
    </row>
    <row r="64" spans="1:30" ht="18" customHeight="1">
      <c r="A64" s="498"/>
      <c r="B64" s="539">
        <v>47</v>
      </c>
      <c r="C64" s="496"/>
      <c r="D64" s="574" t="s">
        <v>1494</v>
      </c>
      <c r="E64" s="496"/>
      <c r="F64" s="496"/>
      <c r="G64" s="496"/>
      <c r="H64" s="534"/>
      <c r="I64" s="607" t="str">
        <f t="shared" si="7"/>
        <v>10</v>
      </c>
      <c r="J64" s="607" t="str">
        <f t="shared" si="8"/>
        <v>Объём отпущенной потребителям воды, в том числе:</v>
      </c>
      <c r="K64" s="607" t="str">
        <f t="shared" si="9"/>
        <v>Указывается общий объем отпущенной потребителям воды.</v>
      </c>
      <c r="L64" s="497" t="str">
        <f t="shared" si="10"/>
        <v>10</v>
      </c>
      <c r="M64" s="497" t="str">
        <f t="shared" si="11"/>
        <v>Объём отпущенной потребителям воды, в том числе:</v>
      </c>
      <c r="N64" s="497" t="str">
        <f t="shared" si="12"/>
        <v>Указывается общий объем отпущенной потребителям воды.</v>
      </c>
      <c r="O64" s="564"/>
      <c r="P64" s="564" t="s">
        <v>151</v>
      </c>
      <c r="Q64" s="564"/>
      <c r="R64" s="564"/>
      <c r="S64" s="564"/>
      <c r="T64" s="496"/>
      <c r="U64" s="496" t="s">
        <v>1495</v>
      </c>
      <c r="V64" s="496"/>
      <c r="W64" s="496"/>
      <c r="X64" s="496"/>
      <c r="Y64" s="604"/>
      <c r="Z64" s="499"/>
      <c r="AA64" s="502" t="s">
        <v>1496</v>
      </c>
      <c r="AB64" s="499"/>
      <c r="AC64" s="499"/>
      <c r="AD64" s="499"/>
    </row>
    <row r="65" spans="1:30" ht="18" customHeight="1">
      <c r="A65" s="498"/>
      <c r="B65" s="539">
        <v>48</v>
      </c>
      <c r="C65" s="496"/>
      <c r="D65" s="574"/>
      <c r="E65" s="496"/>
      <c r="F65" s="496"/>
      <c r="G65" s="496"/>
      <c r="H65" s="534"/>
      <c r="I65" s="607" t="str">
        <f t="shared" si="7"/>
        <v>10.1</v>
      </c>
      <c r="J65" s="607" t="str">
        <f t="shared" si="8"/>
        <v>Объём отпущенной потребителям воды, определенный по приборам учета</v>
      </c>
      <c r="K65" s="607">
        <f t="shared" si="9"/>
        <v>0</v>
      </c>
      <c r="L65" s="497" t="str">
        <f t="shared" si="10"/>
        <v>10.1</v>
      </c>
      <c r="M65" s="497" t="str">
        <f t="shared" si="11"/>
        <v>Объём отпущенной потребителям воды, определенный по приборам учета</v>
      </c>
      <c r="N65" s="497" t="str">
        <f t="shared" si="12"/>
        <v/>
      </c>
      <c r="O65" s="564"/>
      <c r="P65" s="564" t="s">
        <v>1393</v>
      </c>
      <c r="Q65" s="564"/>
      <c r="R65" s="564"/>
      <c r="S65" s="564"/>
      <c r="T65" s="496"/>
      <c r="U65" s="496" t="s">
        <v>1497</v>
      </c>
      <c r="V65" s="496"/>
      <c r="W65" s="496"/>
      <c r="X65" s="496"/>
      <c r="Y65" s="604"/>
      <c r="Z65" s="499"/>
      <c r="AA65" s="502"/>
      <c r="AB65" s="499"/>
      <c r="AC65" s="499"/>
      <c r="AD65" s="499"/>
    </row>
    <row r="66" spans="1:30" ht="18" customHeight="1">
      <c r="A66" s="498"/>
      <c r="B66" s="539">
        <v>49</v>
      </c>
      <c r="C66" s="496"/>
      <c r="D66" s="574"/>
      <c r="E66" s="496"/>
      <c r="F66" s="496"/>
      <c r="G66" s="496"/>
      <c r="H66" s="534"/>
      <c r="I66" s="607" t="str">
        <f t="shared" si="7"/>
        <v>10.2</v>
      </c>
      <c r="J66" s="607" t="str">
        <f t="shared" si="8"/>
        <v>Объём отпущенной потребителям воды, определенный расчетным способом</v>
      </c>
      <c r="K66" s="607">
        <f t="shared" si="9"/>
        <v>0</v>
      </c>
      <c r="L66" s="497" t="str">
        <f t="shared" si="10"/>
        <v>10.2</v>
      </c>
      <c r="M66" s="497" t="str">
        <f t="shared" si="11"/>
        <v>Объём отпущенной потребителям воды, определенный расчетным способом</v>
      </c>
      <c r="N66" s="497" t="str">
        <f t="shared" si="12"/>
        <v/>
      </c>
      <c r="O66" s="564"/>
      <c r="P66" s="564" t="s">
        <v>1397</v>
      </c>
      <c r="Q66" s="564"/>
      <c r="R66" s="564"/>
      <c r="S66" s="564"/>
      <c r="T66" s="496"/>
      <c r="U66" s="496" t="s">
        <v>1498</v>
      </c>
      <c r="V66" s="496"/>
      <c r="W66" s="496"/>
      <c r="X66" s="496"/>
      <c r="Y66" s="604"/>
      <c r="Z66" s="499"/>
      <c r="AA66" s="502"/>
      <c r="AB66" s="499"/>
      <c r="AC66" s="499"/>
      <c r="AD66" s="499"/>
    </row>
    <row r="67" spans="1:30" ht="27" customHeight="1">
      <c r="A67" s="498"/>
      <c r="B67" s="539">
        <v>50</v>
      </c>
      <c r="C67" s="496"/>
      <c r="D67" s="574"/>
      <c r="E67" s="496"/>
      <c r="F67" s="496"/>
      <c r="G67" s="496"/>
      <c r="H67" s="534"/>
      <c r="I67" s="607" t="str">
        <f t="shared" si="7"/>
        <v>10.2.1</v>
      </c>
      <c r="J67" s="607" t="str">
        <f t="shared" si="8"/>
        <v>Объём отпущенной потребителям воды, определенный по нормативам потребления коммунальных услуг</v>
      </c>
      <c r="K67" s="607">
        <f t="shared" si="9"/>
        <v>0</v>
      </c>
      <c r="L67" s="497" t="str">
        <f t="shared" si="10"/>
        <v>10.2.1</v>
      </c>
      <c r="M67" s="497" t="str">
        <f t="shared" si="11"/>
        <v>Объём отпущенной потребителям воды, определенный по нормативам потребления коммунальных услуг</v>
      </c>
      <c r="N67" s="497" t="str">
        <f t="shared" si="12"/>
        <v/>
      </c>
      <c r="O67" s="564"/>
      <c r="P67" s="564" t="s">
        <v>1499</v>
      </c>
      <c r="Q67" s="564"/>
      <c r="R67" s="564"/>
      <c r="S67" s="564"/>
      <c r="T67" s="496"/>
      <c r="U67" s="496" t="s">
        <v>1500</v>
      </c>
      <c r="V67" s="496"/>
      <c r="W67" s="496"/>
      <c r="X67" s="496"/>
      <c r="Y67" s="604"/>
      <c r="Z67" s="499"/>
      <c r="AA67" s="502"/>
      <c r="AB67" s="499"/>
      <c r="AC67" s="499"/>
      <c r="AD67" s="499"/>
    </row>
    <row r="68" spans="1:30" ht="27" customHeight="1">
      <c r="A68" s="498"/>
      <c r="B68" s="539">
        <v>51</v>
      </c>
      <c r="C68" s="496"/>
      <c r="D68" s="574"/>
      <c r="E68" s="496"/>
      <c r="F68" s="496"/>
      <c r="G68" s="496"/>
      <c r="H68" s="534"/>
      <c r="I68" s="607" t="str">
        <f t="shared" si="7"/>
        <v>10.2.2</v>
      </c>
      <c r="J68" s="607" t="str">
        <f t="shared" si="8"/>
        <v xml:space="preserve">Объём отпущенной потребителям воды, определенный по нормативам потребления коммунальных ресурсов </v>
      </c>
      <c r="K68" s="607">
        <f t="shared" si="9"/>
        <v>0</v>
      </c>
      <c r="L68" s="497" t="str">
        <f t="shared" si="10"/>
        <v>10.2.2</v>
      </c>
      <c r="M68" s="497" t="str">
        <f t="shared" si="11"/>
        <v xml:space="preserve">Объём отпущенной потребителям воды, определенный по нормативам потребления коммунальных ресурсов </v>
      </c>
      <c r="N68" s="497" t="str">
        <f t="shared" si="12"/>
        <v/>
      </c>
      <c r="O68" s="564"/>
      <c r="P68" s="564" t="s">
        <v>1501</v>
      </c>
      <c r="Q68" s="564"/>
      <c r="R68" s="564"/>
      <c r="S68" s="564"/>
      <c r="T68" s="496"/>
      <c r="U68" s="496" t="s">
        <v>1502</v>
      </c>
      <c r="V68" s="496"/>
      <c r="W68" s="496"/>
      <c r="X68" s="496"/>
      <c r="Y68" s="604"/>
      <c r="Z68" s="499"/>
      <c r="AA68" s="502"/>
      <c r="AB68" s="499"/>
      <c r="AC68" s="499"/>
      <c r="AD68" s="499"/>
    </row>
    <row r="69" spans="1:30" ht="9" customHeight="1">
      <c r="A69" s="498"/>
      <c r="B69" s="539">
        <v>52</v>
      </c>
      <c r="C69" s="496"/>
      <c r="D69" s="574" t="s">
        <v>1503</v>
      </c>
      <c r="E69" s="496"/>
      <c r="F69" s="496"/>
      <c r="G69" s="496"/>
      <c r="H69" s="534"/>
      <c r="I69" s="607" t="str">
        <f t="shared" si="7"/>
        <v>11</v>
      </c>
      <c r="J69" s="607" t="str">
        <f t="shared" si="8"/>
        <v>Потери воды в сетях</v>
      </c>
      <c r="K69" s="607">
        <f t="shared" si="9"/>
        <v>0</v>
      </c>
      <c r="L69" s="497" t="str">
        <f t="shared" si="10"/>
        <v>11</v>
      </c>
      <c r="M69" s="497" t="str">
        <f t="shared" si="11"/>
        <v>Потери воды в сетях</v>
      </c>
      <c r="N69" s="497" t="str">
        <f t="shared" si="12"/>
        <v/>
      </c>
      <c r="O69" s="564"/>
      <c r="P69" s="564" t="s">
        <v>152</v>
      </c>
      <c r="Q69" s="564"/>
      <c r="R69" s="564"/>
      <c r="S69" s="564"/>
      <c r="T69" s="496"/>
      <c r="U69" s="496" t="s">
        <v>1504</v>
      </c>
      <c r="V69" s="496"/>
      <c r="W69" s="496"/>
      <c r="X69" s="496"/>
      <c r="Y69" s="604"/>
      <c r="Z69" s="499"/>
      <c r="AA69" s="502"/>
      <c r="AB69" s="499"/>
      <c r="AC69" s="499"/>
      <c r="AD69" s="499"/>
    </row>
    <row r="70" spans="1:30" ht="27" customHeight="1">
      <c r="A70" s="498"/>
      <c r="B70" s="539">
        <v>53</v>
      </c>
      <c r="C70" s="496"/>
      <c r="D70" s="574"/>
      <c r="E70" s="496" t="s">
        <v>1488</v>
      </c>
      <c r="F70" s="496"/>
      <c r="G70" s="496"/>
      <c r="H70" s="534"/>
      <c r="I70" s="607">
        <f t="shared" si="7"/>
        <v>0</v>
      </c>
      <c r="J70" s="607">
        <f t="shared" si="8"/>
        <v>0</v>
      </c>
      <c r="K70" s="607">
        <f t="shared" si="9"/>
        <v>0</v>
      </c>
      <c r="L70" s="497" t="str">
        <f t="shared" si="10"/>
        <v/>
      </c>
      <c r="M70" s="497" t="str">
        <f t="shared" si="11"/>
        <v/>
      </c>
      <c r="N70" s="497" t="str">
        <f t="shared" si="12"/>
        <v/>
      </c>
      <c r="O70" s="564"/>
      <c r="P70" s="564"/>
      <c r="Q70" s="564" t="s">
        <v>93</v>
      </c>
      <c r="R70" s="564"/>
      <c r="S70" s="564"/>
      <c r="T70" s="496"/>
      <c r="U70" s="496"/>
      <c r="V70" s="496" t="s">
        <v>1505</v>
      </c>
      <c r="W70" s="496"/>
      <c r="X70" s="496"/>
      <c r="Y70" s="604"/>
      <c r="Z70" s="499"/>
      <c r="AA70" s="502"/>
      <c r="AB70" s="499"/>
      <c r="AC70" s="499"/>
      <c r="AD70" s="499"/>
    </row>
    <row r="71" spans="1:30" ht="36" customHeight="1">
      <c r="A71" s="498"/>
      <c r="B71" s="539">
        <v>54</v>
      </c>
      <c r="C71" s="496"/>
      <c r="D71" s="574"/>
      <c r="E71" s="496" t="s">
        <v>1490</v>
      </c>
      <c r="F71" s="496"/>
      <c r="G71" s="496"/>
      <c r="H71" s="534"/>
      <c r="I71" s="607">
        <f t="shared" si="7"/>
        <v>0</v>
      </c>
      <c r="J71" s="607">
        <f t="shared" si="8"/>
        <v>0</v>
      </c>
      <c r="K71" s="607">
        <f t="shared" si="9"/>
        <v>0</v>
      </c>
      <c r="L71" s="497" t="str">
        <f t="shared" si="10"/>
        <v/>
      </c>
      <c r="M71" s="497" t="str">
        <f t="shared" si="11"/>
        <v/>
      </c>
      <c r="N71" s="497" t="str">
        <f t="shared" si="12"/>
        <v/>
      </c>
      <c r="O71" s="564"/>
      <c r="P71" s="564"/>
      <c r="Q71" s="564" t="s">
        <v>113</v>
      </c>
      <c r="R71" s="564"/>
      <c r="S71" s="564"/>
      <c r="T71" s="496"/>
      <c r="U71" s="496"/>
      <c r="V71" s="496" t="s">
        <v>1506</v>
      </c>
      <c r="W71" s="496"/>
      <c r="X71" s="496"/>
      <c r="Y71" s="604"/>
      <c r="Z71" s="499"/>
      <c r="AA71" s="502"/>
      <c r="AB71" s="499"/>
      <c r="AC71" s="499"/>
      <c r="AD71" s="499"/>
    </row>
    <row r="72" spans="1:30" ht="27" customHeight="1">
      <c r="A72" s="498"/>
      <c r="B72" s="539">
        <v>55</v>
      </c>
      <c r="C72" s="496"/>
      <c r="D72" s="574"/>
      <c r="E72" s="496" t="s">
        <v>1492</v>
      </c>
      <c r="F72" s="496"/>
      <c r="G72" s="496"/>
      <c r="H72" s="534"/>
      <c r="I72" s="607">
        <f t="shared" si="7"/>
        <v>0</v>
      </c>
      <c r="J72" s="607">
        <f t="shared" si="8"/>
        <v>0</v>
      </c>
      <c r="K72" s="607">
        <f t="shared" si="9"/>
        <v>0</v>
      </c>
      <c r="L72" s="497" t="str">
        <f t="shared" si="10"/>
        <v/>
      </c>
      <c r="M72" s="497" t="str">
        <f t="shared" si="11"/>
        <v/>
      </c>
      <c r="N72" s="497" t="str">
        <f t="shared" si="12"/>
        <v/>
      </c>
      <c r="O72" s="564"/>
      <c r="P72" s="564"/>
      <c r="Q72" s="564" t="s">
        <v>150</v>
      </c>
      <c r="R72" s="564"/>
      <c r="S72" s="564"/>
      <c r="T72" s="496"/>
      <c r="U72" s="496"/>
      <c r="V72" s="496" t="s">
        <v>1507</v>
      </c>
      <c r="W72" s="496"/>
      <c r="X72" s="496"/>
      <c r="Y72" s="604"/>
      <c r="Z72" s="499"/>
      <c r="AA72" s="502"/>
      <c r="AB72" s="499"/>
      <c r="AC72" s="499"/>
      <c r="AD72" s="499"/>
    </row>
    <row r="73" spans="1:30" ht="36" customHeight="1">
      <c r="A73" s="498"/>
      <c r="B73" s="539">
        <v>56</v>
      </c>
      <c r="C73" s="496"/>
      <c r="D73" s="574"/>
      <c r="E73" s="496" t="s">
        <v>1494</v>
      </c>
      <c r="F73" s="496"/>
      <c r="G73" s="496"/>
      <c r="H73" s="534"/>
      <c r="I73" s="607">
        <f t="shared" si="7"/>
        <v>0</v>
      </c>
      <c r="J73" s="607">
        <f t="shared" si="8"/>
        <v>0</v>
      </c>
      <c r="K73" s="607">
        <f t="shared" si="9"/>
        <v>0</v>
      </c>
      <c r="L73" s="497" t="str">
        <f t="shared" si="10"/>
        <v/>
      </c>
      <c r="M73" s="497" t="str">
        <f t="shared" si="11"/>
        <v/>
      </c>
      <c r="N73" s="497" t="str">
        <f t="shared" si="12"/>
        <v/>
      </c>
      <c r="O73" s="564"/>
      <c r="P73" s="564"/>
      <c r="Q73" s="564" t="s">
        <v>151</v>
      </c>
      <c r="R73" s="564"/>
      <c r="S73" s="564"/>
      <c r="T73" s="496"/>
      <c r="U73" s="496"/>
      <c r="V73" s="496" t="s">
        <v>1508</v>
      </c>
      <c r="W73" s="496"/>
      <c r="X73" s="496"/>
      <c r="Y73" s="604"/>
      <c r="Z73" s="499"/>
      <c r="AA73" s="502"/>
      <c r="AB73" s="499"/>
      <c r="AC73" s="499"/>
      <c r="AD73" s="499"/>
    </row>
    <row r="74" spans="1:30" ht="18" customHeight="1">
      <c r="A74" s="498"/>
      <c r="B74" s="539">
        <v>57</v>
      </c>
      <c r="C74" s="496"/>
      <c r="D74" s="574"/>
      <c r="E74" s="496" t="s">
        <v>1503</v>
      </c>
      <c r="F74" s="496"/>
      <c r="G74" s="496"/>
      <c r="H74" s="534"/>
      <c r="I74" s="607">
        <f t="shared" si="7"/>
        <v>0</v>
      </c>
      <c r="J74" s="607">
        <f t="shared" si="8"/>
        <v>0</v>
      </c>
      <c r="K74" s="607">
        <f t="shared" si="9"/>
        <v>0</v>
      </c>
      <c r="L74" s="497" t="str">
        <f t="shared" si="10"/>
        <v/>
      </c>
      <c r="M74" s="497" t="str">
        <f t="shared" si="11"/>
        <v/>
      </c>
      <c r="N74" s="497" t="str">
        <f t="shared" si="12"/>
        <v/>
      </c>
      <c r="O74" s="564"/>
      <c r="P74" s="564"/>
      <c r="Q74" s="564" t="s">
        <v>152</v>
      </c>
      <c r="R74" s="564"/>
      <c r="S74" s="564"/>
      <c r="T74" s="496"/>
      <c r="U74" s="496"/>
      <c r="V74" s="496" t="s">
        <v>1509</v>
      </c>
      <c r="W74" s="496"/>
      <c r="X74" s="496"/>
      <c r="Y74" s="604"/>
      <c r="Z74" s="499"/>
      <c r="AA74" s="502"/>
      <c r="AB74" s="499"/>
      <c r="AC74" s="499"/>
      <c r="AD74" s="499"/>
    </row>
    <row r="75" spans="1:30" ht="18" customHeight="1">
      <c r="A75" s="498"/>
      <c r="B75" s="539">
        <v>58</v>
      </c>
      <c r="C75" s="496"/>
      <c r="D75" s="574"/>
      <c r="E75" s="496"/>
      <c r="F75" s="496" t="s">
        <v>1488</v>
      </c>
      <c r="G75" s="496"/>
      <c r="H75" s="534"/>
      <c r="I75" s="607">
        <f t="shared" si="7"/>
        <v>0</v>
      </c>
      <c r="J75" s="607">
        <f t="shared" si="8"/>
        <v>0</v>
      </c>
      <c r="K75" s="607">
        <f t="shared" si="9"/>
        <v>0</v>
      </c>
      <c r="L75" s="497" t="str">
        <f t="shared" si="10"/>
        <v/>
      </c>
      <c r="M75" s="497" t="str">
        <f t="shared" si="11"/>
        <v/>
      </c>
      <c r="N75" s="497" t="str">
        <f t="shared" si="12"/>
        <v/>
      </c>
      <c r="O75" s="564"/>
      <c r="P75" s="564"/>
      <c r="Q75" s="564"/>
      <c r="R75" s="564" t="s">
        <v>93</v>
      </c>
      <c r="S75" s="564"/>
      <c r="T75" s="496"/>
      <c r="U75" s="496"/>
      <c r="V75" s="496"/>
      <c r="W75" s="496" t="s">
        <v>1510</v>
      </c>
      <c r="X75" s="496"/>
      <c r="Y75" s="604"/>
      <c r="Z75" s="499"/>
      <c r="AA75" s="502"/>
      <c r="AB75" s="499"/>
      <c r="AC75" s="499"/>
      <c r="AD75" s="499"/>
    </row>
    <row r="76" spans="1:30" ht="36" customHeight="1">
      <c r="A76" s="498"/>
      <c r="B76" s="539">
        <v>59</v>
      </c>
      <c r="C76" s="496"/>
      <c r="D76" s="574"/>
      <c r="E76" s="496"/>
      <c r="F76" s="496" t="s">
        <v>1490</v>
      </c>
      <c r="G76" s="496"/>
      <c r="H76" s="534"/>
      <c r="I76" s="607">
        <f t="shared" si="7"/>
        <v>0</v>
      </c>
      <c r="J76" s="607">
        <f t="shared" si="8"/>
        <v>0</v>
      </c>
      <c r="K76" s="607">
        <f t="shared" si="9"/>
        <v>0</v>
      </c>
      <c r="L76" s="497" t="str">
        <f t="shared" si="10"/>
        <v/>
      </c>
      <c r="M76" s="497" t="str">
        <f t="shared" si="11"/>
        <v/>
      </c>
      <c r="N76" s="497" t="str">
        <f t="shared" si="12"/>
        <v/>
      </c>
      <c r="O76" s="564"/>
      <c r="P76" s="564"/>
      <c r="Q76" s="564"/>
      <c r="R76" s="564" t="s">
        <v>113</v>
      </c>
      <c r="S76" s="564"/>
      <c r="T76" s="496"/>
      <c r="U76" s="496"/>
      <c r="V76" s="496"/>
      <c r="W76" s="496" t="s">
        <v>1511</v>
      </c>
      <c r="X76" s="496"/>
      <c r="Y76" s="604"/>
      <c r="Z76" s="499"/>
      <c r="AA76" s="502"/>
      <c r="AB76" s="499"/>
      <c r="AC76" s="499"/>
      <c r="AD76" s="499"/>
    </row>
    <row r="77" spans="1:30" ht="18" customHeight="1">
      <c r="A77" s="498"/>
      <c r="B77" s="539">
        <v>60</v>
      </c>
      <c r="C77" s="496"/>
      <c r="D77" s="574"/>
      <c r="E77" s="496"/>
      <c r="F77" s="496" t="s">
        <v>1492</v>
      </c>
      <c r="G77" s="496"/>
      <c r="H77" s="534"/>
      <c r="I77" s="607">
        <f t="shared" si="7"/>
        <v>0</v>
      </c>
      <c r="J77" s="607">
        <f t="shared" si="8"/>
        <v>0</v>
      </c>
      <c r="K77" s="607">
        <f t="shared" si="9"/>
        <v>0</v>
      </c>
      <c r="L77" s="497" t="str">
        <f t="shared" si="10"/>
        <v/>
      </c>
      <c r="M77" s="497" t="str">
        <f t="shared" si="11"/>
        <v/>
      </c>
      <c r="N77" s="497" t="str">
        <f t="shared" si="12"/>
        <v/>
      </c>
      <c r="O77" s="564"/>
      <c r="P77" s="564"/>
      <c r="Q77" s="564"/>
      <c r="R77" s="564" t="s">
        <v>150</v>
      </c>
      <c r="S77" s="564"/>
      <c r="T77" s="496"/>
      <c r="U77" s="496"/>
      <c r="V77" s="496"/>
      <c r="W77" s="496" t="s">
        <v>1512</v>
      </c>
      <c r="X77" s="496"/>
      <c r="Y77" s="604"/>
      <c r="Z77" s="499"/>
      <c r="AA77" s="502"/>
      <c r="AB77" s="499"/>
      <c r="AC77" s="499"/>
      <c r="AD77" s="499"/>
    </row>
    <row r="78" spans="1:30" ht="72" customHeight="1">
      <c r="A78" s="498"/>
      <c r="B78" s="539">
        <v>61</v>
      </c>
      <c r="C78" s="496" t="s">
        <v>1488</v>
      </c>
      <c r="D78" s="574"/>
      <c r="E78" s="496"/>
      <c r="F78" s="496"/>
      <c r="G78" s="496"/>
      <c r="H78" s="534"/>
      <c r="I78" s="607">
        <f t="shared" si="7"/>
        <v>0</v>
      </c>
      <c r="J78" s="607">
        <f t="shared" si="8"/>
        <v>0</v>
      </c>
      <c r="K78" s="607">
        <f t="shared" si="9"/>
        <v>0</v>
      </c>
      <c r="L78" s="497" t="str">
        <f t="shared" si="10"/>
        <v/>
      </c>
      <c r="M78" s="497" t="str">
        <f t="shared" si="11"/>
        <v/>
      </c>
      <c r="N78" s="497" t="str">
        <f t="shared" si="12"/>
        <v/>
      </c>
      <c r="O78" s="564" t="s">
        <v>93</v>
      </c>
      <c r="P78" s="564"/>
      <c r="Q78" s="564"/>
      <c r="R78" s="564"/>
      <c r="S78" s="564"/>
      <c r="T78" s="496" t="s">
        <v>1513</v>
      </c>
      <c r="U78" s="496"/>
      <c r="V78" s="496"/>
      <c r="W78" s="496"/>
      <c r="X78" s="496"/>
      <c r="Y78" s="604"/>
      <c r="Z78" s="499" t="s">
        <v>1514</v>
      </c>
      <c r="AA78" s="502"/>
      <c r="AB78" s="499"/>
      <c r="AC78" s="499"/>
      <c r="AD78" s="499"/>
    </row>
    <row r="79" spans="1:30" ht="36" customHeight="1">
      <c r="A79" s="498"/>
      <c r="B79" s="539">
        <v>62</v>
      </c>
      <c r="C79" s="496" t="s">
        <v>1490</v>
      </c>
      <c r="D79" s="574"/>
      <c r="E79" s="496"/>
      <c r="F79" s="496"/>
      <c r="G79" s="496"/>
      <c r="H79" s="534"/>
      <c r="I79" s="607">
        <f t="shared" si="7"/>
        <v>0</v>
      </c>
      <c r="J79" s="607">
        <f t="shared" si="8"/>
        <v>0</v>
      </c>
      <c r="K79" s="607">
        <f t="shared" si="9"/>
        <v>0</v>
      </c>
      <c r="L79" s="497" t="str">
        <f t="shared" si="10"/>
        <v/>
      </c>
      <c r="M79" s="497" t="str">
        <f t="shared" si="11"/>
        <v/>
      </c>
      <c r="N79" s="497" t="str">
        <f t="shared" si="12"/>
        <v/>
      </c>
      <c r="O79" s="564" t="s">
        <v>113</v>
      </c>
      <c r="P79" s="564"/>
      <c r="Q79" s="564"/>
      <c r="R79" s="564"/>
      <c r="S79" s="564"/>
      <c r="T79" s="496" t="s">
        <v>1515</v>
      </c>
      <c r="U79" s="496"/>
      <c r="V79" s="496"/>
      <c r="W79" s="496"/>
      <c r="X79" s="496"/>
      <c r="Y79" s="604"/>
      <c r="Z79" s="499" t="s">
        <v>1516</v>
      </c>
      <c r="AA79" s="502"/>
      <c r="AB79" s="499"/>
      <c r="AC79" s="499"/>
      <c r="AD79" s="499"/>
    </row>
    <row r="80" spans="1:30" ht="45" customHeight="1">
      <c r="A80" s="498"/>
      <c r="B80" s="539">
        <v>63</v>
      </c>
      <c r="C80" s="496" t="s">
        <v>1492</v>
      </c>
      <c r="D80" s="574"/>
      <c r="E80" s="496"/>
      <c r="F80" s="496"/>
      <c r="G80" s="496"/>
      <c r="H80" s="534"/>
      <c r="I80" s="607">
        <f t="shared" si="7"/>
        <v>0</v>
      </c>
      <c r="J80" s="607">
        <f t="shared" si="8"/>
        <v>0</v>
      </c>
      <c r="K80" s="607">
        <f t="shared" si="9"/>
        <v>0</v>
      </c>
      <c r="L80" s="497" t="str">
        <f t="shared" si="10"/>
        <v/>
      </c>
      <c r="M80" s="497" t="str">
        <f t="shared" si="11"/>
        <v/>
      </c>
      <c r="N80" s="497" t="str">
        <f t="shared" si="12"/>
        <v/>
      </c>
      <c r="O80" s="564" t="s">
        <v>150</v>
      </c>
      <c r="P80" s="564"/>
      <c r="Q80" s="564"/>
      <c r="R80" s="564"/>
      <c r="S80" s="564"/>
      <c r="T80" s="496" t="s">
        <v>1517</v>
      </c>
      <c r="U80" s="496"/>
      <c r="V80" s="496"/>
      <c r="W80" s="496"/>
      <c r="X80" s="496"/>
      <c r="Y80" s="604"/>
      <c r="Z80" s="499" t="s">
        <v>1518</v>
      </c>
      <c r="AA80" s="502"/>
      <c r="AB80" s="499"/>
      <c r="AC80" s="499"/>
      <c r="AD80" s="499"/>
    </row>
    <row r="81" spans="1:30" ht="36" customHeight="1">
      <c r="A81" s="498"/>
      <c r="B81" s="539">
        <v>64</v>
      </c>
      <c r="C81" s="496" t="s">
        <v>1494</v>
      </c>
      <c r="D81" s="574"/>
      <c r="E81" s="496"/>
      <c r="F81" s="496"/>
      <c r="G81" s="496"/>
      <c r="H81" s="534"/>
      <c r="I81" s="607">
        <f t="shared" si="7"/>
        <v>0</v>
      </c>
      <c r="J81" s="607">
        <f t="shared" si="8"/>
        <v>0</v>
      </c>
      <c r="K81" s="607">
        <f t="shared" si="9"/>
        <v>0</v>
      </c>
      <c r="L81" s="497" t="str">
        <f t="shared" si="10"/>
        <v/>
      </c>
      <c r="M81" s="497" t="str">
        <f t="shared" si="11"/>
        <v/>
      </c>
      <c r="N81" s="497" t="str">
        <f t="shared" si="12"/>
        <v/>
      </c>
      <c r="O81" s="564" t="s">
        <v>1381</v>
      </c>
      <c r="P81" s="564"/>
      <c r="Q81" s="564"/>
      <c r="R81" s="564"/>
      <c r="S81" s="564"/>
      <c r="T81" s="496" t="s">
        <v>1519</v>
      </c>
      <c r="U81" s="496"/>
      <c r="V81" s="496"/>
      <c r="W81" s="496"/>
      <c r="X81" s="496"/>
      <c r="Y81" s="604"/>
      <c r="Z81" s="499" t="s">
        <v>1520</v>
      </c>
      <c r="AA81" s="502"/>
      <c r="AB81" s="499"/>
      <c r="AC81" s="499"/>
      <c r="AD81" s="499"/>
    </row>
    <row r="82" spans="1:30" ht="90" customHeight="1">
      <c r="A82" s="498"/>
      <c r="B82" s="539">
        <v>65</v>
      </c>
      <c r="C82" s="496" t="s">
        <v>1503</v>
      </c>
      <c r="D82" s="574"/>
      <c r="E82" s="496"/>
      <c r="F82" s="496"/>
      <c r="G82" s="496"/>
      <c r="H82" s="534"/>
      <c r="I82" s="607">
        <f t="shared" ref="I82:I101" si="13">INDEX(TEMPLATE_NUMBER_POINT_FHD,B82,MATCH(TEMPLATE_SPHERE,TEMPLATE_SPHERE_LIST_FOR_NOTE,0))</f>
        <v>0</v>
      </c>
      <c r="J82" s="607">
        <f t="shared" ref="J82:J101" si="14">INDEX(TEMPLATE_DATA_POINT_FHD,B82,MATCH(TEMPLATE_SPHERE,TEMPLATE_SPHERE_LIST_FOR_NOTE,0))</f>
        <v>0</v>
      </c>
      <c r="K82" s="607">
        <f t="shared" ref="K82:K101" si="15">INDEX(TEMPLATE_NOTE_POINT_FHD,B82,MATCH(TEMPLATE_SPHERE,TEMPLATE_SPHERE_LIST_FOR_NOTE,0))</f>
        <v>0</v>
      </c>
      <c r="L82" s="497" t="str">
        <f t="shared" ref="L82:L101" si="16">IF(I82=0,"",I82)</f>
        <v/>
      </c>
      <c r="M82" s="497" t="str">
        <f t="shared" ref="M82:M101" si="17">IF(J82=0,"",J82)</f>
        <v/>
      </c>
      <c r="N82" s="497" t="str">
        <f t="shared" ref="N82:N101" si="18">IF(K82=0,"",K82)</f>
        <v/>
      </c>
      <c r="O82" s="564" t="s">
        <v>151</v>
      </c>
      <c r="P82" s="564"/>
      <c r="Q82" s="564"/>
      <c r="R82" s="564"/>
      <c r="S82" s="564"/>
      <c r="T82" s="496" t="s">
        <v>1521</v>
      </c>
      <c r="U82" s="496"/>
      <c r="V82" s="496"/>
      <c r="W82" s="496"/>
      <c r="X82" s="496"/>
      <c r="Y82" s="604"/>
      <c r="Z82" s="499" t="s">
        <v>1522</v>
      </c>
      <c r="AA82" s="502"/>
      <c r="AB82" s="499"/>
      <c r="AC82" s="499"/>
      <c r="AD82" s="499"/>
    </row>
    <row r="83" spans="1:30" ht="9" customHeight="1">
      <c r="A83" s="498"/>
      <c r="B83" s="539">
        <v>66</v>
      </c>
      <c r="C83" s="496"/>
      <c r="D83" s="574"/>
      <c r="E83" s="496"/>
      <c r="F83" s="496"/>
      <c r="G83" s="496"/>
      <c r="H83" s="534"/>
      <c r="I83" s="607">
        <f t="shared" si="13"/>
        <v>0</v>
      </c>
      <c r="J83" s="607">
        <f t="shared" si="14"/>
        <v>0</v>
      </c>
      <c r="K83" s="607">
        <f t="shared" si="15"/>
        <v>0</v>
      </c>
      <c r="L83" s="497" t="str">
        <f t="shared" si="16"/>
        <v/>
      </c>
      <c r="M83" s="497" t="str">
        <f t="shared" si="17"/>
        <v/>
      </c>
      <c r="N83" s="497" t="str">
        <f t="shared" si="18"/>
        <v/>
      </c>
      <c r="O83" s="564" t="s">
        <v>1393</v>
      </c>
      <c r="P83" s="564"/>
      <c r="Q83" s="564"/>
      <c r="R83" s="564"/>
      <c r="S83" s="564"/>
      <c r="T83" s="496" t="s">
        <v>1523</v>
      </c>
      <c r="U83" s="496"/>
      <c r="V83" s="496"/>
      <c r="W83" s="496"/>
      <c r="X83" s="496"/>
      <c r="Y83" s="604"/>
      <c r="Z83" s="499"/>
      <c r="AA83" s="502"/>
      <c r="AB83" s="499"/>
      <c r="AC83" s="499"/>
      <c r="AD83" s="499"/>
    </row>
    <row r="84" spans="1:30" ht="54" customHeight="1">
      <c r="A84" s="498"/>
      <c r="B84" s="539">
        <v>67</v>
      </c>
      <c r="C84" s="496"/>
      <c r="D84" s="574"/>
      <c r="E84" s="496"/>
      <c r="F84" s="496"/>
      <c r="G84" s="496"/>
      <c r="H84" s="534"/>
      <c r="I84" s="607">
        <f t="shared" si="13"/>
        <v>0</v>
      </c>
      <c r="J84" s="607">
        <f t="shared" si="14"/>
        <v>0</v>
      </c>
      <c r="K84" s="607">
        <f t="shared" si="15"/>
        <v>0</v>
      </c>
      <c r="L84" s="497" t="str">
        <f t="shared" si="16"/>
        <v/>
      </c>
      <c r="M84" s="497" t="str">
        <f t="shared" si="17"/>
        <v/>
      </c>
      <c r="N84" s="497" t="str">
        <f t="shared" si="18"/>
        <v/>
      </c>
      <c r="O84" s="564" t="s">
        <v>1524</v>
      </c>
      <c r="P84" s="564"/>
      <c r="Q84" s="564"/>
      <c r="R84" s="564"/>
      <c r="S84" s="564"/>
      <c r="T84" s="496" t="s">
        <v>1525</v>
      </c>
      <c r="U84" s="496"/>
      <c r="V84" s="496"/>
      <c r="W84" s="496"/>
      <c r="X84" s="496"/>
      <c r="Y84" s="604"/>
      <c r="Z84" s="499"/>
      <c r="AA84" s="502"/>
      <c r="AB84" s="499"/>
      <c r="AC84" s="499"/>
      <c r="AD84" s="499"/>
    </row>
    <row r="85" spans="1:30" ht="9" customHeight="1">
      <c r="A85" s="498"/>
      <c r="B85" s="539">
        <v>68</v>
      </c>
      <c r="C85" s="496"/>
      <c r="D85" s="574"/>
      <c r="E85" s="496"/>
      <c r="F85" s="496"/>
      <c r="G85" s="496"/>
      <c r="H85" s="534"/>
      <c r="I85" s="607">
        <f t="shared" si="13"/>
        <v>0</v>
      </c>
      <c r="J85" s="607">
        <f t="shared" si="14"/>
        <v>0</v>
      </c>
      <c r="K85" s="607">
        <f t="shared" si="15"/>
        <v>0</v>
      </c>
      <c r="L85" s="497" t="str">
        <f t="shared" si="16"/>
        <v/>
      </c>
      <c r="M85" s="497" t="str">
        <f t="shared" si="17"/>
        <v/>
      </c>
      <c r="N85" s="497" t="str">
        <f t="shared" si="18"/>
        <v/>
      </c>
      <c r="O85" s="564" t="s">
        <v>1397</v>
      </c>
      <c r="P85" s="564"/>
      <c r="Q85" s="564"/>
      <c r="R85" s="564"/>
      <c r="S85" s="564"/>
      <c r="T85" s="496" t="s">
        <v>1526</v>
      </c>
      <c r="U85" s="496"/>
      <c r="V85" s="496"/>
      <c r="W85" s="496"/>
      <c r="X85" s="496"/>
      <c r="Y85" s="604"/>
      <c r="Z85" s="499"/>
      <c r="AA85" s="502"/>
      <c r="AB85" s="499"/>
      <c r="AC85" s="499"/>
      <c r="AD85" s="499"/>
    </row>
    <row r="86" spans="1:30" ht="27" customHeight="1">
      <c r="A86" s="498"/>
      <c r="B86" s="539">
        <v>69</v>
      </c>
      <c r="C86" s="496"/>
      <c r="D86" s="574"/>
      <c r="E86" s="496"/>
      <c r="F86" s="496"/>
      <c r="G86" s="496"/>
      <c r="H86" s="534"/>
      <c r="I86" s="607">
        <f t="shared" si="13"/>
        <v>0</v>
      </c>
      <c r="J86" s="607">
        <f t="shared" si="14"/>
        <v>0</v>
      </c>
      <c r="K86" s="607">
        <f t="shared" si="15"/>
        <v>0</v>
      </c>
      <c r="L86" s="497" t="str">
        <f t="shared" si="16"/>
        <v/>
      </c>
      <c r="M86" s="497" t="str">
        <f t="shared" si="17"/>
        <v/>
      </c>
      <c r="N86" s="497" t="str">
        <f t="shared" si="18"/>
        <v/>
      </c>
      <c r="O86" s="564" t="s">
        <v>1527</v>
      </c>
      <c r="P86" s="564"/>
      <c r="Q86" s="564"/>
      <c r="R86" s="564"/>
      <c r="S86" s="564"/>
      <c r="T86" s="496" t="s">
        <v>1528</v>
      </c>
      <c r="U86" s="496"/>
      <c r="V86" s="496"/>
      <c r="W86" s="496"/>
      <c r="X86" s="496"/>
      <c r="Y86" s="604"/>
      <c r="Z86" s="499"/>
      <c r="AA86" s="502"/>
      <c r="AB86" s="499"/>
      <c r="AC86" s="499"/>
      <c r="AD86" s="499"/>
    </row>
    <row r="87" spans="1:30" ht="36" customHeight="1">
      <c r="A87" s="498"/>
      <c r="B87" s="539">
        <v>70</v>
      </c>
      <c r="C87" s="496" t="s">
        <v>1529</v>
      </c>
      <c r="D87" s="574"/>
      <c r="E87" s="496"/>
      <c r="F87" s="496"/>
      <c r="G87" s="496"/>
      <c r="H87" s="534"/>
      <c r="I87" s="607">
        <f t="shared" si="13"/>
        <v>0</v>
      </c>
      <c r="J87" s="607">
        <f t="shared" si="14"/>
        <v>0</v>
      </c>
      <c r="K87" s="607">
        <f t="shared" si="15"/>
        <v>0</v>
      </c>
      <c r="L87" s="497" t="str">
        <f t="shared" si="16"/>
        <v/>
      </c>
      <c r="M87" s="497" t="str">
        <f t="shared" si="17"/>
        <v/>
      </c>
      <c r="N87" s="497" t="str">
        <f t="shared" si="18"/>
        <v/>
      </c>
      <c r="O87" s="564" t="s">
        <v>152</v>
      </c>
      <c r="P87" s="564"/>
      <c r="Q87" s="564"/>
      <c r="R87" s="564"/>
      <c r="S87" s="564"/>
      <c r="T87" s="496" t="s">
        <v>1530</v>
      </c>
      <c r="U87" s="496"/>
      <c r="V87" s="496"/>
      <c r="W87" s="496"/>
      <c r="X87" s="496"/>
      <c r="Y87" s="604"/>
      <c r="Z87" s="499"/>
      <c r="AA87" s="502"/>
      <c r="AB87" s="499"/>
      <c r="AC87" s="499"/>
      <c r="AD87" s="499"/>
    </row>
    <row r="88" spans="1:30" ht="18" customHeight="1">
      <c r="A88" s="498"/>
      <c r="B88" s="539">
        <v>71</v>
      </c>
      <c r="C88" s="496" t="s">
        <v>1531</v>
      </c>
      <c r="D88" s="574"/>
      <c r="E88" s="496"/>
      <c r="F88" s="496"/>
      <c r="G88" s="496"/>
      <c r="H88" s="534"/>
      <c r="I88" s="607">
        <f t="shared" si="13"/>
        <v>0</v>
      </c>
      <c r="J88" s="607">
        <f t="shared" si="14"/>
        <v>0</v>
      </c>
      <c r="K88" s="607">
        <f t="shared" si="15"/>
        <v>0</v>
      </c>
      <c r="L88" s="497" t="str">
        <f t="shared" si="16"/>
        <v/>
      </c>
      <c r="M88" s="497" t="str">
        <f t="shared" si="17"/>
        <v/>
      </c>
      <c r="N88" s="497" t="str">
        <f t="shared" si="18"/>
        <v/>
      </c>
      <c r="O88" s="564" t="s">
        <v>153</v>
      </c>
      <c r="P88" s="564"/>
      <c r="Q88" s="564"/>
      <c r="R88" s="564"/>
      <c r="S88" s="564"/>
      <c r="T88" s="496" t="s">
        <v>1532</v>
      </c>
      <c r="U88" s="496"/>
      <c r="V88" s="496"/>
      <c r="W88" s="496"/>
      <c r="X88" s="496"/>
      <c r="Y88" s="604"/>
      <c r="Z88" s="499"/>
      <c r="AA88" s="502"/>
      <c r="AB88" s="499"/>
      <c r="AC88" s="499"/>
      <c r="AD88" s="499"/>
    </row>
    <row r="89" spans="1:30" ht="18" customHeight="1">
      <c r="A89" s="498"/>
      <c r="B89" s="539">
        <v>72</v>
      </c>
      <c r="C89" s="496" t="s">
        <v>1533</v>
      </c>
      <c r="D89" s="574" t="s">
        <v>1529</v>
      </c>
      <c r="E89" s="496" t="s">
        <v>1529</v>
      </c>
      <c r="F89" s="496" t="s">
        <v>1494</v>
      </c>
      <c r="G89" s="496"/>
      <c r="H89" s="534"/>
      <c r="I89" s="607" t="str">
        <f t="shared" si="13"/>
        <v>12</v>
      </c>
      <c r="J89" s="607" t="str">
        <f t="shared" si="14"/>
        <v>Среднесписочная численность основного производственного персонала</v>
      </c>
      <c r="K89" s="607">
        <f t="shared" si="15"/>
        <v>0</v>
      </c>
      <c r="L89" s="497" t="str">
        <f t="shared" si="16"/>
        <v>12</v>
      </c>
      <c r="M89" s="497" t="str">
        <f t="shared" si="17"/>
        <v>Среднесписочная численность основного производственного персонала</v>
      </c>
      <c r="N89" s="497" t="str">
        <f t="shared" si="18"/>
        <v/>
      </c>
      <c r="O89" s="564" t="s">
        <v>154</v>
      </c>
      <c r="P89" s="564" t="s">
        <v>153</v>
      </c>
      <c r="Q89" s="564" t="s">
        <v>153</v>
      </c>
      <c r="R89" s="564" t="s">
        <v>151</v>
      </c>
      <c r="S89" s="564"/>
      <c r="T89" s="496" t="s">
        <v>1534</v>
      </c>
      <c r="U89" s="496" t="s">
        <v>1534</v>
      </c>
      <c r="V89" s="496" t="s">
        <v>1534</v>
      </c>
      <c r="W89" s="496" t="s">
        <v>1534</v>
      </c>
      <c r="X89" s="496"/>
      <c r="Y89" s="604"/>
      <c r="Z89" s="499"/>
      <c r="AA89" s="502"/>
      <c r="AB89" s="499"/>
      <c r="AC89" s="499"/>
      <c r="AD89" s="499"/>
    </row>
    <row r="90" spans="1:30" ht="27" customHeight="1">
      <c r="A90" s="498"/>
      <c r="B90" s="539">
        <v>73</v>
      </c>
      <c r="C90" s="496" t="s">
        <v>1535</v>
      </c>
      <c r="D90" s="574"/>
      <c r="E90" s="496"/>
      <c r="F90" s="496"/>
      <c r="G90" s="496"/>
      <c r="H90" s="534"/>
      <c r="I90" s="607">
        <f t="shared" si="13"/>
        <v>0</v>
      </c>
      <c r="J90" s="607">
        <f t="shared" si="14"/>
        <v>0</v>
      </c>
      <c r="K90" s="607">
        <f t="shared" si="15"/>
        <v>0</v>
      </c>
      <c r="L90" s="497" t="str">
        <f t="shared" si="16"/>
        <v/>
      </c>
      <c r="M90" s="497" t="str">
        <f t="shared" si="17"/>
        <v/>
      </c>
      <c r="N90" s="497" t="str">
        <f t="shared" si="18"/>
        <v/>
      </c>
      <c r="O90" s="564" t="s">
        <v>155</v>
      </c>
      <c r="P90" s="564"/>
      <c r="Q90" s="564"/>
      <c r="R90" s="564"/>
      <c r="S90" s="564"/>
      <c r="T90" s="496" t="s">
        <v>1536</v>
      </c>
      <c r="U90" s="496"/>
      <c r="V90" s="496"/>
      <c r="W90" s="496"/>
      <c r="X90" s="496"/>
      <c r="Y90" s="604"/>
      <c r="Z90" s="499"/>
      <c r="AA90" s="502"/>
      <c r="AB90" s="499"/>
      <c r="AC90" s="499"/>
      <c r="AD90" s="499"/>
    </row>
    <row r="91" spans="1:30" ht="18" customHeight="1">
      <c r="A91" s="498"/>
      <c r="B91" s="539">
        <v>74</v>
      </c>
      <c r="C91" s="496"/>
      <c r="D91" s="574" t="s">
        <v>1531</v>
      </c>
      <c r="E91" s="496" t="s">
        <v>1531</v>
      </c>
      <c r="F91" s="496"/>
      <c r="G91" s="496"/>
      <c r="H91" s="534"/>
      <c r="I91" s="607" t="str">
        <f t="shared" si="13"/>
        <v>13</v>
      </c>
      <c r="J91" s="607" t="str">
        <f t="shared" si="14"/>
        <v>Удельный расход электрической энергии на подачу воды в сеть</v>
      </c>
      <c r="K91" s="607">
        <f t="shared" si="15"/>
        <v>0</v>
      </c>
      <c r="L91" s="497" t="str">
        <f t="shared" si="16"/>
        <v>13</v>
      </c>
      <c r="M91" s="497" t="str">
        <f t="shared" si="17"/>
        <v>Удельный расход электрической энергии на подачу воды в сеть</v>
      </c>
      <c r="N91" s="497" t="str">
        <f t="shared" si="18"/>
        <v/>
      </c>
      <c r="O91" s="564"/>
      <c r="P91" s="564" t="s">
        <v>154</v>
      </c>
      <c r="Q91" s="564" t="s">
        <v>154</v>
      </c>
      <c r="R91" s="564"/>
      <c r="S91" s="564"/>
      <c r="T91" s="496"/>
      <c r="U91" s="496" t="s">
        <v>1537</v>
      </c>
      <c r="V91" s="496" t="s">
        <v>1537</v>
      </c>
      <c r="W91" s="496"/>
      <c r="X91" s="496"/>
      <c r="Y91" s="604"/>
      <c r="Z91" s="499"/>
      <c r="AA91" s="502"/>
      <c r="AB91" s="499"/>
      <c r="AC91" s="499"/>
      <c r="AD91" s="499"/>
    </row>
    <row r="92" spans="1:30" ht="27" customHeight="1">
      <c r="A92" s="498"/>
      <c r="B92" s="539">
        <v>75</v>
      </c>
      <c r="C92" s="496"/>
      <c r="D92" s="574" t="s">
        <v>1533</v>
      </c>
      <c r="E92" s="496"/>
      <c r="F92" s="496"/>
      <c r="G92" s="496"/>
      <c r="H92" s="534"/>
      <c r="I92" s="607" t="str">
        <f t="shared" si="13"/>
        <v>14</v>
      </c>
      <c r="J92" s="607" t="str">
        <f t="shared" si="14"/>
        <v>Расход воды на собственные нужды, в том числе:</v>
      </c>
      <c r="K92" s="607" t="str">
        <f t="shared" si="15"/>
        <v>Указывается доля общего расхода воды на собственные нужны от объема отпуска воды потребителям.</v>
      </c>
      <c r="L92" s="497" t="str">
        <f t="shared" si="16"/>
        <v>14</v>
      </c>
      <c r="M92" s="497" t="str">
        <f t="shared" si="17"/>
        <v>Расход воды на собственные нужды, в том числе:</v>
      </c>
      <c r="N92" s="497" t="str">
        <f t="shared" si="18"/>
        <v>Указывается доля общего расхода воды на собственные нужны от объема отпуска воды потребителям.</v>
      </c>
      <c r="O92" s="564"/>
      <c r="P92" s="564" t="s">
        <v>155</v>
      </c>
      <c r="Q92" s="564"/>
      <c r="R92" s="564"/>
      <c r="S92" s="564"/>
      <c r="T92" s="496"/>
      <c r="U92" s="496" t="s">
        <v>1538</v>
      </c>
      <c r="V92" s="496"/>
      <c r="W92" s="496"/>
      <c r="X92" s="496"/>
      <c r="Y92" s="604"/>
      <c r="Z92" s="499"/>
      <c r="AA92" s="502" t="s">
        <v>1539</v>
      </c>
      <c r="AB92" s="499"/>
      <c r="AC92" s="499"/>
      <c r="AD92" s="499"/>
    </row>
    <row r="93" spans="1:30" ht="27" customHeight="1">
      <c r="A93" s="498"/>
      <c r="B93" s="539">
        <v>76</v>
      </c>
      <c r="C93" s="496"/>
      <c r="D93" s="574"/>
      <c r="E93" s="496"/>
      <c r="F93" s="496"/>
      <c r="G93" s="496"/>
      <c r="H93" s="534"/>
      <c r="I93" s="607" t="str">
        <f t="shared" si="13"/>
        <v>14.1</v>
      </c>
      <c r="J93" s="607" t="str">
        <f t="shared" si="14"/>
        <v>Расход воды на хозяйственно-бытовые нужды</v>
      </c>
      <c r="K93" s="607" t="str">
        <f t="shared" si="15"/>
        <v>Указывается доля расхода воды на хозяйственно-бытовые нужны от объема отпуска воды потребителям.</v>
      </c>
      <c r="L93" s="497" t="str">
        <f t="shared" si="16"/>
        <v>14.1</v>
      </c>
      <c r="M93" s="497" t="str">
        <f t="shared" si="17"/>
        <v>Расход воды на хозяйственно-бытовые нужды</v>
      </c>
      <c r="N93" s="497" t="str">
        <f t="shared" si="18"/>
        <v>Указывается доля расхода воды на хозяйственно-бытовые нужны от объема отпуска воды потребителям.</v>
      </c>
      <c r="O93" s="564"/>
      <c r="P93" s="564" t="s">
        <v>1427</v>
      </c>
      <c r="Q93" s="564"/>
      <c r="R93" s="564"/>
      <c r="S93" s="564"/>
      <c r="T93" s="496"/>
      <c r="U93" s="496" t="s">
        <v>1540</v>
      </c>
      <c r="V93" s="496"/>
      <c r="W93" s="496"/>
      <c r="X93" s="496"/>
      <c r="Y93" s="604"/>
      <c r="Z93" s="499"/>
      <c r="AA93" s="502" t="s">
        <v>1541</v>
      </c>
      <c r="AB93" s="499"/>
      <c r="AC93" s="499"/>
      <c r="AD93" s="499"/>
    </row>
    <row r="94" spans="1:30" ht="45" customHeight="1">
      <c r="A94" s="498"/>
      <c r="B94" s="539">
        <v>77</v>
      </c>
      <c r="C94" s="496"/>
      <c r="D94" s="574" t="s">
        <v>1535</v>
      </c>
      <c r="E94" s="496"/>
      <c r="F94" s="496"/>
      <c r="G94" s="496"/>
      <c r="H94" s="534"/>
      <c r="I94" s="607" t="str">
        <f t="shared" si="13"/>
        <v>15</v>
      </c>
      <c r="J94" s="607" t="str">
        <f t="shared" si="14"/>
        <v>Показатель использования производственных объектов (по объему перекачки), в том числе:</v>
      </c>
      <c r="K94" s="607" t="str">
        <f t="shared" si="15"/>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497" t="str">
        <f t="shared" si="16"/>
        <v>15</v>
      </c>
      <c r="M94" s="497" t="str">
        <f t="shared" si="17"/>
        <v>Показатель использования производственных объектов (по объему перекачки), в том числе:</v>
      </c>
      <c r="N94" s="497" t="str">
        <f t="shared" si="18"/>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564"/>
      <c r="P94" s="564" t="s">
        <v>99</v>
      </c>
      <c r="Q94" s="564"/>
      <c r="R94" s="564"/>
      <c r="S94" s="564"/>
      <c r="T94" s="496"/>
      <c r="U94" s="496" t="s">
        <v>1542</v>
      </c>
      <c r="V94" s="496"/>
      <c r="W94" s="496"/>
      <c r="X94" s="496"/>
      <c r="Y94" s="604"/>
      <c r="Z94" s="499"/>
      <c r="AA94" s="502" t="s">
        <v>1543</v>
      </c>
      <c r="AB94" s="499"/>
      <c r="AC94" s="499"/>
      <c r="AD94" s="499"/>
    </row>
    <row r="95" spans="1:30" ht="99" customHeight="1">
      <c r="A95" s="498"/>
      <c r="B95" s="539">
        <v>78</v>
      </c>
      <c r="C95" s="496" t="s">
        <v>1544</v>
      </c>
      <c r="D95" s="574"/>
      <c r="E95" s="496"/>
      <c r="F95" s="496"/>
      <c r="G95" s="496"/>
      <c r="H95" s="534"/>
      <c r="I95" s="607">
        <f t="shared" si="13"/>
        <v>0</v>
      </c>
      <c r="J95" s="607">
        <f t="shared" si="14"/>
        <v>0</v>
      </c>
      <c r="K95" s="607">
        <f t="shared" si="15"/>
        <v>0</v>
      </c>
      <c r="L95" s="497" t="str">
        <f t="shared" si="16"/>
        <v/>
      </c>
      <c r="M95" s="497" t="str">
        <f t="shared" si="17"/>
        <v/>
      </c>
      <c r="N95" s="497" t="str">
        <f t="shared" si="18"/>
        <v/>
      </c>
      <c r="O95" s="564" t="s">
        <v>99</v>
      </c>
      <c r="P95" s="564"/>
      <c r="Q95" s="564"/>
      <c r="R95" s="564"/>
      <c r="S95" s="564"/>
      <c r="T95" s="496" t="s">
        <v>1545</v>
      </c>
      <c r="U95" s="496"/>
      <c r="V95" s="496"/>
      <c r="W95" s="496"/>
      <c r="X95" s="496"/>
      <c r="Y95" s="604"/>
      <c r="Z95" s="499"/>
      <c r="AA95" s="502"/>
      <c r="AB95" s="499"/>
      <c r="AC95" s="499"/>
      <c r="AD95" s="499"/>
    </row>
    <row r="96" spans="1:30" ht="99" customHeight="1">
      <c r="A96" s="498"/>
      <c r="B96" s="539">
        <v>79</v>
      </c>
      <c r="C96" s="496" t="s">
        <v>1546</v>
      </c>
      <c r="D96" s="574"/>
      <c r="E96" s="496"/>
      <c r="F96" s="496"/>
      <c r="G96" s="496"/>
      <c r="H96" s="534"/>
      <c r="I96" s="607">
        <f t="shared" si="13"/>
        <v>0</v>
      </c>
      <c r="J96" s="607">
        <f t="shared" si="14"/>
        <v>0</v>
      </c>
      <c r="K96" s="607">
        <f t="shared" si="15"/>
        <v>0</v>
      </c>
      <c r="L96" s="497" t="str">
        <f t="shared" si="16"/>
        <v/>
      </c>
      <c r="M96" s="497" t="str">
        <f t="shared" si="17"/>
        <v/>
      </c>
      <c r="N96" s="497" t="str">
        <f t="shared" si="18"/>
        <v/>
      </c>
      <c r="O96" s="564" t="s">
        <v>859</v>
      </c>
      <c r="P96" s="564"/>
      <c r="Q96" s="564"/>
      <c r="R96" s="564"/>
      <c r="S96" s="564"/>
      <c r="T96" s="496" t="s">
        <v>1547</v>
      </c>
      <c r="U96" s="496"/>
      <c r="V96" s="496"/>
      <c r="W96" s="496"/>
      <c r="X96" s="496"/>
      <c r="Y96" s="604"/>
      <c r="Z96" s="499" t="s">
        <v>1548</v>
      </c>
      <c r="AA96" s="502"/>
      <c r="AB96" s="499"/>
      <c r="AC96" s="499"/>
      <c r="AD96" s="499"/>
    </row>
    <row r="97" spans="1:30" ht="63" customHeight="1">
      <c r="A97" s="498"/>
      <c r="B97" s="539">
        <v>80</v>
      </c>
      <c r="C97" s="496" t="s">
        <v>1549</v>
      </c>
      <c r="D97" s="574"/>
      <c r="E97" s="496"/>
      <c r="F97" s="496"/>
      <c r="G97" s="496"/>
      <c r="H97" s="534"/>
      <c r="I97" s="607">
        <f t="shared" si="13"/>
        <v>0</v>
      </c>
      <c r="J97" s="607">
        <f t="shared" si="14"/>
        <v>0</v>
      </c>
      <c r="K97" s="607">
        <f t="shared" si="15"/>
        <v>0</v>
      </c>
      <c r="L97" s="497" t="str">
        <f t="shared" si="16"/>
        <v/>
      </c>
      <c r="M97" s="497" t="str">
        <f t="shared" si="17"/>
        <v/>
      </c>
      <c r="N97" s="497" t="str">
        <f t="shared" si="18"/>
        <v/>
      </c>
      <c r="O97" s="564" t="s">
        <v>870</v>
      </c>
      <c r="P97" s="564"/>
      <c r="Q97" s="564"/>
      <c r="R97" s="564"/>
      <c r="S97" s="564"/>
      <c r="T97" s="496" t="s">
        <v>1550</v>
      </c>
      <c r="U97" s="496"/>
      <c r="V97" s="496"/>
      <c r="W97" s="496"/>
      <c r="X97" s="496"/>
      <c r="Y97" s="604"/>
      <c r="Z97" s="499" t="s">
        <v>1551</v>
      </c>
      <c r="AA97" s="502"/>
      <c r="AB97" s="499"/>
      <c r="AC97" s="499"/>
      <c r="AD97" s="499"/>
    </row>
    <row r="98" spans="1:30" ht="63" customHeight="1">
      <c r="A98" s="498"/>
      <c r="B98" s="539">
        <v>81</v>
      </c>
      <c r="C98" s="496" t="s">
        <v>1552</v>
      </c>
      <c r="D98" s="574"/>
      <c r="E98" s="496"/>
      <c r="F98" s="496"/>
      <c r="G98" s="496"/>
      <c r="H98" s="534"/>
      <c r="I98" s="607">
        <f t="shared" si="13"/>
        <v>0</v>
      </c>
      <c r="J98" s="607">
        <f t="shared" si="14"/>
        <v>0</v>
      </c>
      <c r="K98" s="607">
        <f t="shared" si="15"/>
        <v>0</v>
      </c>
      <c r="L98" s="497" t="str">
        <f t="shared" si="16"/>
        <v/>
      </c>
      <c r="M98" s="497" t="str">
        <f t="shared" si="17"/>
        <v/>
      </c>
      <c r="N98" s="497" t="str">
        <f t="shared" si="18"/>
        <v/>
      </c>
      <c r="O98" s="564" t="s">
        <v>884</v>
      </c>
      <c r="P98" s="564"/>
      <c r="Q98" s="564"/>
      <c r="R98" s="564"/>
      <c r="S98" s="564"/>
      <c r="T98" s="496" t="s">
        <v>1553</v>
      </c>
      <c r="U98" s="496"/>
      <c r="V98" s="496"/>
      <c r="W98" s="496"/>
      <c r="X98" s="496"/>
      <c r="Y98" s="604"/>
      <c r="Z98" s="499" t="s">
        <v>1551</v>
      </c>
      <c r="AA98" s="502"/>
      <c r="AB98" s="499"/>
      <c r="AC98" s="499"/>
      <c r="AD98" s="499"/>
    </row>
    <row r="99" spans="1:30" ht="90" customHeight="1">
      <c r="A99" s="498"/>
      <c r="B99" s="539">
        <v>82</v>
      </c>
      <c r="C99" s="496" t="s">
        <v>1554</v>
      </c>
      <c r="D99" s="574"/>
      <c r="E99" s="496"/>
      <c r="F99" s="496"/>
      <c r="G99" s="496"/>
      <c r="H99" s="534"/>
      <c r="I99" s="607">
        <f t="shared" si="13"/>
        <v>0</v>
      </c>
      <c r="J99" s="607">
        <f t="shared" si="14"/>
        <v>0</v>
      </c>
      <c r="K99" s="607">
        <f t="shared" si="15"/>
        <v>0</v>
      </c>
      <c r="L99" s="497" t="str">
        <f t="shared" si="16"/>
        <v/>
      </c>
      <c r="M99" s="497" t="str">
        <f t="shared" si="17"/>
        <v/>
      </c>
      <c r="N99" s="497" t="str">
        <f t="shared" si="18"/>
        <v/>
      </c>
      <c r="O99" s="564" t="s">
        <v>896</v>
      </c>
      <c r="P99" s="564"/>
      <c r="Q99" s="564"/>
      <c r="R99" s="564"/>
      <c r="S99" s="564"/>
      <c r="T99" s="496" t="s">
        <v>1555</v>
      </c>
      <c r="U99" s="496"/>
      <c r="V99" s="496"/>
      <c r="W99" s="496"/>
      <c r="X99" s="496"/>
      <c r="Y99" s="604"/>
      <c r="Z99" s="499" t="s">
        <v>1556</v>
      </c>
      <c r="AA99" s="502"/>
      <c r="AB99" s="499"/>
      <c r="AC99" s="499"/>
      <c r="AD99" s="499"/>
    </row>
    <row r="100" spans="1:30" ht="27" customHeight="1">
      <c r="A100" s="498"/>
      <c r="B100" s="539">
        <v>83</v>
      </c>
      <c r="C100" s="496"/>
      <c r="D100" s="574"/>
      <c r="E100" s="496"/>
      <c r="F100" s="496"/>
      <c r="G100" s="496"/>
      <c r="H100" s="534"/>
      <c r="I100" s="607">
        <f t="shared" si="13"/>
        <v>0</v>
      </c>
      <c r="J100" s="607">
        <f t="shared" si="14"/>
        <v>0</v>
      </c>
      <c r="K100" s="607">
        <f t="shared" si="15"/>
        <v>0</v>
      </c>
      <c r="L100" s="497" t="str">
        <f t="shared" si="16"/>
        <v/>
      </c>
      <c r="M100" s="497" t="str">
        <f t="shared" si="17"/>
        <v/>
      </c>
      <c r="N100" s="497" t="str">
        <f t="shared" si="18"/>
        <v/>
      </c>
      <c r="O100" s="564" t="s">
        <v>1557</v>
      </c>
      <c r="P100" s="564"/>
      <c r="Q100" s="564"/>
      <c r="R100" s="564"/>
      <c r="S100" s="564"/>
      <c r="T100" s="496" t="s">
        <v>1558</v>
      </c>
      <c r="U100" s="496"/>
      <c r="V100" s="496"/>
      <c r="W100" s="496"/>
      <c r="X100" s="496"/>
      <c r="Y100" s="604"/>
      <c r="Z100" s="499" t="s">
        <v>1556</v>
      </c>
      <c r="AA100" s="502"/>
      <c r="AB100" s="499"/>
      <c r="AC100" s="499"/>
      <c r="AD100" s="499"/>
    </row>
    <row r="101" spans="1:30" ht="27" customHeight="1">
      <c r="A101" s="498"/>
      <c r="B101" s="539">
        <v>84</v>
      </c>
      <c r="C101" s="496"/>
      <c r="D101" s="574"/>
      <c r="E101" s="496"/>
      <c r="F101" s="496"/>
      <c r="G101" s="496"/>
      <c r="H101" s="534"/>
      <c r="I101" s="607">
        <f t="shared" si="13"/>
        <v>0</v>
      </c>
      <c r="J101" s="607">
        <f t="shared" si="14"/>
        <v>0</v>
      </c>
      <c r="K101" s="607">
        <f t="shared" si="15"/>
        <v>0</v>
      </c>
      <c r="L101" s="497" t="str">
        <f t="shared" si="16"/>
        <v/>
      </c>
      <c r="M101" s="497" t="str">
        <f t="shared" si="17"/>
        <v/>
      </c>
      <c r="N101" s="497" t="str">
        <f t="shared" si="18"/>
        <v/>
      </c>
      <c r="O101" s="564" t="s">
        <v>1559</v>
      </c>
      <c r="P101" s="564"/>
      <c r="Q101" s="564"/>
      <c r="R101" s="564"/>
      <c r="S101" s="564"/>
      <c r="T101" s="496" t="s">
        <v>1560</v>
      </c>
      <c r="U101" s="496"/>
      <c r="V101" s="496"/>
      <c r="W101" s="496"/>
      <c r="X101" s="496"/>
      <c r="Y101" s="604"/>
      <c r="Z101" s="499" t="s">
        <v>1556</v>
      </c>
      <c r="AA101" s="502"/>
      <c r="AB101" s="499"/>
      <c r="AC101" s="499"/>
      <c r="AD101" s="499"/>
    </row>
    <row r="102" spans="1:30" ht="9" customHeight="1">
      <c r="A102" s="498"/>
      <c r="B102" s="498"/>
      <c r="C102" s="496"/>
      <c r="D102" s="496"/>
      <c r="E102" s="496"/>
      <c r="F102" s="496"/>
      <c r="G102" s="496"/>
      <c r="H102" s="534"/>
      <c r="I102" s="534"/>
      <c r="J102" s="534"/>
      <c r="K102" s="534"/>
      <c r="L102" s="534"/>
      <c r="M102" s="496"/>
      <c r="N102" s="533"/>
      <c r="O102" s="564"/>
      <c r="P102" s="564"/>
      <c r="Q102" s="564"/>
      <c r="R102" s="564"/>
      <c r="S102" s="496"/>
      <c r="T102" s="496"/>
      <c r="U102" s="496"/>
      <c r="V102" s="496"/>
      <c r="W102" s="496"/>
      <c r="X102" s="496"/>
      <c r="Y102" s="604"/>
      <c r="Z102" s="499"/>
      <c r="AA102" s="502"/>
      <c r="AB102" s="499"/>
      <c r="AC102" s="499"/>
      <c r="AD102" s="499"/>
    </row>
    <row r="103" spans="1:30" ht="9" customHeight="1">
      <c r="A103" s="498"/>
      <c r="B103" s="498"/>
      <c r="C103" s="496"/>
      <c r="D103" s="496"/>
      <c r="E103" s="496"/>
      <c r="F103" s="496"/>
      <c r="G103" s="496"/>
      <c r="H103" s="534"/>
      <c r="I103" s="534"/>
      <c r="J103" s="534"/>
      <c r="K103" s="534"/>
      <c r="L103" s="534"/>
      <c r="M103" s="496"/>
      <c r="N103" s="533"/>
      <c r="O103" s="564"/>
      <c r="P103" s="564"/>
      <c r="Q103" s="564"/>
      <c r="R103" s="564"/>
      <c r="S103" s="496"/>
      <c r="T103" s="496"/>
      <c r="U103" s="496"/>
      <c r="V103" s="496"/>
      <c r="W103" s="496"/>
      <c r="X103" s="496"/>
      <c r="Y103" s="604"/>
      <c r="Z103" s="499"/>
      <c r="AA103" s="502"/>
      <c r="AB103" s="499"/>
      <c r="AC103" s="499"/>
      <c r="AD103" s="499"/>
    </row>
    <row r="104" spans="1:30" ht="9" customHeight="1">
      <c r="A104" s="498"/>
      <c r="B104" s="498"/>
      <c r="C104" s="496"/>
      <c r="D104" s="496"/>
      <c r="E104" s="496"/>
      <c r="F104" s="496"/>
      <c r="G104" s="496"/>
      <c r="H104" s="534"/>
      <c r="I104" s="534"/>
      <c r="J104" s="534"/>
      <c r="K104" s="534"/>
      <c r="L104" s="534"/>
      <c r="M104" s="496"/>
      <c r="N104" s="533"/>
      <c r="O104" s="564"/>
      <c r="P104" s="564"/>
      <c r="Q104" s="564"/>
      <c r="R104" s="564"/>
      <c r="S104" s="496"/>
      <c r="T104" s="496"/>
      <c r="U104" s="496"/>
      <c r="V104" s="496"/>
      <c r="W104" s="496"/>
      <c r="X104" s="496"/>
      <c r="Y104" s="604"/>
      <c r="Z104" s="499"/>
      <c r="AA104" s="502"/>
      <c r="AB104" s="499"/>
      <c r="AC104" s="499"/>
      <c r="AD104" s="499"/>
    </row>
    <row r="105" spans="1:30" ht="9" customHeight="1">
      <c r="A105" s="498"/>
      <c r="B105" s="498"/>
      <c r="C105" s="496"/>
      <c r="D105" s="496"/>
      <c r="E105" s="496"/>
      <c r="F105" s="496"/>
      <c r="G105" s="496"/>
      <c r="H105" s="534"/>
      <c r="I105" s="534"/>
      <c r="J105" s="534"/>
      <c r="K105" s="534"/>
      <c r="L105" s="534"/>
      <c r="M105" s="496"/>
      <c r="N105" s="533"/>
      <c r="O105" s="564"/>
      <c r="P105" s="564"/>
      <c r="Q105" s="564"/>
      <c r="R105" s="564"/>
      <c r="S105" s="496"/>
      <c r="T105" s="496"/>
      <c r="U105" s="496"/>
      <c r="V105" s="496"/>
      <c r="W105" s="496"/>
      <c r="X105" s="496"/>
      <c r="Y105" s="604"/>
      <c r="Z105" s="499"/>
      <c r="AA105" s="502"/>
      <c r="AB105" s="499"/>
      <c r="AC105" s="499"/>
      <c r="AD105" s="499"/>
    </row>
    <row r="106" spans="1:30" ht="9" customHeight="1">
      <c r="A106" s="498"/>
      <c r="B106" s="498"/>
      <c r="C106" s="496"/>
      <c r="D106" s="496"/>
      <c r="E106" s="496"/>
      <c r="F106" s="496"/>
      <c r="G106" s="496"/>
      <c r="H106" s="534"/>
      <c r="I106" s="534"/>
      <c r="J106" s="534"/>
      <c r="K106" s="534"/>
      <c r="L106" s="534"/>
      <c r="M106" s="496"/>
      <c r="N106" s="533"/>
      <c r="O106" s="564"/>
      <c r="P106" s="564"/>
      <c r="Q106" s="564"/>
      <c r="R106" s="564"/>
      <c r="S106" s="496"/>
      <c r="T106" s="496"/>
      <c r="U106" s="496"/>
      <c r="V106" s="496"/>
      <c r="W106" s="496"/>
      <c r="X106" s="496"/>
      <c r="Y106" s="604"/>
      <c r="Z106" s="499"/>
      <c r="AA106" s="502"/>
      <c r="AB106" s="499"/>
      <c r="AC106" s="499"/>
      <c r="AD106" s="499"/>
    </row>
    <row r="107" spans="1:30" ht="9" customHeight="1">
      <c r="A107" s="498"/>
      <c r="B107" s="498"/>
      <c r="C107" s="496"/>
      <c r="D107" s="496"/>
      <c r="E107" s="496"/>
      <c r="F107" s="496"/>
      <c r="G107" s="496"/>
      <c r="H107" s="534"/>
      <c r="I107" s="534"/>
      <c r="J107" s="534"/>
      <c r="K107" s="534"/>
      <c r="L107" s="534"/>
      <c r="M107" s="496"/>
      <c r="N107" s="533"/>
      <c r="O107" s="564"/>
      <c r="P107" s="564"/>
      <c r="Q107" s="564"/>
      <c r="R107" s="564"/>
      <c r="S107" s="496"/>
      <c r="T107" s="496"/>
      <c r="U107" s="496"/>
      <c r="V107" s="496"/>
      <c r="W107" s="496"/>
      <c r="X107" s="496"/>
      <c r="Y107" s="604"/>
      <c r="Z107" s="499"/>
      <c r="AA107" s="502"/>
      <c r="AB107" s="499"/>
      <c r="AC107" s="499"/>
      <c r="AD107" s="499"/>
    </row>
    <row r="108" spans="1:30" ht="9" customHeight="1">
      <c r="A108" s="498"/>
      <c r="B108" s="498"/>
      <c r="C108" s="496"/>
      <c r="D108" s="496"/>
      <c r="E108" s="496"/>
      <c r="F108" s="496"/>
      <c r="G108" s="496"/>
      <c r="H108" s="534"/>
      <c r="I108" s="534"/>
      <c r="J108" s="534"/>
      <c r="K108" s="534"/>
      <c r="L108" s="534"/>
      <c r="M108" s="496"/>
      <c r="N108" s="533"/>
      <c r="O108" s="564"/>
      <c r="P108" s="564"/>
      <c r="Q108" s="564"/>
      <c r="R108" s="564"/>
      <c r="S108" s="496"/>
      <c r="T108" s="496"/>
      <c r="U108" s="496"/>
      <c r="V108" s="496"/>
      <c r="W108" s="496"/>
      <c r="X108" s="496"/>
      <c r="Y108" s="604"/>
      <c r="Z108" s="499"/>
      <c r="AA108" s="502"/>
      <c r="AB108" s="499"/>
      <c r="AC108" s="499"/>
      <c r="AD108" s="499"/>
    </row>
    <row r="109" spans="1:30" ht="9" customHeight="1">
      <c r="A109" s="498"/>
      <c r="B109" s="498"/>
      <c r="C109" s="496"/>
      <c r="D109" s="496"/>
      <c r="E109" s="496"/>
      <c r="F109" s="496"/>
      <c r="G109" s="496"/>
      <c r="H109" s="534"/>
      <c r="I109" s="534"/>
      <c r="J109" s="534"/>
      <c r="K109" s="534"/>
      <c r="L109" s="534"/>
      <c r="M109" s="496"/>
      <c r="N109" s="533"/>
      <c r="O109" s="564"/>
      <c r="P109" s="564"/>
      <c r="Q109" s="564"/>
      <c r="R109" s="564"/>
      <c r="S109" s="496"/>
      <c r="T109" s="496"/>
      <c r="U109" s="496"/>
      <c r="V109" s="496"/>
      <c r="W109" s="496"/>
      <c r="X109" s="496"/>
      <c r="Y109" s="604"/>
      <c r="Z109" s="499"/>
      <c r="AA109" s="502"/>
      <c r="AB109" s="499"/>
      <c r="AC109" s="499"/>
      <c r="AD109" s="499"/>
    </row>
    <row r="110" spans="1:30" ht="9" customHeight="1">
      <c r="A110" s="498"/>
      <c r="B110" s="498"/>
      <c r="C110" s="496"/>
      <c r="D110" s="496"/>
      <c r="E110" s="496"/>
      <c r="F110" s="496"/>
      <c r="G110" s="496"/>
      <c r="H110" s="534"/>
      <c r="I110" s="534"/>
      <c r="J110" s="534"/>
      <c r="K110" s="534"/>
      <c r="L110" s="534"/>
      <c r="M110" s="496"/>
      <c r="N110" s="533"/>
      <c r="O110" s="564"/>
      <c r="P110" s="564"/>
      <c r="Q110" s="564"/>
      <c r="R110" s="564"/>
      <c r="S110" s="496"/>
      <c r="T110" s="496"/>
      <c r="U110" s="496"/>
      <c r="V110" s="496"/>
      <c r="W110" s="496"/>
      <c r="X110" s="496"/>
      <c r="Y110" s="604"/>
      <c r="Z110" s="499"/>
      <c r="AA110" s="502"/>
      <c r="AB110" s="499"/>
      <c r="AC110" s="499"/>
      <c r="AD110" s="499"/>
    </row>
    <row r="111" spans="1:30" ht="9" customHeight="1">
      <c r="A111" s="498"/>
      <c r="B111" s="498"/>
      <c r="C111" s="496"/>
      <c r="D111" s="496"/>
      <c r="E111" s="496"/>
      <c r="F111" s="496"/>
      <c r="G111" s="496"/>
      <c r="H111" s="534"/>
      <c r="I111" s="534"/>
      <c r="J111" s="534"/>
      <c r="K111" s="534"/>
      <c r="L111" s="534"/>
      <c r="M111" s="496"/>
      <c r="N111" s="533"/>
      <c r="O111" s="564"/>
      <c r="P111" s="564"/>
      <c r="Q111" s="564"/>
      <c r="R111" s="564"/>
      <c r="S111" s="496"/>
      <c r="T111" s="496"/>
      <c r="U111" s="496"/>
      <c r="V111" s="496"/>
      <c r="W111" s="496"/>
      <c r="X111" s="496"/>
      <c r="Y111" s="604"/>
      <c r="Z111" s="499"/>
      <c r="AA111" s="502"/>
      <c r="AB111" s="499"/>
      <c r="AC111" s="499"/>
      <c r="AD111" s="499"/>
    </row>
    <row r="112" spans="1:30" ht="9" customHeight="1">
      <c r="A112" s="498"/>
      <c r="B112" s="498"/>
      <c r="C112" s="496"/>
      <c r="D112" s="496"/>
      <c r="E112" s="496"/>
      <c r="F112" s="496"/>
      <c r="G112" s="496"/>
      <c r="H112" s="534"/>
      <c r="I112" s="534"/>
      <c r="J112" s="534"/>
      <c r="K112" s="534"/>
      <c r="L112" s="534"/>
      <c r="M112" s="496"/>
      <c r="N112" s="533"/>
      <c r="O112" s="564"/>
      <c r="P112" s="564"/>
      <c r="Q112" s="564"/>
      <c r="R112" s="564"/>
      <c r="S112" s="496"/>
      <c r="T112" s="496"/>
      <c r="U112" s="496"/>
      <c r="V112" s="496"/>
      <c r="W112" s="496"/>
      <c r="X112" s="496"/>
      <c r="Y112" s="604"/>
      <c r="Z112" s="499"/>
      <c r="AA112" s="502"/>
      <c r="AB112" s="499"/>
      <c r="AC112" s="499"/>
      <c r="AD112" s="499"/>
    </row>
    <row r="113" spans="1:30" ht="9" customHeight="1">
      <c r="A113" s="498"/>
      <c r="B113" s="498"/>
      <c r="C113" s="496"/>
      <c r="D113" s="496"/>
      <c r="E113" s="496"/>
      <c r="F113" s="496"/>
      <c r="G113" s="496"/>
      <c r="H113" s="534"/>
      <c r="I113" s="534"/>
      <c r="J113" s="534"/>
      <c r="K113" s="534"/>
      <c r="L113" s="534"/>
      <c r="M113" s="496"/>
      <c r="N113" s="533"/>
      <c r="O113" s="564"/>
      <c r="P113" s="564"/>
      <c r="Q113" s="564"/>
      <c r="R113" s="564"/>
      <c r="S113" s="496"/>
      <c r="T113" s="496"/>
      <c r="U113" s="496"/>
      <c r="V113" s="496"/>
      <c r="W113" s="496"/>
      <c r="X113" s="496"/>
      <c r="Y113" s="604"/>
      <c r="Z113" s="499"/>
      <c r="AA113" s="502"/>
      <c r="AB113" s="499"/>
      <c r="AC113" s="499"/>
      <c r="AD113" s="499"/>
    </row>
    <row r="114" spans="1:30" ht="9" customHeight="1">
      <c r="A114" s="498"/>
      <c r="B114" s="498"/>
      <c r="C114" s="496"/>
      <c r="D114" s="496"/>
      <c r="E114" s="496"/>
      <c r="F114" s="496"/>
      <c r="G114" s="496"/>
      <c r="H114" s="534"/>
      <c r="I114" s="534"/>
      <c r="J114" s="534"/>
      <c r="K114" s="534"/>
      <c r="L114" s="534"/>
      <c r="M114" s="496"/>
      <c r="N114" s="533"/>
      <c r="O114" s="564"/>
      <c r="P114" s="564"/>
      <c r="Q114" s="564"/>
      <c r="R114" s="564"/>
      <c r="S114" s="496"/>
      <c r="T114" s="496"/>
      <c r="U114" s="496"/>
      <c r="V114" s="496"/>
      <c r="W114" s="496"/>
      <c r="X114" s="496"/>
      <c r="Y114" s="604"/>
      <c r="Z114" s="499"/>
      <c r="AA114" s="502"/>
      <c r="AB114" s="499"/>
      <c r="AC114" s="499"/>
      <c r="AD114" s="499"/>
    </row>
    <row r="115" spans="1:30" ht="9" customHeight="1">
      <c r="A115" s="498"/>
      <c r="B115" s="498"/>
      <c r="C115" s="496"/>
      <c r="D115" s="496"/>
      <c r="E115" s="496"/>
      <c r="F115" s="496"/>
      <c r="G115" s="496"/>
      <c r="H115" s="534"/>
      <c r="I115" s="534"/>
      <c r="J115" s="534"/>
      <c r="K115" s="534"/>
      <c r="L115" s="534"/>
      <c r="M115" s="496"/>
      <c r="N115" s="533"/>
      <c r="O115" s="564"/>
      <c r="P115" s="564"/>
      <c r="Q115" s="564"/>
      <c r="R115" s="564"/>
      <c r="S115" s="496"/>
      <c r="T115" s="496"/>
      <c r="U115" s="496"/>
      <c r="V115" s="496"/>
      <c r="W115" s="496"/>
      <c r="X115" s="496"/>
      <c r="Y115" s="604"/>
      <c r="Z115" s="499"/>
      <c r="AA115" s="502"/>
      <c r="AB115" s="499"/>
      <c r="AC115" s="499"/>
      <c r="AD115" s="499"/>
    </row>
    <row r="116" spans="1:30" ht="9" customHeight="1">
      <c r="A116" s="498"/>
      <c r="B116" s="498"/>
      <c r="C116" s="496"/>
      <c r="D116" s="496"/>
      <c r="E116" s="496"/>
      <c r="F116" s="496"/>
      <c r="G116" s="496"/>
      <c r="H116" s="534"/>
      <c r="I116" s="534"/>
      <c r="J116" s="534"/>
      <c r="K116" s="534"/>
      <c r="L116" s="534"/>
      <c r="M116" s="496"/>
      <c r="N116" s="533"/>
      <c r="O116" s="564"/>
      <c r="P116" s="564"/>
      <c r="Q116" s="564"/>
      <c r="R116" s="564"/>
      <c r="S116" s="496"/>
      <c r="T116" s="496"/>
      <c r="U116" s="496"/>
      <c r="V116" s="496"/>
      <c r="W116" s="496"/>
      <c r="X116" s="496"/>
      <c r="Y116" s="604"/>
      <c r="Z116" s="499"/>
      <c r="AA116" s="502"/>
      <c r="AB116" s="499"/>
      <c r="AC116" s="499"/>
      <c r="AD116" s="499"/>
    </row>
    <row r="117" spans="1:30" ht="9" customHeight="1">
      <c r="A117" s="498"/>
      <c r="B117" s="498"/>
      <c r="C117" s="496"/>
      <c r="D117" s="496"/>
      <c r="E117" s="496"/>
      <c r="F117" s="496"/>
      <c r="G117" s="496"/>
      <c r="H117" s="534"/>
      <c r="I117" s="534"/>
      <c r="J117" s="534"/>
      <c r="K117" s="534"/>
      <c r="L117" s="534"/>
      <c r="M117" s="496"/>
      <c r="N117" s="533"/>
      <c r="O117" s="564"/>
      <c r="P117" s="564"/>
      <c r="Q117" s="564"/>
      <c r="R117" s="564"/>
      <c r="S117" s="496"/>
      <c r="T117" s="496"/>
      <c r="U117" s="496"/>
      <c r="V117" s="496"/>
      <c r="W117" s="496"/>
      <c r="X117" s="496"/>
      <c r="Y117" s="604"/>
      <c r="Z117" s="499"/>
      <c r="AA117" s="502"/>
      <c r="AB117" s="499"/>
      <c r="AC117" s="499"/>
      <c r="AD117" s="499"/>
    </row>
    <row r="118" spans="1:30" ht="9" customHeight="1">
      <c r="A118" s="498"/>
      <c r="B118" s="498"/>
      <c r="C118" s="496"/>
      <c r="D118" s="496"/>
      <c r="E118" s="496"/>
      <c r="F118" s="496"/>
      <c r="G118" s="496"/>
      <c r="H118" s="534"/>
      <c r="I118" s="534"/>
      <c r="J118" s="534"/>
      <c r="K118" s="534"/>
      <c r="L118" s="534"/>
      <c r="M118" s="496"/>
      <c r="N118" s="533"/>
      <c r="O118" s="564"/>
      <c r="P118" s="564"/>
      <c r="Q118" s="564"/>
      <c r="R118" s="564"/>
      <c r="S118" s="496"/>
      <c r="T118" s="496"/>
      <c r="U118" s="496"/>
      <c r="V118" s="496"/>
      <c r="W118" s="496"/>
      <c r="X118" s="496"/>
      <c r="Y118" s="604"/>
      <c r="Z118" s="499"/>
      <c r="AA118" s="502"/>
      <c r="AB118" s="499"/>
      <c r="AC118" s="499"/>
      <c r="AD118" s="499"/>
    </row>
    <row r="119" spans="1:30" ht="9" customHeight="1">
      <c r="A119" s="498"/>
      <c r="B119" s="498"/>
      <c r="C119" s="496"/>
      <c r="D119" s="496"/>
      <c r="E119" s="496"/>
      <c r="F119" s="496"/>
      <c r="G119" s="496"/>
      <c r="H119" s="534"/>
      <c r="I119" s="534"/>
      <c r="J119" s="534"/>
      <c r="K119" s="534"/>
      <c r="L119" s="534"/>
      <c r="M119" s="496"/>
      <c r="N119" s="533"/>
      <c r="O119" s="564"/>
      <c r="P119" s="564"/>
      <c r="Q119" s="564"/>
      <c r="R119" s="564"/>
      <c r="S119" s="496"/>
      <c r="T119" s="496"/>
      <c r="U119" s="496"/>
      <c r="V119" s="496"/>
      <c r="W119" s="496"/>
      <c r="X119" s="496"/>
      <c r="Y119" s="604"/>
      <c r="Z119" s="499"/>
      <c r="AA119" s="502"/>
      <c r="AB119" s="499"/>
      <c r="AC119" s="499"/>
      <c r="AD119" s="499"/>
    </row>
    <row r="120" spans="1:30" ht="9" customHeight="1">
      <c r="A120" s="498"/>
      <c r="B120" s="498"/>
      <c r="C120" s="496"/>
      <c r="D120" s="496"/>
      <c r="E120" s="496"/>
      <c r="F120" s="496"/>
      <c r="G120" s="496"/>
      <c r="H120" s="534"/>
      <c r="I120" s="534"/>
      <c r="J120" s="534"/>
      <c r="K120" s="534"/>
      <c r="L120" s="534"/>
      <c r="M120" s="496"/>
      <c r="N120" s="533"/>
      <c r="O120" s="564"/>
      <c r="P120" s="564"/>
      <c r="Q120" s="564"/>
      <c r="R120" s="564"/>
      <c r="S120" s="496"/>
      <c r="T120" s="496"/>
      <c r="U120" s="496"/>
      <c r="V120" s="496"/>
      <c r="W120" s="496"/>
      <c r="X120" s="496"/>
      <c r="Y120" s="604"/>
      <c r="Z120" s="499"/>
      <c r="AA120" s="502"/>
      <c r="AB120" s="499"/>
      <c r="AC120" s="499"/>
      <c r="AD120" s="499"/>
    </row>
    <row r="121" spans="1:30" ht="9" customHeight="1">
      <c r="A121" s="498"/>
      <c r="B121" s="498"/>
      <c r="C121" s="496"/>
      <c r="D121" s="496"/>
      <c r="E121" s="496"/>
      <c r="F121" s="496"/>
      <c r="G121" s="496"/>
      <c r="H121" s="534"/>
      <c r="I121" s="534"/>
      <c r="J121" s="534"/>
      <c r="K121" s="534"/>
      <c r="L121" s="534"/>
      <c r="M121" s="496"/>
      <c r="N121" s="533"/>
      <c r="O121" s="564"/>
      <c r="P121" s="564"/>
      <c r="Q121" s="564"/>
      <c r="R121" s="564"/>
      <c r="S121" s="496"/>
      <c r="T121" s="496"/>
      <c r="U121" s="496"/>
      <c r="V121" s="496"/>
      <c r="W121" s="496"/>
      <c r="X121" s="496"/>
      <c r="Y121" s="604"/>
      <c r="Z121" s="499"/>
      <c r="AA121" s="502"/>
      <c r="AB121" s="499"/>
      <c r="AC121" s="499"/>
      <c r="AD121" s="499"/>
    </row>
    <row r="122" spans="1:30" ht="9" customHeight="1">
      <c r="A122" s="498"/>
      <c r="B122" s="498"/>
      <c r="C122" s="496"/>
      <c r="D122" s="496"/>
      <c r="E122" s="496"/>
      <c r="F122" s="496"/>
      <c r="G122" s="496"/>
      <c r="H122" s="534"/>
      <c r="I122" s="534"/>
      <c r="J122" s="534"/>
      <c r="K122" s="534"/>
      <c r="L122" s="534"/>
      <c r="M122" s="496"/>
      <c r="N122" s="533"/>
      <c r="O122" s="564"/>
      <c r="P122" s="564"/>
      <c r="Q122" s="564"/>
      <c r="R122" s="564"/>
      <c r="S122" s="496"/>
      <c r="T122" s="496"/>
      <c r="U122" s="496"/>
      <c r="V122" s="496"/>
      <c r="W122" s="496"/>
      <c r="X122" s="496"/>
      <c r="Y122" s="604"/>
      <c r="Z122" s="499"/>
      <c r="AA122" s="502"/>
      <c r="AB122" s="499"/>
      <c r="AC122" s="499"/>
      <c r="AD122" s="499"/>
    </row>
    <row r="123" spans="1:30" ht="9" customHeight="1">
      <c r="A123" s="498"/>
      <c r="B123" s="498"/>
      <c r="C123" s="496"/>
      <c r="D123" s="496"/>
      <c r="E123" s="496"/>
      <c r="F123" s="496"/>
      <c r="G123" s="496"/>
      <c r="H123" s="534"/>
      <c r="I123" s="534"/>
      <c r="J123" s="534"/>
      <c r="K123" s="534"/>
      <c r="L123" s="534"/>
      <c r="M123" s="496"/>
      <c r="N123" s="533"/>
      <c r="O123" s="564"/>
      <c r="P123" s="564"/>
      <c r="Q123" s="564"/>
      <c r="R123" s="564"/>
      <c r="S123" s="496"/>
      <c r="T123" s="496"/>
      <c r="U123" s="496"/>
      <c r="V123" s="496"/>
      <c r="W123" s="496"/>
      <c r="X123" s="496"/>
      <c r="Y123" s="604"/>
      <c r="Z123" s="499"/>
      <c r="AA123" s="502"/>
      <c r="AB123" s="499"/>
      <c r="AC123" s="499"/>
      <c r="AD123" s="499"/>
    </row>
    <row r="124" spans="1:30" ht="9" customHeight="1">
      <c r="A124" s="498"/>
      <c r="B124" s="498"/>
      <c r="C124" s="496"/>
      <c r="D124" s="496"/>
      <c r="E124" s="496"/>
      <c r="F124" s="496"/>
      <c r="G124" s="496"/>
      <c r="H124" s="534"/>
      <c r="I124" s="534"/>
      <c r="J124" s="534"/>
      <c r="K124" s="534"/>
      <c r="L124" s="534"/>
      <c r="M124" s="496"/>
      <c r="N124" s="533"/>
      <c r="O124" s="564"/>
      <c r="P124" s="564"/>
      <c r="Q124" s="564"/>
      <c r="R124" s="564"/>
      <c r="S124" s="496"/>
      <c r="T124" s="496"/>
      <c r="U124" s="496"/>
      <c r="V124" s="496"/>
      <c r="W124" s="496"/>
      <c r="X124" s="496"/>
      <c r="Y124" s="604"/>
      <c r="Z124" s="499"/>
      <c r="AA124" s="502"/>
      <c r="AB124" s="499"/>
      <c r="AC124" s="499"/>
      <c r="AD124" s="499"/>
    </row>
    <row r="125" spans="1:30" ht="9" customHeight="1">
      <c r="A125" s="498"/>
      <c r="B125" s="498"/>
      <c r="C125" s="496"/>
      <c r="D125" s="496"/>
      <c r="E125" s="496"/>
      <c r="F125" s="496"/>
      <c r="G125" s="496"/>
      <c r="H125" s="534"/>
      <c r="I125" s="534"/>
      <c r="J125" s="534"/>
      <c r="K125" s="534"/>
      <c r="L125" s="534"/>
      <c r="M125" s="496"/>
      <c r="N125" s="533"/>
      <c r="O125" s="564"/>
      <c r="P125" s="564"/>
      <c r="Q125" s="564"/>
      <c r="R125" s="564"/>
      <c r="S125" s="496"/>
      <c r="T125" s="496"/>
      <c r="U125" s="496"/>
      <c r="V125" s="496"/>
      <c r="W125" s="496"/>
      <c r="X125" s="496"/>
      <c r="Y125" s="604"/>
      <c r="Z125" s="499"/>
      <c r="AA125" s="502"/>
      <c r="AB125" s="499"/>
      <c r="AC125" s="499"/>
      <c r="AD125" s="499"/>
    </row>
    <row r="126" spans="1:30" ht="9" customHeight="1">
      <c r="A126" s="498"/>
      <c r="B126" s="498"/>
      <c r="C126" s="496"/>
      <c r="D126" s="496"/>
      <c r="E126" s="496"/>
      <c r="F126" s="496"/>
      <c r="G126" s="496"/>
      <c r="H126" s="534"/>
      <c r="I126" s="534"/>
      <c r="J126" s="534"/>
      <c r="K126" s="534"/>
      <c r="L126" s="534"/>
      <c r="M126" s="496"/>
      <c r="N126" s="533"/>
      <c r="O126" s="564"/>
      <c r="P126" s="564"/>
      <c r="Q126" s="564"/>
      <c r="R126" s="564"/>
      <c r="S126" s="496"/>
      <c r="T126" s="496"/>
      <c r="U126" s="496"/>
      <c r="V126" s="496"/>
      <c r="W126" s="496"/>
      <c r="X126" s="496"/>
      <c r="Y126" s="604"/>
      <c r="Z126" s="499"/>
      <c r="AA126" s="502"/>
      <c r="AB126" s="499"/>
      <c r="AC126" s="499"/>
      <c r="AD126" s="499"/>
    </row>
    <row r="127" spans="1:30" ht="9" customHeight="1">
      <c r="A127" s="498"/>
      <c r="B127" s="498"/>
      <c r="C127" s="496"/>
      <c r="D127" s="496"/>
      <c r="E127" s="496"/>
      <c r="F127" s="496"/>
      <c r="G127" s="496"/>
      <c r="H127" s="534"/>
      <c r="I127" s="534"/>
      <c r="J127" s="534"/>
      <c r="K127" s="534"/>
      <c r="L127" s="534"/>
      <c r="M127" s="496"/>
      <c r="N127" s="533"/>
      <c r="O127" s="564"/>
      <c r="P127" s="564"/>
      <c r="Q127" s="564"/>
      <c r="R127" s="564"/>
      <c r="S127" s="496"/>
      <c r="T127" s="496"/>
      <c r="U127" s="496"/>
      <c r="V127" s="496"/>
      <c r="W127" s="496"/>
      <c r="X127" s="496"/>
      <c r="Y127" s="604"/>
      <c r="Z127" s="499"/>
      <c r="AA127" s="502"/>
      <c r="AB127" s="499"/>
      <c r="AC127" s="499"/>
      <c r="AD127" s="499"/>
    </row>
    <row r="128" spans="1:30" ht="9" customHeight="1">
      <c r="A128" s="498"/>
      <c r="B128" s="498"/>
      <c r="C128" s="496"/>
      <c r="D128" s="496"/>
      <c r="E128" s="496"/>
      <c r="F128" s="496"/>
      <c r="G128" s="496"/>
      <c r="H128" s="534"/>
      <c r="I128" s="534"/>
      <c r="J128" s="534"/>
      <c r="K128" s="534"/>
      <c r="L128" s="534"/>
      <c r="M128" s="496"/>
      <c r="N128" s="533"/>
      <c r="O128" s="564"/>
      <c r="P128" s="564"/>
      <c r="Q128" s="564"/>
      <c r="R128" s="564"/>
      <c r="S128" s="496"/>
      <c r="T128" s="496"/>
      <c r="U128" s="496"/>
      <c r="V128" s="496"/>
      <c r="W128" s="496"/>
      <c r="X128" s="496"/>
      <c r="Y128" s="604"/>
      <c r="Z128" s="499"/>
      <c r="AA128" s="502"/>
      <c r="AB128" s="499"/>
      <c r="AC128" s="499"/>
      <c r="AD128" s="499"/>
    </row>
    <row r="129" spans="1:30" ht="9" customHeight="1">
      <c r="A129" s="498"/>
      <c r="B129" s="498"/>
      <c r="C129" s="496"/>
      <c r="D129" s="496"/>
      <c r="E129" s="496"/>
      <c r="F129" s="496"/>
      <c r="G129" s="496"/>
      <c r="H129" s="534"/>
      <c r="I129" s="534"/>
      <c r="J129" s="534"/>
      <c r="K129" s="534"/>
      <c r="L129" s="534"/>
      <c r="M129" s="496"/>
      <c r="N129" s="533"/>
      <c r="O129" s="564"/>
      <c r="P129" s="564"/>
      <c r="Q129" s="564"/>
      <c r="R129" s="564"/>
      <c r="S129" s="496"/>
      <c r="T129" s="496"/>
      <c r="U129" s="496"/>
      <c r="V129" s="496"/>
      <c r="W129" s="496"/>
      <c r="X129" s="496"/>
      <c r="Y129" s="604"/>
      <c r="Z129" s="499"/>
      <c r="AA129" s="502"/>
      <c r="AB129" s="499"/>
      <c r="AC129" s="499"/>
      <c r="AD129" s="499"/>
    </row>
    <row r="130" spans="1:30" ht="9" customHeight="1">
      <c r="A130" s="498"/>
      <c r="B130" s="498"/>
      <c r="C130" s="496"/>
      <c r="D130" s="496"/>
      <c r="E130" s="496"/>
      <c r="F130" s="496"/>
      <c r="G130" s="496"/>
      <c r="H130" s="534"/>
      <c r="I130" s="534"/>
      <c r="J130" s="534"/>
      <c r="K130" s="534"/>
      <c r="L130" s="534"/>
      <c r="M130" s="496"/>
      <c r="N130" s="533"/>
      <c r="O130" s="566"/>
      <c r="P130" s="566"/>
      <c r="Q130" s="566"/>
      <c r="R130" s="566"/>
      <c r="S130" s="496"/>
      <c r="T130" s="496"/>
      <c r="U130" s="496"/>
      <c r="V130" s="496"/>
      <c r="W130" s="496"/>
      <c r="X130" s="496"/>
      <c r="Y130" s="604"/>
      <c r="Z130" s="499"/>
      <c r="AA130" s="502"/>
      <c r="AB130" s="499"/>
      <c r="AC130" s="499"/>
      <c r="AD130" s="499"/>
    </row>
    <row r="131" spans="1:30" ht="9" customHeight="1">
      <c r="A131" s="498"/>
      <c r="B131" s="498"/>
      <c r="C131" s="496"/>
      <c r="D131" s="496"/>
      <c r="E131" s="496"/>
      <c r="F131" s="496"/>
      <c r="G131" s="496"/>
      <c r="H131" s="534"/>
      <c r="I131" s="534"/>
      <c r="J131" s="534"/>
      <c r="K131" s="534"/>
      <c r="L131" s="534"/>
      <c r="M131" s="496"/>
      <c r="N131" s="533"/>
      <c r="O131" s="567"/>
      <c r="P131" s="567"/>
      <c r="Q131" s="567"/>
      <c r="R131" s="567"/>
      <c r="S131" s="496"/>
      <c r="T131" s="496"/>
      <c r="U131" s="496"/>
      <c r="V131" s="496"/>
      <c r="W131" s="496"/>
      <c r="X131" s="496"/>
      <c r="Y131" s="604"/>
      <c r="Z131" s="499"/>
      <c r="AA131" s="502"/>
      <c r="AB131" s="499"/>
      <c r="AC131" s="499"/>
      <c r="AD131" s="499"/>
    </row>
    <row r="132" spans="1:30" ht="9" customHeight="1">
      <c r="A132" s="498"/>
      <c r="B132" s="498"/>
      <c r="C132" s="496"/>
      <c r="D132" s="496"/>
      <c r="E132" s="496"/>
      <c r="F132" s="496"/>
      <c r="G132" s="496"/>
      <c r="H132" s="534"/>
      <c r="I132" s="534"/>
      <c r="J132" s="534"/>
      <c r="K132" s="534"/>
      <c r="L132" s="534"/>
      <c r="M132" s="496"/>
      <c r="N132" s="533"/>
      <c r="O132" s="566"/>
      <c r="P132" s="566"/>
      <c r="Q132" s="566"/>
      <c r="R132" s="566"/>
      <c r="S132" s="496"/>
      <c r="T132" s="496"/>
      <c r="U132" s="496"/>
      <c r="V132" s="496"/>
      <c r="W132" s="496"/>
      <c r="X132" s="496"/>
      <c r="Y132" s="604"/>
      <c r="Z132" s="499"/>
      <c r="AA132" s="502"/>
      <c r="AB132" s="499"/>
      <c r="AC132" s="499"/>
      <c r="AD132" s="499"/>
    </row>
    <row r="133" spans="1:30" ht="9" customHeight="1">
      <c r="A133" s="498"/>
      <c r="B133" s="498"/>
      <c r="C133" s="496"/>
      <c r="D133" s="496"/>
      <c r="E133" s="496"/>
      <c r="F133" s="496"/>
      <c r="G133" s="496"/>
      <c r="H133" s="534"/>
      <c r="I133" s="534"/>
      <c r="J133" s="534"/>
      <c r="K133" s="534"/>
      <c r="L133" s="534"/>
      <c r="M133" s="496"/>
      <c r="N133" s="533"/>
      <c r="O133" s="567"/>
      <c r="P133" s="567"/>
      <c r="Q133" s="567"/>
      <c r="R133" s="567"/>
      <c r="S133" s="496"/>
      <c r="T133" s="496"/>
      <c r="U133" s="496"/>
      <c r="V133" s="496"/>
      <c r="W133" s="496"/>
      <c r="X133" s="496"/>
      <c r="Y133" s="604"/>
      <c r="Z133" s="499"/>
      <c r="AA133" s="502"/>
      <c r="AB133" s="499"/>
      <c r="AC133" s="499"/>
      <c r="AD133" s="499"/>
    </row>
    <row r="134" spans="1:30" ht="9" customHeight="1">
      <c r="A134" s="498"/>
      <c r="B134" s="498"/>
      <c r="C134" s="496"/>
      <c r="D134" s="496"/>
      <c r="E134" s="496"/>
      <c r="F134" s="496"/>
      <c r="G134" s="496"/>
      <c r="H134" s="534"/>
      <c r="I134" s="534"/>
      <c r="J134" s="534"/>
      <c r="K134" s="534"/>
      <c r="L134" s="534"/>
      <c r="M134" s="496"/>
      <c r="N134" s="533"/>
      <c r="O134" s="564"/>
      <c r="P134" s="564"/>
      <c r="Q134" s="564"/>
      <c r="R134" s="564"/>
      <c r="S134" s="496"/>
      <c r="T134" s="496"/>
      <c r="U134" s="496"/>
      <c r="V134" s="496"/>
      <c r="W134" s="496"/>
      <c r="X134" s="496"/>
      <c r="Y134" s="604"/>
      <c r="Z134" s="499"/>
      <c r="AA134" s="502"/>
      <c r="AB134" s="499"/>
      <c r="AC134" s="499"/>
      <c r="AD134" s="499"/>
    </row>
    <row r="135" spans="1:30" ht="9" customHeight="1">
      <c r="A135" s="498"/>
      <c r="B135" s="498"/>
      <c r="C135" s="496"/>
      <c r="D135" s="496"/>
      <c r="E135" s="496"/>
      <c r="F135" s="496"/>
      <c r="G135" s="496"/>
      <c r="H135" s="534"/>
      <c r="I135" s="534"/>
      <c r="J135" s="534"/>
      <c r="K135" s="534"/>
      <c r="L135" s="534"/>
      <c r="M135" s="496"/>
      <c r="N135" s="533"/>
      <c r="O135" s="564"/>
      <c r="P135" s="564"/>
      <c r="Q135" s="564"/>
      <c r="R135" s="564"/>
      <c r="S135" s="496"/>
      <c r="T135" s="496"/>
      <c r="U135" s="496"/>
      <c r="V135" s="496"/>
      <c r="W135" s="496"/>
      <c r="X135" s="496"/>
      <c r="Y135" s="604"/>
      <c r="Z135" s="499"/>
      <c r="AA135" s="502"/>
      <c r="AB135" s="499"/>
      <c r="AC135" s="499"/>
      <c r="AD135" s="499"/>
    </row>
    <row r="136" spans="1:30" ht="9" customHeight="1">
      <c r="A136" s="498"/>
      <c r="B136" s="498"/>
      <c r="C136" s="496"/>
      <c r="D136" s="496"/>
      <c r="E136" s="496"/>
      <c r="F136" s="496"/>
      <c r="G136" s="496"/>
      <c r="H136" s="534"/>
      <c r="I136" s="534"/>
      <c r="J136" s="534"/>
      <c r="K136" s="534"/>
      <c r="L136" s="534"/>
      <c r="M136" s="496"/>
      <c r="N136" s="533"/>
      <c r="O136" s="564"/>
      <c r="P136" s="564"/>
      <c r="Q136" s="564"/>
      <c r="R136" s="564"/>
      <c r="S136" s="496"/>
      <c r="T136" s="496"/>
      <c r="U136" s="496"/>
      <c r="V136" s="496"/>
      <c r="W136" s="496"/>
      <c r="X136" s="496"/>
      <c r="Y136" s="604"/>
      <c r="Z136" s="499"/>
      <c r="AA136" s="502"/>
      <c r="AB136" s="499"/>
      <c r="AC136" s="499"/>
      <c r="AD136" s="499"/>
    </row>
    <row r="137" spans="1:30" ht="9" customHeight="1">
      <c r="A137" s="498"/>
      <c r="B137" s="498"/>
      <c r="C137" s="496"/>
      <c r="D137" s="496"/>
      <c r="E137" s="496"/>
      <c r="F137" s="496"/>
      <c r="G137" s="496"/>
      <c r="H137" s="534"/>
      <c r="I137" s="534"/>
      <c r="J137" s="534"/>
      <c r="K137" s="534"/>
      <c r="L137" s="534"/>
      <c r="M137" s="496"/>
      <c r="N137" s="533"/>
      <c r="O137" s="568"/>
      <c r="P137" s="568"/>
      <c r="Q137" s="568"/>
      <c r="R137" s="568"/>
      <c r="S137" s="496"/>
      <c r="T137" s="496"/>
      <c r="U137" s="496"/>
      <c r="V137" s="496"/>
      <c r="W137" s="496"/>
      <c r="X137" s="496"/>
      <c r="Y137" s="604"/>
      <c r="Z137" s="499"/>
      <c r="AA137" s="502"/>
      <c r="AB137" s="499"/>
      <c r="AC137" s="499"/>
      <c r="AD137" s="499"/>
    </row>
    <row r="138" spans="1:30" ht="9" customHeight="1">
      <c r="A138" s="498"/>
      <c r="B138" s="498"/>
      <c r="C138" s="496"/>
      <c r="D138" s="496"/>
      <c r="E138" s="496"/>
      <c r="F138" s="496"/>
      <c r="G138" s="496"/>
      <c r="H138" s="534"/>
      <c r="I138" s="534"/>
      <c r="J138" s="534"/>
      <c r="K138" s="534"/>
      <c r="L138" s="534"/>
      <c r="M138" s="496"/>
      <c r="N138" s="533"/>
      <c r="O138" s="565"/>
      <c r="P138" s="565"/>
      <c r="Q138" s="565"/>
      <c r="R138" s="565"/>
      <c r="S138" s="496"/>
      <c r="T138" s="496"/>
      <c r="U138" s="496"/>
      <c r="V138" s="496"/>
      <c r="W138" s="496"/>
      <c r="X138" s="496"/>
      <c r="Y138" s="604"/>
      <c r="Z138" s="499"/>
      <c r="AA138" s="502"/>
      <c r="AB138" s="499"/>
      <c r="AC138" s="499"/>
      <c r="AD138" s="499"/>
    </row>
    <row r="139" spans="1:30" ht="9" customHeight="1">
      <c r="A139" s="498"/>
      <c r="B139" s="498"/>
      <c r="C139" s="496"/>
      <c r="D139" s="496"/>
      <c r="E139" s="496"/>
      <c r="F139" s="496"/>
      <c r="G139" s="496"/>
      <c r="H139" s="534"/>
      <c r="I139" s="534"/>
      <c r="J139" s="534"/>
      <c r="K139" s="534"/>
      <c r="L139" s="534"/>
      <c r="M139" s="496"/>
      <c r="N139" s="533"/>
      <c r="O139" s="496"/>
      <c r="P139" s="496"/>
      <c r="Q139" s="496"/>
      <c r="R139" s="496"/>
      <c r="S139" s="496"/>
      <c r="T139" s="496"/>
      <c r="U139" s="496"/>
      <c r="V139" s="496"/>
      <c r="W139" s="496"/>
      <c r="X139" s="496"/>
      <c r="Y139" s="604"/>
      <c r="Z139" s="499"/>
      <c r="AA139" s="502"/>
      <c r="AB139" s="499"/>
      <c r="AC139" s="499"/>
      <c r="AD139" s="499"/>
    </row>
    <row r="140" spans="1:30" ht="9" customHeight="1">
      <c r="A140" s="498"/>
      <c r="B140" s="498"/>
      <c r="C140" s="496"/>
      <c r="D140" s="496"/>
      <c r="E140" s="496"/>
      <c r="F140" s="496"/>
      <c r="G140" s="496"/>
      <c r="H140" s="534"/>
      <c r="I140" s="534"/>
      <c r="J140" s="534"/>
      <c r="K140" s="534"/>
      <c r="L140" s="534"/>
      <c r="M140" s="496"/>
      <c r="N140" s="533"/>
      <c r="O140" s="496"/>
      <c r="P140" s="496"/>
      <c r="Q140" s="496"/>
      <c r="R140" s="496"/>
      <c r="S140" s="496"/>
      <c r="T140" s="496"/>
      <c r="U140" s="496"/>
      <c r="V140" s="496"/>
      <c r="W140" s="496"/>
      <c r="X140" s="496"/>
      <c r="Y140" s="604"/>
      <c r="Z140" s="499"/>
      <c r="AA140" s="502"/>
      <c r="AB140" s="499"/>
      <c r="AC140" s="499"/>
      <c r="AD140" s="499"/>
    </row>
    <row r="141" spans="1:30" ht="9" customHeight="1">
      <c r="A141" s="498"/>
      <c r="B141" s="498"/>
      <c r="C141" s="496"/>
      <c r="D141" s="496"/>
      <c r="E141" s="496"/>
      <c r="F141" s="496"/>
      <c r="G141" s="496"/>
      <c r="H141" s="534"/>
      <c r="I141" s="534"/>
      <c r="J141" s="534"/>
      <c r="K141" s="534"/>
      <c r="L141" s="534"/>
      <c r="M141" s="496"/>
      <c r="N141" s="533"/>
      <c r="O141" s="496"/>
      <c r="P141" s="496"/>
      <c r="Q141" s="496"/>
      <c r="R141" s="496"/>
      <c r="S141" s="496"/>
      <c r="T141" s="496"/>
      <c r="U141" s="496"/>
      <c r="V141" s="496"/>
      <c r="W141" s="496"/>
      <c r="X141" s="496"/>
      <c r="Y141" s="604"/>
      <c r="Z141" s="499"/>
      <c r="AA141" s="502"/>
      <c r="AB141" s="499"/>
      <c r="AC141" s="499"/>
      <c r="AD141" s="499"/>
    </row>
    <row r="142" spans="1:30" ht="9" customHeight="1">
      <c r="A142" s="498"/>
      <c r="B142" s="498"/>
      <c r="C142" s="496"/>
      <c r="D142" s="496"/>
      <c r="E142" s="496"/>
      <c r="F142" s="496"/>
      <c r="G142" s="496"/>
      <c r="H142" s="534"/>
      <c r="I142" s="534"/>
      <c r="J142" s="534"/>
      <c r="K142" s="534"/>
      <c r="L142" s="534"/>
      <c r="M142" s="496"/>
      <c r="N142" s="533"/>
      <c r="O142" s="496"/>
      <c r="P142" s="496"/>
      <c r="Q142" s="496"/>
      <c r="R142" s="496"/>
      <c r="S142" s="496"/>
      <c r="T142" s="496"/>
      <c r="U142" s="496"/>
      <c r="V142" s="496"/>
      <c r="W142" s="496"/>
      <c r="X142" s="496"/>
      <c r="Y142" s="604"/>
      <c r="Z142" s="499"/>
      <c r="AA142" s="502"/>
      <c r="AB142" s="499"/>
      <c r="AC142" s="499"/>
      <c r="AD142" s="499"/>
    </row>
    <row r="143" spans="1:30" ht="9" customHeight="1">
      <c r="A143" s="498"/>
      <c r="B143" s="498"/>
      <c r="C143" s="496"/>
      <c r="D143" s="496"/>
      <c r="E143" s="496"/>
      <c r="F143" s="496"/>
      <c r="G143" s="496"/>
      <c r="H143" s="534"/>
      <c r="I143" s="534"/>
      <c r="J143" s="534"/>
      <c r="K143" s="534"/>
      <c r="L143" s="534"/>
      <c r="M143" s="496"/>
      <c r="N143" s="533"/>
      <c r="O143" s="496"/>
      <c r="P143" s="496"/>
      <c r="Q143" s="496"/>
      <c r="R143" s="496"/>
      <c r="S143" s="496"/>
      <c r="T143" s="496"/>
      <c r="U143" s="496"/>
      <c r="V143" s="496"/>
      <c r="W143" s="496"/>
      <c r="X143" s="496"/>
      <c r="Y143" s="604"/>
      <c r="Z143" s="499"/>
      <c r="AA143" s="502"/>
      <c r="AB143" s="499"/>
      <c r="AC143" s="499"/>
      <c r="AD143" s="499"/>
    </row>
    <row r="144" spans="1:30" ht="9" customHeight="1">
      <c r="A144" s="498"/>
      <c r="B144" s="498"/>
      <c r="C144" s="496"/>
      <c r="D144" s="496"/>
      <c r="E144" s="496"/>
      <c r="F144" s="496"/>
      <c r="G144" s="496"/>
      <c r="H144" s="534"/>
      <c r="I144" s="534"/>
      <c r="J144" s="534"/>
      <c r="K144" s="534"/>
      <c r="L144" s="534"/>
      <c r="M144" s="496"/>
      <c r="N144" s="533"/>
      <c r="O144" s="496"/>
      <c r="P144" s="496"/>
      <c r="Q144" s="496"/>
      <c r="R144" s="496"/>
      <c r="S144" s="496"/>
      <c r="T144" s="496"/>
      <c r="U144" s="496"/>
      <c r="V144" s="496"/>
      <c r="W144" s="496"/>
      <c r="X144" s="496"/>
      <c r="Y144" s="604"/>
      <c r="Z144" s="499"/>
      <c r="AA144" s="502"/>
      <c r="AB144" s="499"/>
      <c r="AC144" s="499"/>
      <c r="AD144" s="499"/>
    </row>
    <row r="145" spans="1:30" ht="9" customHeight="1">
      <c r="A145" s="498"/>
      <c r="B145" s="498"/>
      <c r="C145" s="496"/>
      <c r="D145" s="496"/>
      <c r="E145" s="496"/>
      <c r="F145" s="496"/>
      <c r="G145" s="496"/>
      <c r="H145" s="534"/>
      <c r="I145" s="534"/>
      <c r="J145" s="534"/>
      <c r="K145" s="534"/>
      <c r="L145" s="534"/>
      <c r="M145" s="496"/>
      <c r="N145" s="533"/>
      <c r="O145" s="496"/>
      <c r="P145" s="496"/>
      <c r="Q145" s="496"/>
      <c r="R145" s="496"/>
      <c r="S145" s="496"/>
      <c r="T145" s="496"/>
      <c r="U145" s="496"/>
      <c r="V145" s="496"/>
      <c r="W145" s="496"/>
      <c r="X145" s="496"/>
      <c r="Y145" s="604"/>
      <c r="Z145" s="499"/>
      <c r="AA145" s="502"/>
      <c r="AB145" s="499"/>
      <c r="AC145" s="499"/>
      <c r="AD145" s="499"/>
    </row>
    <row r="146" spans="1:30" ht="9" customHeight="1">
      <c r="A146" s="498"/>
      <c r="B146" s="498"/>
      <c r="C146" s="496"/>
      <c r="D146" s="496"/>
      <c r="E146" s="496"/>
      <c r="F146" s="496"/>
      <c r="G146" s="496"/>
      <c r="H146" s="534"/>
      <c r="I146" s="534"/>
      <c r="J146" s="534"/>
      <c r="K146" s="534"/>
      <c r="L146" s="534"/>
      <c r="M146" s="496"/>
      <c r="N146" s="533"/>
      <c r="O146" s="496"/>
      <c r="P146" s="496"/>
      <c r="Q146" s="496"/>
      <c r="R146" s="496"/>
      <c r="S146" s="496"/>
      <c r="T146" s="496"/>
      <c r="U146" s="496"/>
      <c r="V146" s="496"/>
      <c r="W146" s="496"/>
      <c r="X146" s="496"/>
      <c r="Y146" s="604"/>
      <c r="Z146" s="499"/>
      <c r="AA146" s="502"/>
      <c r="AB146" s="499"/>
      <c r="AC146" s="499"/>
      <c r="AD146" s="499"/>
    </row>
    <row r="147" spans="1:30" ht="9" customHeight="1">
      <c r="A147" s="498"/>
      <c r="B147" s="498"/>
      <c r="C147" s="498"/>
      <c r="D147" s="498"/>
      <c r="E147" s="498"/>
      <c r="F147" s="498"/>
      <c r="G147" s="498"/>
      <c r="H147" s="498"/>
      <c r="I147" s="498"/>
      <c r="J147" s="498"/>
      <c r="K147" s="498"/>
      <c r="L147" s="498"/>
      <c r="M147" s="498"/>
      <c r="N147" s="498"/>
      <c r="O147" s="498"/>
      <c r="P147" s="498"/>
      <c r="Q147" s="498"/>
      <c r="R147" s="498"/>
      <c r="S147" s="498"/>
      <c r="T147" s="498"/>
      <c r="U147" s="498"/>
      <c r="V147" s="498"/>
      <c r="W147" s="498"/>
      <c r="X147" s="498"/>
      <c r="Y147" s="498"/>
      <c r="Z147" s="498"/>
      <c r="AA147" s="498"/>
      <c r="AB147" s="498"/>
      <c r="AC147" s="498"/>
      <c r="AD147" s="498"/>
    </row>
    <row r="148" spans="1:30" ht="90" customHeight="1">
      <c r="A148" s="498" t="s">
        <v>1061</v>
      </c>
      <c r="B148" s="498"/>
      <c r="C148" s="496" t="s">
        <v>1561</v>
      </c>
      <c r="D148" s="496" t="s">
        <v>952</v>
      </c>
      <c r="E148" s="496" t="s">
        <v>1063</v>
      </c>
      <c r="F148" s="496" t="s">
        <v>1562</v>
      </c>
      <c r="G148" s="496"/>
      <c r="H148" s="496"/>
      <c r="I148" s="570"/>
      <c r="J148" s="570"/>
      <c r="K148" s="570"/>
      <c r="L148" s="570"/>
      <c r="M148" s="536"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501"/>
      <c r="O148" s="496"/>
      <c r="P148" s="497"/>
      <c r="Q148" s="497"/>
      <c r="R148" s="497"/>
      <c r="S148" s="496"/>
      <c r="T148" s="496" t="s">
        <v>1563</v>
      </c>
      <c r="U148" s="497"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497"/>
      <c r="W148" s="497"/>
      <c r="X148" s="496" t="s">
        <v>1564</v>
      </c>
      <c r="Y148" s="604"/>
      <c r="Z148" s="499"/>
      <c r="AA148" s="502"/>
      <c r="AB148" s="499"/>
      <c r="AC148" s="499"/>
      <c r="AD148" s="499"/>
    </row>
    <row r="149" spans="1:30" ht="9" customHeight="1">
      <c r="A149" s="498"/>
      <c r="B149" s="498"/>
      <c r="C149" s="498"/>
      <c r="D149" s="498"/>
      <c r="E149" s="498"/>
      <c r="F149" s="498"/>
      <c r="G149" s="498"/>
      <c r="H149" s="498"/>
      <c r="I149" s="498"/>
      <c r="J149" s="498"/>
      <c r="K149" s="498"/>
      <c r="L149" s="498"/>
      <c r="M149" s="498"/>
      <c r="N149" s="498"/>
      <c r="O149" s="498"/>
      <c r="P149" s="498"/>
      <c r="Q149" s="498"/>
      <c r="R149" s="498"/>
      <c r="S149" s="498"/>
      <c r="T149" s="498"/>
      <c r="U149" s="498"/>
      <c r="V149" s="498"/>
      <c r="W149" s="498"/>
      <c r="X149" s="498"/>
      <c r="Y149" s="498"/>
      <c r="Z149" s="498"/>
      <c r="AA149" s="498"/>
      <c r="AB149" s="498"/>
      <c r="AC149" s="498"/>
      <c r="AD149" s="498"/>
    </row>
    <row r="150" spans="1:30" ht="9" customHeight="1">
      <c r="A150" s="498" t="s">
        <v>1067</v>
      </c>
      <c r="B150" s="498"/>
      <c r="C150" s="496"/>
      <c r="D150" s="496"/>
      <c r="E150" s="496"/>
      <c r="F150" s="496"/>
      <c r="G150" s="496"/>
      <c r="H150" s="496"/>
      <c r="I150" s="496"/>
      <c r="J150" s="496"/>
      <c r="K150" s="496"/>
      <c r="L150" s="496"/>
      <c r="M150" s="496"/>
      <c r="N150" s="496"/>
      <c r="O150" s="496"/>
      <c r="P150" s="496"/>
      <c r="Q150" s="496"/>
      <c r="R150" s="496"/>
      <c r="S150" s="496"/>
      <c r="T150" s="496"/>
      <c r="U150" s="496"/>
      <c r="V150" s="496"/>
      <c r="W150" s="496"/>
      <c r="X150" s="496"/>
      <c r="Y150" s="604"/>
      <c r="Z150" s="499"/>
      <c r="AA150" s="502"/>
      <c r="AB150" s="499"/>
      <c r="AC150" s="499"/>
      <c r="AD150" s="499"/>
    </row>
    <row r="151" spans="1:30" ht="9" customHeight="1">
      <c r="A151" s="498"/>
      <c r="B151" s="498"/>
      <c r="C151" s="498"/>
      <c r="D151" s="498"/>
      <c r="E151" s="498"/>
      <c r="F151" s="498"/>
      <c r="G151" s="498"/>
      <c r="H151" s="498"/>
      <c r="I151" s="498"/>
      <c r="J151" s="498"/>
      <c r="K151" s="498"/>
      <c r="L151" s="498"/>
      <c r="M151" s="498"/>
      <c r="N151" s="498"/>
      <c r="O151" s="498"/>
      <c r="P151" s="498"/>
      <c r="Q151" s="498"/>
      <c r="R151" s="498"/>
      <c r="S151" s="498"/>
      <c r="T151" s="498"/>
      <c r="U151" s="498"/>
      <c r="V151" s="498"/>
      <c r="W151" s="498"/>
      <c r="X151" s="498"/>
      <c r="Y151" s="498"/>
      <c r="Z151" s="498"/>
      <c r="AA151" s="498"/>
      <c r="AB151" s="498"/>
      <c r="AC151" s="498"/>
      <c r="AD151" s="498"/>
    </row>
    <row r="152" spans="1:30" ht="9" customHeight="1">
      <c r="A152" s="498" t="s">
        <v>1072</v>
      </c>
      <c r="B152" s="498"/>
      <c r="C152" s="496"/>
      <c r="D152" s="496"/>
      <c r="E152" s="496"/>
      <c r="F152" s="496"/>
      <c r="G152" s="496"/>
      <c r="H152" s="496"/>
      <c r="I152" s="496"/>
      <c r="J152" s="496"/>
      <c r="K152" s="496"/>
      <c r="L152" s="496"/>
      <c r="M152" s="496"/>
      <c r="N152" s="496"/>
      <c r="O152" s="496"/>
      <c r="P152" s="496"/>
      <c r="Q152" s="496"/>
      <c r="R152" s="496"/>
      <c r="S152" s="496"/>
      <c r="T152" s="496"/>
      <c r="U152" s="496"/>
      <c r="V152" s="496"/>
      <c r="W152" s="496"/>
      <c r="X152" s="496"/>
      <c r="Y152" s="604"/>
      <c r="Z152" s="499"/>
      <c r="AA152" s="502"/>
      <c r="AB152" s="499"/>
      <c r="AC152" s="499"/>
      <c r="AD152" s="499"/>
    </row>
    <row r="153" spans="1:30" ht="9" customHeight="1">
      <c r="A153" s="498"/>
      <c r="B153" s="498"/>
      <c r="C153" s="498"/>
      <c r="D153" s="498"/>
      <c r="E153" s="498"/>
      <c r="F153" s="498"/>
      <c r="G153" s="498"/>
      <c r="H153" s="498"/>
      <c r="I153" s="498"/>
      <c r="J153" s="498"/>
      <c r="K153" s="498"/>
      <c r="L153" s="498"/>
      <c r="M153" s="498"/>
      <c r="N153" s="498"/>
      <c r="O153" s="498"/>
      <c r="P153" s="498"/>
      <c r="Q153" s="498"/>
      <c r="R153" s="498"/>
      <c r="S153" s="498"/>
      <c r="T153" s="498"/>
      <c r="U153" s="498"/>
      <c r="V153" s="498"/>
      <c r="W153" s="498"/>
      <c r="X153" s="498"/>
      <c r="Y153" s="498"/>
      <c r="Z153" s="498"/>
      <c r="AA153" s="498"/>
      <c r="AB153" s="498"/>
      <c r="AC153" s="498"/>
      <c r="AD153" s="498"/>
    </row>
    <row r="154" spans="1:30" ht="9" customHeight="1">
      <c r="A154" s="498" t="s">
        <v>1077</v>
      </c>
      <c r="B154" s="498"/>
      <c r="C154" s="496"/>
      <c r="D154" s="496"/>
      <c r="E154" s="496"/>
      <c r="F154" s="496"/>
      <c r="G154" s="496"/>
      <c r="H154" s="496"/>
      <c r="I154" s="496"/>
      <c r="J154" s="496"/>
      <c r="K154" s="496"/>
      <c r="L154" s="496"/>
      <c r="M154" s="496"/>
      <c r="N154" s="496"/>
      <c r="O154" s="496"/>
      <c r="P154" s="496"/>
      <c r="Q154" s="496"/>
      <c r="R154" s="496"/>
      <c r="S154" s="496"/>
      <c r="T154" s="496"/>
      <c r="U154" s="496"/>
      <c r="V154" s="496"/>
      <c r="W154" s="496"/>
      <c r="X154" s="496"/>
      <c r="Y154" s="604"/>
      <c r="Z154" s="499"/>
      <c r="AA154" s="502"/>
      <c r="AB154" s="499"/>
      <c r="AC154" s="499"/>
      <c r="AD154" s="499"/>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7CEAB-E195-CA07-829B-6AB042B24E85}">
  <sheetPr>
    <tabColor theme="6" tint="0.39997558519241921"/>
  </sheetPr>
  <dimension ref="A1:AC40"/>
  <sheetViews>
    <sheetView showGridLines="0" topLeftCell="I4"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2.28515625" style="60" hidden="1" customWidth="1"/>
    <col min="6" max="8" width="12.28515625" style="522" hidden="1" customWidth="1"/>
    <col min="9" max="9" width="3.7109375" style="32" customWidth="1"/>
    <col min="10" max="11" width="3.7109375" style="28" customWidth="1"/>
    <col min="12" max="12" width="12.7109375" style="353"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1:29" ht="14.25" hidden="1" customHeight="1"/>
    <row r="2" spans="1:29" ht="14.25" hidden="1" customHeight="1"/>
    <row r="3" spans="1:29" ht="14.25" hidden="1" customHeight="1"/>
    <row r="4" spans="1:29" ht="14.25" customHeight="1">
      <c r="J4" s="27"/>
      <c r="K4" s="27"/>
      <c r="L4" s="769"/>
      <c r="M4" s="8"/>
      <c r="N4" s="8"/>
    </row>
    <row r="5" spans="1:29" ht="64.5" customHeight="1">
      <c r="J5" s="27"/>
      <c r="K5" s="27"/>
      <c r="L5" s="1136" t="s">
        <v>1565</v>
      </c>
      <c r="M5" s="1136"/>
      <c r="N5" s="1136"/>
      <c r="O5" s="1136"/>
      <c r="P5" s="1136"/>
      <c r="Q5" s="1136"/>
      <c r="R5" s="1136"/>
      <c r="S5" s="1136"/>
      <c r="T5" s="1136"/>
      <c r="U5" s="1136"/>
      <c r="V5" s="57"/>
    </row>
    <row r="6" spans="1:29" ht="14.25" customHeight="1">
      <c r="J6" s="27"/>
      <c r="K6" s="27"/>
      <c r="L6" s="1159" t="str">
        <f>IF(org=0,"Не определено",org)</f>
        <v>ИМУП «ПОСЖИЛКОМСЕРВИС»</v>
      </c>
      <c r="M6" s="1159"/>
      <c r="N6" s="1159"/>
      <c r="O6" s="1159"/>
      <c r="P6" s="1159"/>
      <c r="Q6" s="1159"/>
      <c r="R6" s="1159"/>
      <c r="S6" s="1159"/>
      <c r="T6" s="1159"/>
      <c r="U6" s="1159"/>
      <c r="V6" s="57"/>
    </row>
    <row r="7" spans="1:29" ht="14.25" customHeight="1">
      <c r="J7" s="27"/>
      <c r="K7" s="27"/>
      <c r="L7" s="769"/>
      <c r="M7" s="8"/>
      <c r="N7" s="8"/>
      <c r="O7" s="193"/>
      <c r="P7" s="193"/>
      <c r="Q7" s="193"/>
      <c r="R7" s="193"/>
      <c r="S7" s="193"/>
      <c r="T7" s="193"/>
      <c r="U7" s="193"/>
      <c r="V7" s="193"/>
    </row>
    <row r="8" spans="1:29" s="33" customFormat="1" ht="45" customHeight="1">
      <c r="A8" s="79"/>
      <c r="B8" s="79"/>
      <c r="C8" s="79"/>
      <c r="D8" s="79"/>
      <c r="E8" s="79"/>
      <c r="F8" s="79"/>
      <c r="G8" s="79"/>
      <c r="H8" s="79"/>
      <c r="L8" s="770"/>
      <c r="M8" s="169" t="s">
        <v>40</v>
      </c>
      <c r="N8" s="174"/>
      <c r="O8" s="1278" t="str">
        <f>IF(TITLE_NAME_OR_PR_CHANGE="",IF(TITLE_NAME_OR_PR="","",TITLE_NAME_OR_PR),TITLE_NAME_OR_PR_CHANGE)</f>
        <v/>
      </c>
      <c r="P8" s="1278"/>
      <c r="Q8" s="1278"/>
      <c r="R8" s="1278"/>
      <c r="S8" s="1278"/>
      <c r="T8" s="1278"/>
      <c r="U8" s="1278"/>
      <c r="V8" s="9"/>
      <c r="W8" s="9"/>
      <c r="X8" s="162"/>
      <c r="Y8" s="66"/>
      <c r="Z8" s="66"/>
      <c r="AA8" s="66"/>
      <c r="AB8" s="66"/>
      <c r="AC8" s="66"/>
    </row>
    <row r="9" spans="1:29" s="33" customFormat="1" ht="22.5" customHeight="1">
      <c r="A9" s="79"/>
      <c r="B9" s="79"/>
      <c r="C9" s="79"/>
      <c r="D9" s="79"/>
      <c r="E9" s="79"/>
      <c r="F9" s="79"/>
      <c r="G9" s="79"/>
      <c r="H9" s="79"/>
      <c r="L9" s="770"/>
      <c r="M9" s="169" t="s">
        <v>481</v>
      </c>
      <c r="N9" s="174"/>
      <c r="O9" s="1278" t="str">
        <f>IF(TITLE_DATE_CHANGE_PERIOD="",IF(TITLE_DATE_PR="","",TITLE_DATE_PR),TITLE_DATE_CHANGE_PERIOD)</f>
        <v/>
      </c>
      <c r="P9" s="1278"/>
      <c r="Q9" s="1278"/>
      <c r="R9" s="1278"/>
      <c r="S9" s="1278"/>
      <c r="T9" s="1278"/>
      <c r="U9" s="1278"/>
      <c r="V9" s="9"/>
      <c r="W9" s="9"/>
      <c r="X9" s="162"/>
      <c r="Y9" s="66"/>
      <c r="Z9" s="66"/>
      <c r="AA9" s="66"/>
      <c r="AB9" s="66"/>
      <c r="AC9" s="66"/>
    </row>
    <row r="10" spans="1:29" s="33" customFormat="1" ht="22.5" customHeight="1">
      <c r="A10" s="79"/>
      <c r="B10" s="79"/>
      <c r="C10" s="79"/>
      <c r="D10" s="79"/>
      <c r="E10" s="79"/>
      <c r="F10" s="79"/>
      <c r="G10" s="79"/>
      <c r="H10" s="79"/>
      <c r="L10" s="353"/>
      <c r="M10" s="169" t="s">
        <v>482</v>
      </c>
      <c r="N10" s="174"/>
      <c r="O10" s="1278" t="str">
        <f>IF(TITLE_NUMBER_PR_CHANGE="",IF(TITLE_NUMBER_PR="","",TITLE_NUMBER_PR),TITLE_NUMBER_PR_CHANGE)</f>
        <v/>
      </c>
      <c r="P10" s="1278"/>
      <c r="Q10" s="1278"/>
      <c r="R10" s="1278"/>
      <c r="S10" s="1278"/>
      <c r="T10" s="1278"/>
      <c r="U10" s="1278"/>
      <c r="V10" s="9"/>
      <c r="W10" s="9"/>
      <c r="X10" s="162"/>
      <c r="Y10" s="66"/>
      <c r="Z10" s="66"/>
      <c r="AA10" s="66"/>
      <c r="AB10" s="66"/>
      <c r="AC10" s="66"/>
    </row>
    <row r="11" spans="1:29" s="33" customFormat="1" ht="22.5" customHeight="1">
      <c r="A11" s="79"/>
      <c r="B11" s="79"/>
      <c r="C11" s="79"/>
      <c r="D11" s="79"/>
      <c r="E11" s="79"/>
      <c r="F11" s="79"/>
      <c r="G11" s="79"/>
      <c r="H11" s="79"/>
      <c r="L11" s="353"/>
      <c r="M11" s="169" t="s">
        <v>41</v>
      </c>
      <c r="N11" s="174"/>
      <c r="O11" s="1278" t="str">
        <f>IF(TITLE_IST_PUB_CHANGE="",IF(TITLE_IST_PUB="","",TITLE_IST_PUB),TITLE_IST_PUB_CHANGE)</f>
        <v/>
      </c>
      <c r="P11" s="1278"/>
      <c r="Q11" s="1278"/>
      <c r="R11" s="1278"/>
      <c r="S11" s="1278"/>
      <c r="T11" s="1278"/>
      <c r="U11" s="1278"/>
      <c r="V11" s="9"/>
      <c r="W11" s="9"/>
      <c r="X11" s="162"/>
      <c r="Y11" s="66"/>
      <c r="Z11" s="66"/>
      <c r="AA11" s="66"/>
      <c r="AB11" s="66"/>
      <c r="AC11" s="66"/>
    </row>
    <row r="12" spans="1:29" s="33" customFormat="1" ht="11.25" hidden="1" customHeight="1">
      <c r="A12" s="79"/>
      <c r="B12" s="79"/>
      <c r="C12" s="79"/>
      <c r="D12" s="79"/>
      <c r="E12" s="79"/>
      <c r="F12" s="79"/>
      <c r="G12" s="79"/>
      <c r="H12" s="79"/>
      <c r="L12" s="1360"/>
      <c r="M12" s="1360"/>
      <c r="N12" s="75"/>
      <c r="O12" s="9"/>
      <c r="P12" s="9"/>
      <c r="Q12" s="9"/>
      <c r="R12" s="9"/>
      <c r="S12" s="9"/>
      <c r="T12" s="9"/>
      <c r="U12" s="9"/>
      <c r="V12" s="65" t="s">
        <v>485</v>
      </c>
      <c r="Y12" s="66"/>
      <c r="Z12" s="66"/>
      <c r="AA12" s="66"/>
      <c r="AB12" s="66"/>
      <c r="AC12" s="66"/>
    </row>
    <row r="13" spans="1:29" ht="14.25" customHeight="1">
      <c r="J13" s="27"/>
      <c r="K13" s="27"/>
      <c r="L13" s="769"/>
      <c r="M13" s="8"/>
      <c r="N13" s="741"/>
      <c r="O13" s="1296"/>
      <c r="P13" s="1296"/>
      <c r="Q13" s="1296"/>
      <c r="R13" s="1296"/>
      <c r="S13" s="1296"/>
      <c r="T13" s="1296"/>
      <c r="U13" s="1296"/>
      <c r="V13" s="1296"/>
    </row>
    <row r="14" spans="1:29" ht="14.25" customHeight="1">
      <c r="J14" s="27"/>
      <c r="K14" s="27"/>
      <c r="L14" s="1083" t="s">
        <v>288</v>
      </c>
      <c r="M14" s="1083"/>
      <c r="N14" s="1083"/>
      <c r="O14" s="1083"/>
      <c r="P14" s="1083"/>
      <c r="Q14" s="1083"/>
      <c r="R14" s="1083"/>
      <c r="S14" s="1083"/>
      <c r="T14" s="1083"/>
      <c r="U14" s="1083"/>
      <c r="V14" s="1083"/>
      <c r="W14" s="1083"/>
      <c r="X14" s="1083" t="s">
        <v>289</v>
      </c>
    </row>
    <row r="15" spans="1:29" ht="14.25" customHeight="1">
      <c r="J15" s="27"/>
      <c r="K15" s="27"/>
      <c r="L15" s="1297" t="s">
        <v>88</v>
      </c>
      <c r="M15" s="1168" t="s">
        <v>486</v>
      </c>
      <c r="N15" s="171"/>
      <c r="O15" s="1298" t="s">
        <v>1566</v>
      </c>
      <c r="P15" s="1299"/>
      <c r="Q15" s="1299"/>
      <c r="R15" s="1299"/>
      <c r="S15" s="1299"/>
      <c r="T15" s="1299"/>
      <c r="U15" s="1300"/>
      <c r="V15" s="1301" t="s">
        <v>488</v>
      </c>
      <c r="W15" s="1304" t="s">
        <v>1567</v>
      </c>
      <c r="X15" s="1083"/>
    </row>
    <row r="16" spans="1:29" ht="33.75" customHeight="1">
      <c r="J16" s="27"/>
      <c r="K16" s="27"/>
      <c r="L16" s="1297"/>
      <c r="M16" s="1168"/>
      <c r="N16" s="626"/>
      <c r="O16" s="1137" t="s">
        <v>491</v>
      </c>
      <c r="P16" s="1137" t="s">
        <v>492</v>
      </c>
      <c r="Q16" s="1065" t="s">
        <v>493</v>
      </c>
      <c r="R16" s="1064"/>
      <c r="S16" s="1065" t="s">
        <v>512</v>
      </c>
      <c r="T16" s="1070"/>
      <c r="U16" s="1064"/>
      <c r="V16" s="1302"/>
      <c r="W16" s="1305"/>
      <c r="X16" s="1083"/>
    </row>
    <row r="17" spans="1:29" ht="33.75" customHeight="1">
      <c r="A17" s="79" t="s">
        <v>136</v>
      </c>
      <c r="B17" s="79" t="s">
        <v>137</v>
      </c>
      <c r="C17" s="79" t="s">
        <v>138</v>
      </c>
      <c r="D17" s="79" t="s">
        <v>139</v>
      </c>
      <c r="E17" s="79"/>
      <c r="J17" s="27"/>
      <c r="K17" s="27"/>
      <c r="L17" s="1297"/>
      <c r="M17" s="1168"/>
      <c r="N17" s="172"/>
      <c r="O17" s="1193"/>
      <c r="P17" s="1193"/>
      <c r="Q17" s="37" t="s">
        <v>502</v>
      </c>
      <c r="R17" s="37" t="s">
        <v>503</v>
      </c>
      <c r="S17" s="37" t="s">
        <v>504</v>
      </c>
      <c r="T17" s="1174" t="s">
        <v>505</v>
      </c>
      <c r="U17" s="1188"/>
      <c r="V17" s="1303"/>
      <c r="W17" s="1306"/>
      <c r="X17" s="1083"/>
    </row>
    <row r="18" spans="1:29" s="209" customFormat="1" ht="11.25" customHeight="1">
      <c r="A18" s="79"/>
      <c r="B18" s="79"/>
      <c r="C18" s="79"/>
      <c r="D18" s="79"/>
      <c r="E18" s="79"/>
      <c r="F18" s="522"/>
      <c r="G18" s="522"/>
      <c r="H18" s="522"/>
      <c r="I18" s="743"/>
      <c r="J18" s="744"/>
      <c r="K18" s="752">
        <v>1</v>
      </c>
      <c r="L18" s="771" t="s">
        <v>110</v>
      </c>
      <c r="M18" s="753" t="s">
        <v>111</v>
      </c>
      <c r="N18" s="742" t="str">
        <f ca="1">OFFSET(N18,0,-1)</f>
        <v>2</v>
      </c>
      <c r="O18" s="754">
        <f ca="1">OFFSET(O18,0,-1)+1</f>
        <v>3</v>
      </c>
      <c r="P18" s="754"/>
      <c r="Q18" s="754">
        <f ca="1">OFFSET(Q18,0,-1)+1</f>
        <v>1</v>
      </c>
      <c r="R18" s="754">
        <f ca="1">OFFSET(R18,0,-1)+1</f>
        <v>2</v>
      </c>
      <c r="S18" s="754">
        <f ca="1">OFFSET(S18,0,-1)+1</f>
        <v>3</v>
      </c>
      <c r="T18" s="1295">
        <f ca="1">OFFSET(T18,0,-1)+1</f>
        <v>4</v>
      </c>
      <c r="U18" s="1295"/>
      <c r="V18" s="754">
        <f ca="1">OFFSET(V18,0,-2)+1</f>
        <v>5</v>
      </c>
      <c r="W18" s="742">
        <f ca="1">OFFSET(W18,0,-1)</f>
        <v>5</v>
      </c>
      <c r="X18" s="754">
        <f ca="1">OFFSET(X18,0,-1)+1</f>
        <v>6</v>
      </c>
      <c r="Y18" s="65"/>
      <c r="Z18" s="65"/>
      <c r="AA18" s="65"/>
      <c r="AB18" s="65"/>
      <c r="AC18" s="65"/>
    </row>
    <row r="19" spans="1:29" ht="21" customHeight="1">
      <c r="A19" s="798" t="s">
        <v>170</v>
      </c>
      <c r="B19" s="798" t="s">
        <v>171</v>
      </c>
      <c r="C19" s="798" t="s">
        <v>172</v>
      </c>
      <c r="D19" s="798" t="s">
        <v>173</v>
      </c>
      <c r="E19" s="798"/>
      <c r="F19" s="435"/>
      <c r="G19" s="435"/>
      <c r="H19" s="435"/>
      <c r="J19" s="2"/>
      <c r="K19" s="213"/>
      <c r="L19" s="730">
        <f>INDEX(PT_DIFFERENTIATION_NUM_NTAR,MATCH(A19,PT_DIFFERENTIATION_NTAR_ID,0))</f>
        <v>0</v>
      </c>
      <c r="M19" s="64" t="s">
        <v>125</v>
      </c>
      <c r="N19" s="170"/>
      <c r="O19" s="1355" t="str">
        <f>INDEX(PT_DIFFERENTIATION_NTAR,MATCH(A19,PT_DIFFERENTIATION_NTAR_ID,0))</f>
        <v/>
      </c>
      <c r="P19" s="1355"/>
      <c r="Q19" s="1355"/>
      <c r="R19" s="1355"/>
      <c r="S19" s="1355"/>
      <c r="T19" s="1355"/>
      <c r="U19" s="1355"/>
      <c r="V19" s="1355"/>
      <c r="W19" s="1355"/>
      <c r="X19" s="758" t="s">
        <v>457</v>
      </c>
      <c r="Z19" s="66"/>
      <c r="AA19" s="66" t="str">
        <f t="shared" ref="AA19:AA32" si="0">IF(M19="","",M19)</f>
        <v>Наименование тарифа</v>
      </c>
      <c r="AB19" s="66"/>
      <c r="AC19" s="66"/>
    </row>
    <row r="20" spans="1:29" ht="21" customHeight="1">
      <c r="A20" s="798" t="s">
        <v>170</v>
      </c>
      <c r="B20" s="798" t="s">
        <v>171</v>
      </c>
      <c r="C20" s="798" t="s">
        <v>172</v>
      </c>
      <c r="D20" s="798" t="s">
        <v>173</v>
      </c>
      <c r="E20" s="798"/>
      <c r="F20" s="435"/>
      <c r="G20" s="435"/>
      <c r="H20" s="435"/>
      <c r="I20" s="56"/>
      <c r="J20" s="210"/>
      <c r="K20" s="211"/>
      <c r="L20" s="730" t="str">
        <f>INDEX(PT_DIFFERENTIATION_NUM_TER,MATCH(B19,PT_DIFFERENTIATION_TER_ID,0))</f>
        <v>.</v>
      </c>
      <c r="M20" s="178" t="s">
        <v>458</v>
      </c>
      <c r="N20" s="170"/>
      <c r="O20" s="1355" t="str">
        <f>INDEX(PT_DIFFERENTIATION_TER,MATCH(B19,PT_DIFFERENTIATION_TER_ID,0))</f>
        <v/>
      </c>
      <c r="P20" s="1355"/>
      <c r="Q20" s="1355"/>
      <c r="R20" s="1355"/>
      <c r="S20" s="1355"/>
      <c r="T20" s="1355"/>
      <c r="U20" s="1355"/>
      <c r="V20" s="1355"/>
      <c r="W20" s="1355"/>
      <c r="X20" s="758" t="s">
        <v>459</v>
      </c>
      <c r="Z20" s="66"/>
      <c r="AA20" s="66" t="str">
        <f t="shared" si="0"/>
        <v>Территория действия тарифа</v>
      </c>
      <c r="AB20" s="66"/>
      <c r="AC20" s="66"/>
    </row>
    <row r="21" spans="1:29" ht="22.5" customHeight="1">
      <c r="A21" s="798" t="s">
        <v>170</v>
      </c>
      <c r="B21" s="798" t="s">
        <v>171</v>
      </c>
      <c r="C21" s="798" t="s">
        <v>172</v>
      </c>
      <c r="D21" s="798" t="s">
        <v>173</v>
      </c>
      <c r="E21" s="798"/>
      <c r="F21" s="435"/>
      <c r="G21" s="435"/>
      <c r="H21" s="435"/>
      <c r="I21" s="212"/>
      <c r="J21" s="210"/>
      <c r="K21" s="211"/>
      <c r="L21" s="730" t="str">
        <f>INDEX(PT_DIFFERENTIATION_NUM_CS,MATCH(C19,PT_DIFFERENTIATION_CS_ID,0))</f>
        <v>..</v>
      </c>
      <c r="M21" s="179" t="s">
        <v>460</v>
      </c>
      <c r="N21" s="170"/>
      <c r="O21" s="1355" t="str">
        <f>INDEX(PT_DIFFERENTIATION_CS,MATCH(C19,PT_DIFFERENTIATION_CS_ID,0))</f>
        <v/>
      </c>
      <c r="P21" s="1355"/>
      <c r="Q21" s="1355"/>
      <c r="R21" s="1355"/>
      <c r="S21" s="1355"/>
      <c r="T21" s="1355"/>
      <c r="U21" s="1355"/>
      <c r="V21" s="1355"/>
      <c r="W21" s="1355"/>
      <c r="X21" s="758" t="s">
        <v>461</v>
      </c>
      <c r="Z21" s="66"/>
      <c r="AA21" s="66" t="str">
        <f t="shared" si="0"/>
        <v xml:space="preserve">Наименование системы теплоснабжения </v>
      </c>
      <c r="AB21" s="66"/>
      <c r="AC21" s="66"/>
    </row>
    <row r="22" spans="1:29" ht="21" customHeight="1">
      <c r="A22" s="798" t="s">
        <v>170</v>
      </c>
      <c r="B22" s="798" t="s">
        <v>171</v>
      </c>
      <c r="C22" s="798" t="s">
        <v>172</v>
      </c>
      <c r="D22" s="798" t="s">
        <v>173</v>
      </c>
      <c r="E22" s="798"/>
      <c r="F22" s="435"/>
      <c r="G22" s="435"/>
      <c r="H22" s="435"/>
      <c r="I22" s="212"/>
      <c r="J22" s="210"/>
      <c r="K22" s="211"/>
      <c r="L22" s="730" t="str">
        <f>INDEX(PT_DIFFERENTIATION_NUM_IST_TE,MATCH(D19,PT_DIFFERENTIATION_IST_TE_ID,0))</f>
        <v>...</v>
      </c>
      <c r="M22" s="180" t="s">
        <v>462</v>
      </c>
      <c r="N22" s="170"/>
      <c r="O22" s="1355" t="str">
        <f>INDEX(PT_DIFFERENTIATION_IST_TE,MATCH(D19,PT_DIFFERENTIATION_IST_TE_ID,0))</f>
        <v/>
      </c>
      <c r="P22" s="1355"/>
      <c r="Q22" s="1355"/>
      <c r="R22" s="1355"/>
      <c r="S22" s="1355"/>
      <c r="T22" s="1355"/>
      <c r="U22" s="1355"/>
      <c r="V22" s="1355"/>
      <c r="W22" s="1355"/>
      <c r="X22" s="758" t="s">
        <v>463</v>
      </c>
      <c r="Z22" s="66"/>
      <c r="AA22" s="66" t="str">
        <f t="shared" si="0"/>
        <v xml:space="preserve">Источник тепловой энергии  </v>
      </c>
      <c r="AB22" s="66"/>
      <c r="AC22" s="66"/>
    </row>
    <row r="23" spans="1:29" ht="94.5" customHeight="1">
      <c r="A23" s="798" t="s">
        <v>170</v>
      </c>
      <c r="B23" s="798" t="s">
        <v>171</v>
      </c>
      <c r="C23" s="798" t="s">
        <v>172</v>
      </c>
      <c r="D23" s="798" t="s">
        <v>173</v>
      </c>
      <c r="E23" s="798"/>
      <c r="F23" s="1186" t="str">
        <f>L22&amp;".1"</f>
        <v>....1</v>
      </c>
      <c r="I23" s="1204">
        <v>1</v>
      </c>
      <c r="J23" s="119"/>
      <c r="K23" s="214"/>
      <c r="L23" s="730" t="str">
        <f>$F$23</f>
        <v>....1</v>
      </c>
      <c r="M23" s="163" t="s">
        <v>465</v>
      </c>
      <c r="N23" s="170"/>
      <c r="O23" s="1356"/>
      <c r="P23" s="1356"/>
      <c r="Q23" s="1356"/>
      <c r="R23" s="1356"/>
      <c r="S23" s="1356"/>
      <c r="T23" s="1356"/>
      <c r="U23" s="1356"/>
      <c r="V23" s="1356"/>
      <c r="W23" s="1356"/>
      <c r="X23" s="758" t="s">
        <v>466</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98" t="s">
        <v>170</v>
      </c>
      <c r="B24" s="798" t="s">
        <v>171</v>
      </c>
      <c r="C24" s="798" t="s">
        <v>172</v>
      </c>
      <c r="D24" s="798" t="s">
        <v>173</v>
      </c>
      <c r="E24" s="798"/>
      <c r="F24" s="1186"/>
      <c r="G24" s="1186" t="str">
        <f>F23&amp;".1"</f>
        <v>....1.1</v>
      </c>
      <c r="I24" s="1204"/>
      <c r="J24" s="1204">
        <v>1</v>
      </c>
      <c r="K24" s="215"/>
      <c r="L24" s="730" t="str">
        <f>$G$24</f>
        <v>....1.1</v>
      </c>
      <c r="M24" s="164" t="s">
        <v>468</v>
      </c>
      <c r="N24" s="170"/>
      <c r="O24" s="1357"/>
      <c r="P24" s="1358"/>
      <c r="Q24" s="1358"/>
      <c r="R24" s="1358"/>
      <c r="S24" s="1358"/>
      <c r="T24" s="1358"/>
      <c r="U24" s="1358"/>
      <c r="V24" s="1358"/>
      <c r="W24" s="1359"/>
      <c r="X24" s="758" t="s">
        <v>469</v>
      </c>
      <c r="Z24" s="66"/>
      <c r="AA24" s="66" t="str">
        <f t="shared" si="0"/>
        <v>Группа потребителей</v>
      </c>
      <c r="AB24" s="66"/>
      <c r="AC24" s="66"/>
    </row>
    <row r="25" spans="1:29" ht="11.25" customHeight="1">
      <c r="A25" s="798" t="s">
        <v>170</v>
      </c>
      <c r="B25" s="798" t="s">
        <v>171</v>
      </c>
      <c r="C25" s="798" t="s">
        <v>172</v>
      </c>
      <c r="D25" s="798" t="s">
        <v>173</v>
      </c>
      <c r="E25" s="798"/>
      <c r="F25" s="1186"/>
      <c r="G25" s="1186"/>
      <c r="H25" s="1186" t="str">
        <f>G24&amp;".1"</f>
        <v>....1.1.1</v>
      </c>
      <c r="I25" s="1204"/>
      <c r="J25" s="1204"/>
      <c r="K25" s="215">
        <v>1</v>
      </c>
      <c r="L25" s="730" t="str">
        <f>$H$25</f>
        <v>....1.1.1</v>
      </c>
      <c r="M25" s="759"/>
      <c r="N25" s="170"/>
      <c r="O25" s="317"/>
      <c r="P25" s="196"/>
      <c r="Q25" s="317"/>
      <c r="R25" s="757"/>
      <c r="S25" s="1289"/>
      <c r="T25" s="1093" t="s">
        <v>59</v>
      </c>
      <c r="U25" s="1289"/>
      <c r="V25" s="1093" t="s">
        <v>57</v>
      </c>
      <c r="W25" s="196"/>
      <c r="X25" s="1307" t="s">
        <v>471</v>
      </c>
      <c r="Y25" s="65" t="e">
        <f ca="1">STRCHECKDATE(O26:W26)</f>
        <v>#NAME?</v>
      </c>
      <c r="Z25" s="66"/>
      <c r="AA25" s="66" t="str">
        <f t="shared" si="0"/>
        <v/>
      </c>
      <c r="AB25" s="66"/>
      <c r="AC25" s="66"/>
    </row>
    <row r="26" spans="1:29" ht="11.25" customHeight="1">
      <c r="A26" s="798" t="s">
        <v>170</v>
      </c>
      <c r="B26" s="798" t="s">
        <v>171</v>
      </c>
      <c r="C26" s="798" t="s">
        <v>172</v>
      </c>
      <c r="D26" s="798" t="s">
        <v>173</v>
      </c>
      <c r="E26" s="798"/>
      <c r="F26" s="1186"/>
      <c r="G26" s="1186"/>
      <c r="H26" s="1186"/>
      <c r="I26" s="1204"/>
      <c r="J26" s="1204"/>
      <c r="K26" s="215"/>
      <c r="L26" s="62"/>
      <c r="M26" s="170"/>
      <c r="N26" s="170"/>
      <c r="O26" s="196"/>
      <c r="P26" s="196"/>
      <c r="Q26" s="196"/>
      <c r="R26" s="198" t="str">
        <f>S25&amp;"-"&amp;U25</f>
        <v>-</v>
      </c>
      <c r="S26" s="1290"/>
      <c r="T26" s="1093"/>
      <c r="U26" s="1290"/>
      <c r="V26" s="1093"/>
      <c r="W26" s="196"/>
      <c r="X26" s="1308"/>
      <c r="Z26" s="66"/>
      <c r="AA26" s="66" t="str">
        <f t="shared" si="0"/>
        <v/>
      </c>
      <c r="AB26" s="66"/>
      <c r="AC26" s="66"/>
    </row>
    <row r="27" spans="1:29" ht="15" customHeight="1">
      <c r="A27" s="798" t="s">
        <v>170</v>
      </c>
      <c r="B27" s="798" t="s">
        <v>171</v>
      </c>
      <c r="C27" s="798" t="s">
        <v>172</v>
      </c>
      <c r="D27" s="798" t="s">
        <v>173</v>
      </c>
      <c r="E27" s="798"/>
      <c r="F27" s="1186"/>
      <c r="G27" s="1186"/>
      <c r="I27" s="1204"/>
      <c r="J27" s="1204"/>
      <c r="K27" s="214"/>
      <c r="L27" s="772"/>
      <c r="M27" s="166" t="s">
        <v>472</v>
      </c>
      <c r="N27" s="221"/>
      <c r="O27" s="221"/>
      <c r="P27" s="221"/>
      <c r="Q27" s="221"/>
      <c r="R27" s="221"/>
      <c r="S27" s="221"/>
      <c r="T27" s="221"/>
      <c r="U27" s="221"/>
      <c r="V27" s="221"/>
      <c r="W27" s="195"/>
      <c r="X27" s="1309"/>
      <c r="Z27" s="66"/>
      <c r="AA27" s="66" t="str">
        <f t="shared" si="0"/>
        <v>Добавить вид теплоносителя (параметры теплоносителя)</v>
      </c>
      <c r="AB27" s="66"/>
      <c r="AC27" s="66"/>
    </row>
    <row r="28" spans="1:29" ht="15" customHeight="1">
      <c r="A28" s="798" t="s">
        <v>170</v>
      </c>
      <c r="B28" s="798" t="s">
        <v>171</v>
      </c>
      <c r="C28" s="798" t="s">
        <v>172</v>
      </c>
      <c r="D28" s="798" t="s">
        <v>173</v>
      </c>
      <c r="E28" s="798"/>
      <c r="F28" s="1186"/>
      <c r="I28" s="1204"/>
      <c r="J28" s="119"/>
      <c r="K28" s="214"/>
      <c r="L28" s="772"/>
      <c r="M28" s="165" t="s">
        <v>473</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98" t="s">
        <v>170</v>
      </c>
      <c r="B29" s="798" t="s">
        <v>171</v>
      </c>
      <c r="C29" s="798" t="s">
        <v>172</v>
      </c>
      <c r="D29" s="798" t="s">
        <v>173</v>
      </c>
      <c r="E29" s="798"/>
      <c r="F29" s="435"/>
      <c r="G29" s="435"/>
      <c r="H29" s="60"/>
      <c r="I29" s="2"/>
      <c r="J29" s="224"/>
      <c r="K29" s="213"/>
      <c r="L29" s="772"/>
      <c r="M29" s="219" t="s">
        <v>474</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98" t="s">
        <v>170</v>
      </c>
      <c r="B30" s="798" t="s">
        <v>171</v>
      </c>
      <c r="C30" s="798" t="s">
        <v>172</v>
      </c>
      <c r="D30" s="798"/>
      <c r="E30" s="798" t="s">
        <v>1568</v>
      </c>
      <c r="F30" s="435"/>
      <c r="G30" s="435"/>
      <c r="H30" s="60"/>
      <c r="I30" s="2"/>
      <c r="J30" s="224"/>
      <c r="K30" s="213"/>
      <c r="L30" s="773"/>
      <c r="M30" s="762"/>
      <c r="N30" s="763"/>
      <c r="O30" s="763"/>
      <c r="P30" s="763"/>
      <c r="Q30" s="763"/>
      <c r="R30" s="763"/>
      <c r="S30" s="763"/>
      <c r="T30" s="763"/>
      <c r="U30" s="763"/>
      <c r="V30" s="764"/>
      <c r="W30" s="763"/>
      <c r="X30" s="765"/>
      <c r="Z30" s="66"/>
      <c r="AA30" s="66" t="str">
        <f t="shared" si="0"/>
        <v/>
      </c>
      <c r="AB30" s="66"/>
      <c r="AC30" s="66"/>
    </row>
    <row r="31" spans="1:29" ht="14.25" customHeight="1">
      <c r="A31" s="798" t="s">
        <v>170</v>
      </c>
      <c r="B31" s="798" t="s">
        <v>171</v>
      </c>
      <c r="C31" s="798"/>
      <c r="D31" s="798"/>
      <c r="E31" s="798" t="s">
        <v>1569</v>
      </c>
      <c r="F31" s="859"/>
      <c r="G31" s="859"/>
      <c r="H31" s="60"/>
      <c r="I31" s="44"/>
      <c r="J31" s="224"/>
      <c r="K31" s="216"/>
      <c r="L31" s="773"/>
      <c r="M31" s="766"/>
      <c r="N31" s="763"/>
      <c r="O31" s="763"/>
      <c r="P31" s="763"/>
      <c r="Q31" s="763"/>
      <c r="R31" s="763"/>
      <c r="S31" s="763"/>
      <c r="T31" s="763"/>
      <c r="U31" s="763"/>
      <c r="V31" s="764"/>
      <c r="W31" s="763"/>
      <c r="X31" s="765"/>
      <c r="Z31" s="66"/>
      <c r="AA31" s="66" t="str">
        <f t="shared" si="0"/>
        <v/>
      </c>
      <c r="AB31" s="66"/>
      <c r="AC31" s="66"/>
    </row>
    <row r="32" spans="1:29" ht="14.25" customHeight="1">
      <c r="A32" s="798" t="s">
        <v>1570</v>
      </c>
      <c r="B32" s="798"/>
      <c r="C32" s="798"/>
      <c r="D32" s="798"/>
      <c r="E32" s="798" t="s">
        <v>105</v>
      </c>
      <c r="F32" s="859"/>
      <c r="G32" s="859"/>
      <c r="H32" s="60"/>
      <c r="I32" s="2"/>
      <c r="J32" s="224"/>
      <c r="K32" s="213"/>
      <c r="L32" s="773"/>
      <c r="M32" s="767"/>
      <c r="N32" s="763"/>
      <c r="O32" s="763"/>
      <c r="P32" s="763"/>
      <c r="Q32" s="763"/>
      <c r="R32" s="763"/>
      <c r="S32" s="763"/>
      <c r="T32" s="763"/>
      <c r="U32" s="763"/>
      <c r="V32" s="764"/>
      <c r="W32" s="763"/>
      <c r="X32" s="765"/>
      <c r="Z32" s="66"/>
      <c r="AA32" s="66" t="str">
        <f t="shared" si="0"/>
        <v/>
      </c>
      <c r="AB32" s="66"/>
      <c r="AC32" s="66"/>
    </row>
    <row r="33" spans="1:29" ht="11.25" customHeight="1">
      <c r="A33" s="798"/>
      <c r="B33" s="798"/>
      <c r="C33" s="798"/>
      <c r="D33" s="798"/>
      <c r="E33" s="798" t="s">
        <v>434</v>
      </c>
      <c r="F33" s="859"/>
      <c r="G33" s="863"/>
      <c r="H33" s="60"/>
      <c r="I33"/>
      <c r="J33"/>
      <c r="K33"/>
      <c r="L33" s="774"/>
      <c r="M33" s="768"/>
      <c r="N33" s="763"/>
      <c r="O33" s="763"/>
      <c r="P33" s="763"/>
      <c r="Q33" s="763"/>
      <c r="R33" s="763"/>
      <c r="S33" s="763"/>
      <c r="T33" s="763"/>
      <c r="U33" s="763"/>
      <c r="V33" s="764"/>
      <c r="W33" s="763"/>
      <c r="X33" s="765"/>
      <c r="Y33" s="101"/>
      <c r="Z33" s="101"/>
      <c r="AA33" s="101"/>
      <c r="AB33" s="101"/>
      <c r="AC33" s="101"/>
    </row>
    <row r="34" spans="1:29" ht="11.25" customHeight="1">
      <c r="F34" s="60"/>
      <c r="G34" s="60"/>
      <c r="H34" s="60"/>
      <c r="I34" s="9"/>
      <c r="J34" s="9"/>
      <c r="K34" s="9"/>
      <c r="Y34" s="9"/>
      <c r="Z34" s="9"/>
      <c r="AA34" s="9"/>
      <c r="AB34" s="9"/>
      <c r="AC34" s="9"/>
    </row>
    <row r="35" spans="1:29" ht="27" customHeight="1">
      <c r="H35" s="60"/>
      <c r="L35" s="383" t="s">
        <v>506</v>
      </c>
      <c r="M35" s="1284" t="s">
        <v>513</v>
      </c>
      <c r="N35" s="1284"/>
      <c r="O35" s="1284"/>
      <c r="P35" s="1284"/>
      <c r="Q35" s="1284"/>
      <c r="R35" s="1284"/>
      <c r="S35" s="1284"/>
      <c r="T35" s="1284"/>
      <c r="U35" s="1284"/>
      <c r="V35" s="1284"/>
      <c r="W35" s="1284"/>
      <c r="X35" s="1284"/>
    </row>
    <row r="36" spans="1:29" ht="104.25" customHeight="1">
      <c r="H36" s="60"/>
      <c r="M36" s="1284" t="s">
        <v>508</v>
      </c>
      <c r="N36" s="1284"/>
      <c r="O36" s="1284"/>
      <c r="P36" s="1284"/>
      <c r="Q36" s="1284"/>
      <c r="R36" s="1284"/>
      <c r="S36" s="1284"/>
      <c r="T36" s="1284"/>
      <c r="U36" s="1284"/>
      <c r="V36" s="1284"/>
      <c r="W36" s="1284"/>
      <c r="X36" s="1284"/>
    </row>
    <row r="37" spans="1:29" ht="14.25" customHeight="1">
      <c r="H37" s="60"/>
    </row>
    <row r="38" spans="1:29" ht="14.25" customHeight="1">
      <c r="H38" s="60"/>
    </row>
    <row r="39" spans="1:29" ht="14.25" customHeight="1">
      <c r="H39" s="60"/>
    </row>
    <row r="40" spans="1:29" ht="14.25" customHeight="1">
      <c r="H40" s="60"/>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1700-000000000000}"/>
    <dataValidation allowBlank="1" promptTitle="checkPeriodRange" sqref="R26 R65562 R131098 R196634 R262170 R327706 R393242 R458778 R524314 R589850 R655386 R720922 R786458 R851994 R917530 R983066" xr:uid="{00000000-0002-0000-17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17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17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1700-000004000000}">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1700-000005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1700-000006000000}">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17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784FB8-2CB1-2942-406D-6F7D80B4E838}">
  <sheetPr>
    <tabColor theme="6" tint="0.39997558519241921"/>
  </sheetPr>
  <dimension ref="A1:AC40"/>
  <sheetViews>
    <sheetView showGridLines="0" topLeftCell="A4" workbookViewId="0"/>
  </sheetViews>
  <sheetFormatPr defaultColWidth="10.5703125" defaultRowHeight="14.25" customHeight="1"/>
  <cols>
    <col min="1" max="1" width="11.5703125" style="9" customWidth="1"/>
    <col min="2" max="2" width="10.7109375" style="9" customWidth="1"/>
    <col min="3" max="3" width="10" style="9" customWidth="1"/>
    <col min="4" max="4" width="12.85546875" style="9" customWidth="1"/>
    <col min="5" max="5" width="12.28515625" style="9" customWidth="1"/>
    <col min="6" max="8" width="12.28515625" style="32" customWidth="1"/>
    <col min="9" max="9" width="3.7109375" style="32" customWidth="1"/>
    <col min="10" max="11" width="3.7109375" style="28" customWidth="1"/>
    <col min="12" max="12" width="12.7109375" style="353"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6:29" ht="14.25" hidden="1" customHeight="1"/>
    <row r="2" spans="6:29" ht="14.25" hidden="1" customHeight="1"/>
    <row r="3" spans="6:29" ht="14.25" hidden="1" customHeight="1"/>
    <row r="4" spans="6:29" ht="14.25" customHeight="1">
      <c r="J4" s="27"/>
      <c r="K4" s="27"/>
      <c r="L4" s="769"/>
      <c r="M4" s="8"/>
      <c r="N4" s="8"/>
    </row>
    <row r="5" spans="6:29" ht="64.5" customHeight="1">
      <c r="J5" s="27"/>
      <c r="K5" s="27"/>
      <c r="L5" s="1136" t="s">
        <v>1565</v>
      </c>
      <c r="M5" s="1136"/>
      <c r="N5" s="1136"/>
      <c r="O5" s="1136"/>
      <c r="P5" s="1136"/>
      <c r="Q5" s="1136"/>
      <c r="R5" s="1136"/>
      <c r="S5" s="1136"/>
      <c r="T5" s="1136"/>
      <c r="U5" s="1136"/>
      <c r="V5" s="57"/>
    </row>
    <row r="6" spans="6:29" ht="14.25" customHeight="1">
      <c r="J6" s="27"/>
      <c r="K6" s="27"/>
      <c r="L6" s="1159" t="str">
        <f>IF(org=0,"Не определено",org)</f>
        <v>ИМУП «ПОСЖИЛКОМСЕРВИС»</v>
      </c>
      <c r="M6" s="1159"/>
      <c r="N6" s="1159"/>
      <c r="O6" s="1159"/>
      <c r="P6" s="1159"/>
      <c r="Q6" s="1159"/>
      <c r="R6" s="1159"/>
      <c r="S6" s="1159"/>
      <c r="T6" s="1159"/>
      <c r="U6" s="1159"/>
      <c r="V6" s="57"/>
    </row>
    <row r="7" spans="6:29" ht="14.25" customHeight="1">
      <c r="J7" s="27"/>
      <c r="K7" s="27"/>
      <c r="L7" s="769"/>
      <c r="M7" s="8"/>
      <c r="N7" s="8"/>
      <c r="O7" s="193"/>
      <c r="P7" s="193"/>
      <c r="Q7" s="193"/>
      <c r="R7" s="193"/>
      <c r="S7" s="193"/>
      <c r="T7" s="193"/>
      <c r="U7" s="193"/>
      <c r="V7" s="193"/>
    </row>
    <row r="8" spans="6:29" s="33" customFormat="1" ht="45" customHeight="1">
      <c r="F8" s="15"/>
      <c r="G8" s="15"/>
      <c r="H8" s="15"/>
      <c r="L8" s="770"/>
      <c r="M8" s="169" t="s">
        <v>40</v>
      </c>
      <c r="N8" s="174"/>
      <c r="O8" s="1278" t="str">
        <f>IF(TITLE_NAME_OR_PR_CHANGE="",IF(TITLE_NAME_OR_PR="","",TITLE_NAME_OR_PR),TITLE_NAME_OR_PR_CHANGE)</f>
        <v/>
      </c>
      <c r="P8" s="1278"/>
      <c r="Q8" s="1278"/>
      <c r="R8" s="1278"/>
      <c r="S8" s="1278"/>
      <c r="T8" s="1278"/>
      <c r="U8" s="1278"/>
      <c r="V8" s="9"/>
      <c r="W8" s="9"/>
      <c r="X8" s="162"/>
      <c r="Y8" s="66"/>
      <c r="Z8" s="66"/>
      <c r="AA8" s="66"/>
      <c r="AB8" s="66"/>
      <c r="AC8" s="66"/>
    </row>
    <row r="9" spans="6:29" s="33" customFormat="1" ht="22.5" customHeight="1">
      <c r="F9" s="15"/>
      <c r="G9" s="15"/>
      <c r="H9" s="15"/>
      <c r="L9" s="770"/>
      <c r="M9" s="169" t="s">
        <v>481</v>
      </c>
      <c r="N9" s="174"/>
      <c r="O9" s="1278" t="str">
        <f>IF(TITLE_DATE_CHANGE_PERIOD="",IF(TITLE_DATE_PR="","",TITLE_DATE_PR),TITLE_DATE_CHANGE_PERIOD)</f>
        <v/>
      </c>
      <c r="P9" s="1278"/>
      <c r="Q9" s="1278"/>
      <c r="R9" s="1278"/>
      <c r="S9" s="1278"/>
      <c r="T9" s="1278"/>
      <c r="U9" s="1278"/>
      <c r="V9" s="9"/>
      <c r="W9" s="9"/>
      <c r="X9" s="162"/>
      <c r="Y9" s="66"/>
      <c r="Z9" s="66"/>
      <c r="AA9" s="66"/>
      <c r="AB9" s="66"/>
      <c r="AC9" s="66"/>
    </row>
    <row r="10" spans="6:29" s="33" customFormat="1" ht="22.5" customHeight="1">
      <c r="F10" s="15"/>
      <c r="G10" s="15"/>
      <c r="H10" s="15"/>
      <c r="L10" s="353"/>
      <c r="M10" s="169" t="s">
        <v>482</v>
      </c>
      <c r="N10" s="174"/>
      <c r="O10" s="1278" t="str">
        <f>IF(TITLE_NUMBER_PR_CHANGE="",IF(TITLE_NUMBER_PR="","",TITLE_NUMBER_PR),TITLE_NUMBER_PR_CHANGE)</f>
        <v/>
      </c>
      <c r="P10" s="1278"/>
      <c r="Q10" s="1278"/>
      <c r="R10" s="1278"/>
      <c r="S10" s="1278"/>
      <c r="T10" s="1278"/>
      <c r="U10" s="1278"/>
      <c r="V10" s="9"/>
      <c r="W10" s="9"/>
      <c r="X10" s="162"/>
      <c r="Y10" s="66"/>
      <c r="Z10" s="66"/>
      <c r="AA10" s="66"/>
      <c r="AB10" s="66"/>
      <c r="AC10" s="66"/>
    </row>
    <row r="11" spans="6:29" s="33" customFormat="1" ht="22.5" customHeight="1">
      <c r="F11" s="15"/>
      <c r="G11" s="15"/>
      <c r="H11" s="15"/>
      <c r="L11" s="353"/>
      <c r="M11" s="169" t="s">
        <v>41</v>
      </c>
      <c r="N11" s="174"/>
      <c r="O11" s="1278" t="str">
        <f>IF(TITLE_IST_PUB_CHANGE="",IF(TITLE_IST_PUB="","",TITLE_IST_PUB),TITLE_IST_PUB_CHANGE)</f>
        <v/>
      </c>
      <c r="P11" s="1278"/>
      <c r="Q11" s="1278"/>
      <c r="R11" s="1278"/>
      <c r="S11" s="1278"/>
      <c r="T11" s="1278"/>
      <c r="U11" s="1278"/>
      <c r="V11" s="9"/>
      <c r="W11" s="9"/>
      <c r="X11" s="162"/>
      <c r="Y11" s="66"/>
      <c r="Z11" s="66"/>
      <c r="AA11" s="66"/>
      <c r="AB11" s="66"/>
      <c r="AC11" s="66"/>
    </row>
    <row r="12" spans="6:29" s="33" customFormat="1" ht="11.25" hidden="1" customHeight="1">
      <c r="F12" s="15"/>
      <c r="G12" s="15"/>
      <c r="H12" s="15"/>
      <c r="L12" s="1360"/>
      <c r="M12" s="1360"/>
      <c r="N12" s="75"/>
      <c r="O12" s="9"/>
      <c r="P12" s="9"/>
      <c r="Q12" s="9"/>
      <c r="R12" s="9"/>
      <c r="S12" s="9"/>
      <c r="T12" s="9"/>
      <c r="U12" s="9"/>
      <c r="V12" s="65" t="s">
        <v>485</v>
      </c>
      <c r="Y12" s="66"/>
      <c r="Z12" s="66"/>
      <c r="AA12" s="66"/>
      <c r="AB12" s="66"/>
      <c r="AC12" s="66"/>
    </row>
    <row r="13" spans="6:29" ht="14.25" customHeight="1">
      <c r="J13" s="27"/>
      <c r="K13" s="27"/>
      <c r="L13" s="769"/>
      <c r="M13" s="8"/>
      <c r="N13" s="741"/>
      <c r="O13" s="1296"/>
      <c r="P13" s="1296"/>
      <c r="Q13" s="1296"/>
      <c r="R13" s="1296"/>
      <c r="S13" s="1296"/>
      <c r="T13" s="1296"/>
      <c r="U13" s="1296"/>
      <c r="V13" s="1296"/>
    </row>
    <row r="14" spans="6:29" ht="14.25" customHeight="1">
      <c r="J14" s="27"/>
      <c r="K14" s="27"/>
      <c r="L14" s="1083" t="s">
        <v>288</v>
      </c>
      <c r="M14" s="1083"/>
      <c r="N14" s="1083"/>
      <c r="O14" s="1083"/>
      <c r="P14" s="1083"/>
      <c r="Q14" s="1083"/>
      <c r="R14" s="1083"/>
      <c r="S14" s="1083"/>
      <c r="T14" s="1083"/>
      <c r="U14" s="1083"/>
      <c r="V14" s="1083"/>
      <c r="W14" s="1083"/>
      <c r="X14" s="1083" t="s">
        <v>289</v>
      </c>
    </row>
    <row r="15" spans="6:29" ht="14.25" customHeight="1">
      <c r="J15" s="27"/>
      <c r="K15" s="27"/>
      <c r="L15" s="1297" t="s">
        <v>88</v>
      </c>
      <c r="M15" s="1168" t="s">
        <v>486</v>
      </c>
      <c r="N15" s="171"/>
      <c r="O15" s="1298" t="s">
        <v>1566</v>
      </c>
      <c r="P15" s="1299"/>
      <c r="Q15" s="1299"/>
      <c r="R15" s="1299"/>
      <c r="S15" s="1299"/>
      <c r="T15" s="1299"/>
      <c r="U15" s="1300"/>
      <c r="V15" s="1301" t="s">
        <v>488</v>
      </c>
      <c r="W15" s="1304" t="s">
        <v>1567</v>
      </c>
      <c r="X15" s="1083"/>
    </row>
    <row r="16" spans="6:29" ht="33.75" customHeight="1">
      <c r="J16" s="27"/>
      <c r="K16" s="27"/>
      <c r="L16" s="1297"/>
      <c r="M16" s="1168"/>
      <c r="N16" s="626"/>
      <c r="O16" s="1137" t="s">
        <v>491</v>
      </c>
      <c r="P16" s="1137" t="s">
        <v>492</v>
      </c>
      <c r="Q16" s="1065" t="s">
        <v>493</v>
      </c>
      <c r="R16" s="1064"/>
      <c r="S16" s="1065" t="s">
        <v>512</v>
      </c>
      <c r="T16" s="1070"/>
      <c r="U16" s="1064"/>
      <c r="V16" s="1302"/>
      <c r="W16" s="1305"/>
      <c r="X16" s="1083"/>
    </row>
    <row r="17" spans="1:29" ht="33.75" customHeight="1">
      <c r="A17" s="15" t="s">
        <v>136</v>
      </c>
      <c r="B17" s="15" t="s">
        <v>137</v>
      </c>
      <c r="C17" s="15" t="s">
        <v>138</v>
      </c>
      <c r="D17" s="15" t="s">
        <v>139</v>
      </c>
      <c r="E17" s="15"/>
      <c r="J17" s="27"/>
      <c r="K17" s="27"/>
      <c r="L17" s="1297"/>
      <c r="M17" s="1168"/>
      <c r="N17" s="172"/>
      <c r="O17" s="1193"/>
      <c r="P17" s="1193"/>
      <c r="Q17" s="37" t="s">
        <v>502</v>
      </c>
      <c r="R17" s="37" t="s">
        <v>503</v>
      </c>
      <c r="S17" s="37" t="s">
        <v>504</v>
      </c>
      <c r="T17" s="1174" t="s">
        <v>505</v>
      </c>
      <c r="U17" s="1188"/>
      <c r="V17" s="1303"/>
      <c r="W17" s="1306"/>
      <c r="X17" s="1083"/>
    </row>
    <row r="18" spans="1:29" s="209" customFormat="1" ht="11.25" customHeight="1">
      <c r="A18" s="15"/>
      <c r="B18" s="15"/>
      <c r="C18" s="15"/>
      <c r="D18" s="15"/>
      <c r="E18" s="15"/>
      <c r="F18" s="32"/>
      <c r="G18" s="32"/>
      <c r="H18" s="32"/>
      <c r="I18" s="743"/>
      <c r="J18" s="744"/>
      <c r="K18" s="752">
        <v>1</v>
      </c>
      <c r="L18" s="771" t="s">
        <v>110</v>
      </c>
      <c r="M18" s="753" t="s">
        <v>111</v>
      </c>
      <c r="N18" s="742" t="str">
        <f ca="1">OFFSET(N18,0,-1)</f>
        <v>2</v>
      </c>
      <c r="O18" s="754">
        <f ca="1">OFFSET(O18,0,-1)+1</f>
        <v>3</v>
      </c>
      <c r="P18" s="754"/>
      <c r="Q18" s="754">
        <f ca="1">OFFSET(Q18,0,-1)+1</f>
        <v>1</v>
      </c>
      <c r="R18" s="754">
        <f ca="1">OFFSET(R18,0,-1)+1</f>
        <v>2</v>
      </c>
      <c r="S18" s="754">
        <f ca="1">OFFSET(S18,0,-1)+1</f>
        <v>3</v>
      </c>
      <c r="T18" s="1295">
        <f ca="1">OFFSET(T18,0,-1)+1</f>
        <v>4</v>
      </c>
      <c r="U18" s="1295"/>
      <c r="V18" s="754">
        <f ca="1">OFFSET(V18,0,-2)+1</f>
        <v>5</v>
      </c>
      <c r="W18" s="742">
        <f ca="1">OFFSET(W18,0,-1)</f>
        <v>5</v>
      </c>
      <c r="X18" s="754">
        <f ca="1">OFFSET(X18,0,-1)+1</f>
        <v>6</v>
      </c>
      <c r="Y18" s="65"/>
      <c r="Z18" s="65"/>
      <c r="AA18" s="65"/>
      <c r="AB18" s="65"/>
      <c r="AC18" s="65"/>
    </row>
    <row r="19" spans="1:29" ht="21" customHeight="1">
      <c r="A19" s="761" t="s">
        <v>1571</v>
      </c>
      <c r="B19" s="761" t="s">
        <v>1572</v>
      </c>
      <c r="C19" s="761" t="s">
        <v>1573</v>
      </c>
      <c r="D19" s="761" t="s">
        <v>1574</v>
      </c>
      <c r="E19" s="761"/>
      <c r="F19" s="353"/>
      <c r="G19" s="353"/>
      <c r="H19" s="353"/>
      <c r="J19" s="2"/>
      <c r="K19" s="213"/>
      <c r="L19" s="730" t="e">
        <f>INDEX(PT_DIFFERENTIATION_NUM_NTAR,MATCH(A19,PT_DIFFERENTIATION_NTAR_ID,0))</f>
        <v>#N/A</v>
      </c>
      <c r="M19" s="64" t="s">
        <v>125</v>
      </c>
      <c r="N19" s="170"/>
      <c r="O19" s="1355" t="e">
        <f>INDEX(PT_DIFFERENTIATION_NTAR,MATCH(A19,PT_DIFFERENTIATION_NTAR_ID,0))</f>
        <v>#N/A</v>
      </c>
      <c r="P19" s="1355"/>
      <c r="Q19" s="1355"/>
      <c r="R19" s="1355"/>
      <c r="S19" s="1355"/>
      <c r="T19" s="1355"/>
      <c r="U19" s="1355"/>
      <c r="V19" s="1355"/>
      <c r="W19" s="1355"/>
      <c r="X19" s="758" t="s">
        <v>457</v>
      </c>
      <c r="Z19" s="66"/>
      <c r="AA19" s="66" t="str">
        <f t="shared" ref="AA19:AA32" si="0">IF(M19="","",M19)</f>
        <v>Наименование тарифа</v>
      </c>
      <c r="AB19" s="66"/>
      <c r="AC19" s="66"/>
    </row>
    <row r="20" spans="1:29" ht="21" customHeight="1">
      <c r="A20" s="761" t="s">
        <v>1571</v>
      </c>
      <c r="B20" s="761" t="s">
        <v>1572</v>
      </c>
      <c r="C20" s="761" t="s">
        <v>1573</v>
      </c>
      <c r="D20" s="761" t="s">
        <v>1574</v>
      </c>
      <c r="E20" s="761"/>
      <c r="F20" s="353"/>
      <c r="G20" s="353"/>
      <c r="H20" s="353"/>
      <c r="I20" s="56"/>
      <c r="J20" s="210"/>
      <c r="K20" s="211"/>
      <c r="L20" s="730" t="e">
        <f>INDEX(PT_DIFFERENTIATION_NUM_TER,MATCH(B19,PT_DIFFERENTIATION_TER_ID,0))</f>
        <v>#N/A</v>
      </c>
      <c r="M20" s="178" t="s">
        <v>458</v>
      </c>
      <c r="N20" s="170"/>
      <c r="O20" s="1355" t="e">
        <f>INDEX(PT_DIFFERENTIATION_TER,MATCH(B19,PT_DIFFERENTIATION_TER_ID,0))</f>
        <v>#N/A</v>
      </c>
      <c r="P20" s="1355"/>
      <c r="Q20" s="1355"/>
      <c r="R20" s="1355"/>
      <c r="S20" s="1355"/>
      <c r="T20" s="1355"/>
      <c r="U20" s="1355"/>
      <c r="V20" s="1355"/>
      <c r="W20" s="1355"/>
      <c r="X20" s="758" t="s">
        <v>459</v>
      </c>
      <c r="Z20" s="66"/>
      <c r="AA20" s="66" t="str">
        <f t="shared" si="0"/>
        <v>Территория действия тарифа</v>
      </c>
      <c r="AB20" s="66"/>
      <c r="AC20" s="66"/>
    </row>
    <row r="21" spans="1:29" ht="22.5" customHeight="1">
      <c r="A21" s="761" t="s">
        <v>1571</v>
      </c>
      <c r="B21" s="761" t="s">
        <v>1572</v>
      </c>
      <c r="C21" s="761" t="s">
        <v>1573</v>
      </c>
      <c r="D21" s="761" t="s">
        <v>1574</v>
      </c>
      <c r="E21" s="761"/>
      <c r="F21" s="353"/>
      <c r="G21" s="353"/>
      <c r="H21" s="353"/>
      <c r="I21" s="212"/>
      <c r="J21" s="210"/>
      <c r="K21" s="211"/>
      <c r="L21" s="730" t="e">
        <f>INDEX(PT_DIFFERENTIATION_NUM_CS,MATCH(C19,PT_DIFFERENTIATION_CS_ID,0))</f>
        <v>#N/A</v>
      </c>
      <c r="M21" s="179" t="s">
        <v>460</v>
      </c>
      <c r="N21" s="170"/>
      <c r="O21" s="1355" t="e">
        <f>INDEX(PT_DIFFERENTIATION_CS,MATCH(C19,PT_DIFFERENTIATION_CS_ID,0))</f>
        <v>#N/A</v>
      </c>
      <c r="P21" s="1355"/>
      <c r="Q21" s="1355"/>
      <c r="R21" s="1355"/>
      <c r="S21" s="1355"/>
      <c r="T21" s="1355"/>
      <c r="U21" s="1355"/>
      <c r="V21" s="1355"/>
      <c r="W21" s="1355"/>
      <c r="X21" s="758" t="s">
        <v>461</v>
      </c>
      <c r="Z21" s="66"/>
      <c r="AA21" s="66" t="str">
        <f t="shared" si="0"/>
        <v xml:space="preserve">Наименование системы теплоснабжения </v>
      </c>
      <c r="AB21" s="66"/>
      <c r="AC21" s="66"/>
    </row>
    <row r="22" spans="1:29" ht="21" customHeight="1">
      <c r="A22" s="761" t="s">
        <v>1571</v>
      </c>
      <c r="B22" s="761" t="s">
        <v>1572</v>
      </c>
      <c r="C22" s="761" t="s">
        <v>1573</v>
      </c>
      <c r="D22" s="761" t="s">
        <v>1574</v>
      </c>
      <c r="E22" s="761"/>
      <c r="F22" s="353"/>
      <c r="G22" s="353"/>
      <c r="H22" s="353"/>
      <c r="I22" s="212"/>
      <c r="J22" s="210"/>
      <c r="K22" s="211"/>
      <c r="L22" s="730" t="e">
        <f>INDEX(PT_DIFFERENTIATION_NUM_IST_TE,MATCH(D19,PT_DIFFERENTIATION_IST_TE_ID,0))</f>
        <v>#N/A</v>
      </c>
      <c r="M22" s="180" t="s">
        <v>462</v>
      </c>
      <c r="N22" s="170"/>
      <c r="O22" s="1355" t="e">
        <f>INDEX(PT_DIFFERENTIATION_IST_TE,MATCH(D19,PT_DIFFERENTIATION_IST_TE_ID,0))</f>
        <v>#N/A</v>
      </c>
      <c r="P22" s="1355"/>
      <c r="Q22" s="1355"/>
      <c r="R22" s="1355"/>
      <c r="S22" s="1355"/>
      <c r="T22" s="1355"/>
      <c r="U22" s="1355"/>
      <c r="V22" s="1355"/>
      <c r="W22" s="1355"/>
      <c r="X22" s="758" t="s">
        <v>463</v>
      </c>
      <c r="Z22" s="66"/>
      <c r="AA22" s="66" t="str">
        <f t="shared" si="0"/>
        <v xml:space="preserve">Источник тепловой энергии  </v>
      </c>
      <c r="AB22" s="66"/>
      <c r="AC22" s="66"/>
    </row>
    <row r="23" spans="1:29" ht="94.5" customHeight="1">
      <c r="A23" s="761" t="s">
        <v>1571</v>
      </c>
      <c r="B23" s="761" t="s">
        <v>1572</v>
      </c>
      <c r="C23" s="761" t="s">
        <v>1573</v>
      </c>
      <c r="D23" s="761" t="s">
        <v>1574</v>
      </c>
      <c r="E23" s="761"/>
      <c r="F23" s="1068" t="e">
        <f>L22&amp;".1"</f>
        <v>#N/A</v>
      </c>
      <c r="I23" s="1204">
        <v>1</v>
      </c>
      <c r="J23" s="119"/>
      <c r="K23" s="214"/>
      <c r="L23" s="730" t="e">
        <f>$F$23</f>
        <v>#N/A</v>
      </c>
      <c r="M23" s="163" t="s">
        <v>465</v>
      </c>
      <c r="N23" s="170"/>
      <c r="O23" s="1356"/>
      <c r="P23" s="1356"/>
      <c r="Q23" s="1356"/>
      <c r="R23" s="1356"/>
      <c r="S23" s="1356"/>
      <c r="T23" s="1356"/>
      <c r="U23" s="1356"/>
      <c r="V23" s="1356"/>
      <c r="W23" s="1356"/>
      <c r="X23" s="758" t="s">
        <v>466</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61" t="s">
        <v>1571</v>
      </c>
      <c r="B24" s="761" t="s">
        <v>1572</v>
      </c>
      <c r="C24" s="761" t="s">
        <v>1573</v>
      </c>
      <c r="D24" s="761" t="s">
        <v>1574</v>
      </c>
      <c r="E24" s="761"/>
      <c r="F24" s="1068"/>
      <c r="G24" s="1068" t="e">
        <f>F23&amp;".1"</f>
        <v>#N/A</v>
      </c>
      <c r="I24" s="1204"/>
      <c r="J24" s="1204">
        <v>1</v>
      </c>
      <c r="K24" s="215"/>
      <c r="L24" s="730" t="e">
        <f>$G$24</f>
        <v>#N/A</v>
      </c>
      <c r="M24" s="164" t="s">
        <v>468</v>
      </c>
      <c r="N24" s="170"/>
      <c r="O24" s="1357"/>
      <c r="P24" s="1358"/>
      <c r="Q24" s="1358"/>
      <c r="R24" s="1358"/>
      <c r="S24" s="1358"/>
      <c r="T24" s="1358"/>
      <c r="U24" s="1358"/>
      <c r="V24" s="1358"/>
      <c r="W24" s="1359"/>
      <c r="X24" s="758" t="s">
        <v>469</v>
      </c>
      <c r="Z24" s="66"/>
      <c r="AA24" s="66" t="str">
        <f t="shared" si="0"/>
        <v>Группа потребителей</v>
      </c>
      <c r="AB24" s="66"/>
      <c r="AC24" s="66"/>
    </row>
    <row r="25" spans="1:29" ht="11.25" customHeight="1">
      <c r="A25" s="761" t="s">
        <v>1571</v>
      </c>
      <c r="B25" s="761" t="s">
        <v>1572</v>
      </c>
      <c r="C25" s="761" t="s">
        <v>1573</v>
      </c>
      <c r="D25" s="761" t="s">
        <v>1574</v>
      </c>
      <c r="E25" s="761"/>
      <c r="F25" s="1068"/>
      <c r="G25" s="1068"/>
      <c r="H25" s="1068" t="e">
        <f>G24&amp;".1"</f>
        <v>#N/A</v>
      </c>
      <c r="I25" s="1204"/>
      <c r="J25" s="1204"/>
      <c r="K25" s="215">
        <v>1</v>
      </c>
      <c r="L25" s="730" t="e">
        <f>$H$25</f>
        <v>#N/A</v>
      </c>
      <c r="M25" s="759"/>
      <c r="N25" s="170"/>
      <c r="O25" s="317"/>
      <c r="P25" s="196"/>
      <c r="Q25" s="317"/>
      <c r="R25" s="757"/>
      <c r="S25" s="1289"/>
      <c r="T25" s="1093" t="s">
        <v>59</v>
      </c>
      <c r="U25" s="1289"/>
      <c r="V25" s="1093" t="s">
        <v>57</v>
      </c>
      <c r="W25" s="196"/>
      <c r="X25" s="1307" t="s">
        <v>471</v>
      </c>
      <c r="Y25" s="65" t="e">
        <f ca="1">STRCHECKDATE(O26:W26)</f>
        <v>#NAME?</v>
      </c>
      <c r="Z25" s="66"/>
      <c r="AA25" s="66" t="str">
        <f t="shared" si="0"/>
        <v/>
      </c>
      <c r="AB25" s="66"/>
      <c r="AC25" s="66"/>
    </row>
    <row r="26" spans="1:29" ht="11.25" customHeight="1">
      <c r="A26" s="761" t="s">
        <v>1571</v>
      </c>
      <c r="B26" s="761" t="s">
        <v>1572</v>
      </c>
      <c r="C26" s="761" t="s">
        <v>1573</v>
      </c>
      <c r="D26" s="761" t="s">
        <v>1574</v>
      </c>
      <c r="E26" s="761"/>
      <c r="F26" s="1068"/>
      <c r="G26" s="1068"/>
      <c r="H26" s="1068"/>
      <c r="I26" s="1204"/>
      <c r="J26" s="1204"/>
      <c r="K26" s="215"/>
      <c r="L26" s="62"/>
      <c r="M26" s="170"/>
      <c r="N26" s="170"/>
      <c r="O26" s="196"/>
      <c r="P26" s="196"/>
      <c r="Q26" s="196"/>
      <c r="R26" s="198" t="str">
        <f>S25&amp;"-"&amp;U25</f>
        <v>-</v>
      </c>
      <c r="S26" s="1290"/>
      <c r="T26" s="1093"/>
      <c r="U26" s="1290"/>
      <c r="V26" s="1093"/>
      <c r="W26" s="196"/>
      <c r="X26" s="1308"/>
      <c r="Z26" s="66"/>
      <c r="AA26" s="66" t="str">
        <f t="shared" si="0"/>
        <v/>
      </c>
      <c r="AB26" s="66"/>
      <c r="AC26" s="66"/>
    </row>
    <row r="27" spans="1:29" ht="15" customHeight="1">
      <c r="A27" s="761" t="s">
        <v>1571</v>
      </c>
      <c r="B27" s="761" t="s">
        <v>1572</v>
      </c>
      <c r="C27" s="761" t="s">
        <v>1573</v>
      </c>
      <c r="D27" s="761" t="s">
        <v>1574</v>
      </c>
      <c r="E27" s="761"/>
      <c r="F27" s="1068"/>
      <c r="G27" s="1068"/>
      <c r="I27" s="1204"/>
      <c r="J27" s="1204"/>
      <c r="K27" s="214"/>
      <c r="L27" s="772"/>
      <c r="M27" s="166" t="s">
        <v>472</v>
      </c>
      <c r="N27" s="221"/>
      <c r="O27" s="221"/>
      <c r="P27" s="221"/>
      <c r="Q27" s="221"/>
      <c r="R27" s="221"/>
      <c r="S27" s="221"/>
      <c r="T27" s="221"/>
      <c r="U27" s="221"/>
      <c r="V27" s="221"/>
      <c r="W27" s="195"/>
      <c r="X27" s="1309"/>
      <c r="Z27" s="66"/>
      <c r="AA27" s="66" t="str">
        <f t="shared" si="0"/>
        <v>Добавить вид теплоносителя (параметры теплоносителя)</v>
      </c>
      <c r="AB27" s="66"/>
      <c r="AC27" s="66"/>
    </row>
    <row r="28" spans="1:29" ht="15" customHeight="1">
      <c r="A28" s="761" t="s">
        <v>1571</v>
      </c>
      <c r="B28" s="761" t="s">
        <v>1572</v>
      </c>
      <c r="C28" s="761" t="s">
        <v>1573</v>
      </c>
      <c r="D28" s="761" t="s">
        <v>1574</v>
      </c>
      <c r="E28" s="761"/>
      <c r="F28" s="1068"/>
      <c r="I28" s="1204"/>
      <c r="J28" s="119"/>
      <c r="K28" s="214"/>
      <c r="L28" s="772"/>
      <c r="M28" s="165" t="s">
        <v>473</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61" t="s">
        <v>1571</v>
      </c>
      <c r="B29" s="761" t="s">
        <v>1572</v>
      </c>
      <c r="C29" s="761" t="s">
        <v>1573</v>
      </c>
      <c r="D29" s="761" t="s">
        <v>1574</v>
      </c>
      <c r="E29" s="761"/>
      <c r="F29" s="353"/>
      <c r="G29" s="353"/>
      <c r="H29" s="9"/>
      <c r="I29" s="2"/>
      <c r="J29" s="224"/>
      <c r="K29" s="213"/>
      <c r="L29" s="772"/>
      <c r="M29" s="219" t="s">
        <v>474</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61" t="s">
        <v>1571</v>
      </c>
      <c r="B30" s="761" t="s">
        <v>1572</v>
      </c>
      <c r="C30" s="761" t="s">
        <v>1573</v>
      </c>
      <c r="D30" s="761"/>
      <c r="E30" s="761" t="s">
        <v>1568</v>
      </c>
      <c r="F30" s="353"/>
      <c r="G30" s="353"/>
      <c r="H30" s="9"/>
      <c r="I30" s="2"/>
      <c r="J30" s="224"/>
      <c r="K30" s="213"/>
      <c r="L30" s="773"/>
      <c r="M30" s="762"/>
      <c r="N30" s="763"/>
      <c r="O30" s="763"/>
      <c r="P30" s="763"/>
      <c r="Q30" s="763"/>
      <c r="R30" s="763"/>
      <c r="S30" s="763"/>
      <c r="T30" s="763"/>
      <c r="U30" s="763"/>
      <c r="V30" s="764"/>
      <c r="W30" s="763"/>
      <c r="X30" s="765"/>
      <c r="Z30" s="66"/>
      <c r="AA30" s="66" t="str">
        <f t="shared" si="0"/>
        <v/>
      </c>
      <c r="AB30" s="66"/>
      <c r="AC30" s="66"/>
    </row>
    <row r="31" spans="1:29" ht="14.25" customHeight="1">
      <c r="A31" s="761" t="s">
        <v>1571</v>
      </c>
      <c r="B31" s="761" t="s">
        <v>1572</v>
      </c>
      <c r="C31" s="761"/>
      <c r="D31" s="761"/>
      <c r="E31" s="761" t="s">
        <v>1569</v>
      </c>
      <c r="F31" s="755"/>
      <c r="G31" s="755"/>
      <c r="H31" s="9"/>
      <c r="I31" s="44"/>
      <c r="J31" s="224"/>
      <c r="K31" s="216"/>
      <c r="L31" s="773"/>
      <c r="M31" s="766"/>
      <c r="N31" s="763"/>
      <c r="O31" s="763"/>
      <c r="P31" s="763"/>
      <c r="Q31" s="763"/>
      <c r="R31" s="763"/>
      <c r="S31" s="763"/>
      <c r="T31" s="763"/>
      <c r="U31" s="763"/>
      <c r="V31" s="764"/>
      <c r="W31" s="763"/>
      <c r="X31" s="765"/>
      <c r="Z31" s="66"/>
      <c r="AA31" s="66" t="str">
        <f t="shared" si="0"/>
        <v/>
      </c>
      <c r="AB31" s="66"/>
      <c r="AC31" s="66"/>
    </row>
    <row r="32" spans="1:29" ht="14.25" customHeight="1">
      <c r="A32" s="761" t="s">
        <v>1575</v>
      </c>
      <c r="B32" s="761"/>
      <c r="C32" s="761"/>
      <c r="D32" s="761"/>
      <c r="E32" s="761" t="s">
        <v>105</v>
      </c>
      <c r="F32" s="755"/>
      <c r="G32" s="755"/>
      <c r="H32" s="9"/>
      <c r="I32" s="2"/>
      <c r="J32" s="224"/>
      <c r="K32" s="213"/>
      <c r="L32" s="773"/>
      <c r="M32" s="767"/>
      <c r="N32" s="763"/>
      <c r="O32" s="763"/>
      <c r="P32" s="763"/>
      <c r="Q32" s="763"/>
      <c r="R32" s="763"/>
      <c r="S32" s="763"/>
      <c r="T32" s="763"/>
      <c r="U32" s="763"/>
      <c r="V32" s="764"/>
      <c r="W32" s="763"/>
      <c r="X32" s="765"/>
      <c r="Z32" s="66"/>
      <c r="AA32" s="66" t="str">
        <f t="shared" si="0"/>
        <v/>
      </c>
      <c r="AB32" s="66"/>
      <c r="AC32" s="66"/>
    </row>
    <row r="33" spans="1:29" ht="11.25" customHeight="1">
      <c r="A33" s="761"/>
      <c r="B33" s="761"/>
      <c r="C33" s="761"/>
      <c r="D33" s="761"/>
      <c r="E33" s="761" t="s">
        <v>434</v>
      </c>
      <c r="F33" s="755"/>
      <c r="G33" s="756"/>
      <c r="H33" s="9"/>
      <c r="I33"/>
      <c r="J33"/>
      <c r="K33"/>
      <c r="L33" s="774"/>
      <c r="M33" s="768"/>
      <c r="N33" s="763"/>
      <c r="O33" s="763"/>
      <c r="P33" s="763"/>
      <c r="Q33" s="763"/>
      <c r="R33" s="763"/>
      <c r="S33" s="763"/>
      <c r="T33" s="763"/>
      <c r="U33" s="763"/>
      <c r="V33" s="764"/>
      <c r="W33" s="763"/>
      <c r="X33" s="765"/>
      <c r="Y33" s="101"/>
      <c r="Z33" s="101"/>
      <c r="AA33" s="101"/>
      <c r="AB33" s="101"/>
      <c r="AC33" s="101"/>
    </row>
    <row r="34" spans="1:29" ht="11.25" customHeight="1">
      <c r="F34" s="9"/>
      <c r="G34" s="9"/>
      <c r="H34" s="9"/>
      <c r="I34" s="9"/>
      <c r="J34" s="9"/>
      <c r="K34" s="9"/>
      <c r="Y34" s="9"/>
      <c r="Z34" s="9"/>
      <c r="AA34" s="9"/>
      <c r="AB34" s="9"/>
      <c r="AC34" s="9"/>
    </row>
    <row r="35" spans="1:29" ht="27" customHeight="1">
      <c r="H35" s="9"/>
      <c r="L35" s="383" t="s">
        <v>506</v>
      </c>
      <c r="M35" s="1284" t="s">
        <v>513</v>
      </c>
      <c r="N35" s="1284"/>
      <c r="O35" s="1284"/>
      <c r="P35" s="1284"/>
      <c r="Q35" s="1284"/>
      <c r="R35" s="1284"/>
      <c r="S35" s="1284"/>
      <c r="T35" s="1284"/>
      <c r="U35" s="1284"/>
      <c r="V35" s="1284"/>
      <c r="W35" s="1284"/>
      <c r="X35" s="1284"/>
    </row>
    <row r="36" spans="1:29" ht="104.25" customHeight="1">
      <c r="H36" s="9"/>
      <c r="M36" s="1284" t="s">
        <v>508</v>
      </c>
      <c r="N36" s="1284"/>
      <c r="O36" s="1284"/>
      <c r="P36" s="1284"/>
      <c r="Q36" s="1284"/>
      <c r="R36" s="1284"/>
      <c r="S36" s="1284"/>
      <c r="T36" s="1284"/>
      <c r="U36" s="1284"/>
      <c r="V36" s="1284"/>
      <c r="W36" s="1284"/>
      <c r="X36" s="1284"/>
    </row>
    <row r="37" spans="1:29" ht="14.25" customHeight="1">
      <c r="H37" s="9"/>
    </row>
    <row r="38" spans="1:29" ht="14.25" customHeight="1">
      <c r="H38" s="9"/>
    </row>
    <row r="39" spans="1:29" ht="14.25" customHeight="1">
      <c r="H39" s="9"/>
    </row>
    <row r="40" spans="1:29" ht="14.25" customHeight="1">
      <c r="H40" s="9"/>
    </row>
  </sheetData>
  <sheetProtection formatColumns="0" formatRows="0" insertRows="0" deleteColumns="0" deleteRows="0" sort="0" autoFilter="0"/>
  <mergeCells count="39">
    <mergeCell ref="M35:X35"/>
    <mergeCell ref="M36:X36"/>
    <mergeCell ref="S25:S26"/>
    <mergeCell ref="T25:T26"/>
    <mergeCell ref="U25:U26"/>
    <mergeCell ref="V25:V26"/>
    <mergeCell ref="X25:X27"/>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 ref="H25:H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1800-000000000000}">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1800-000001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1800-000002000000}">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18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1800-000004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1800-000005000000}"/>
    <dataValidation allowBlank="1" promptTitle="checkPeriodRange" sqref="R26 R65562 R131098 R196634 R262170 R327706 R393242 R458778 R524314 R589850 R655386 R720922 R786458 R851994 R917530 R983066" xr:uid="{00000000-0002-0000-1800-000006000000}"/>
    <dataValidation allowBlank="1" sqref="L131099:X131105 L196635:X196641 L262171:X262177 L327707:X327713 L393243:X393249 L458779:X458785 L524315:X524321 L589851:X589857 L655387:X655393 L720923:X720929 L786459:X786465 L851995:X852001 L917531:X917537 L983067:X983073 L65563:X65569" xr:uid="{00000000-0002-0000-18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B49E58-5DED-E3B6-CB16-A5B55D5F171D}">
  <sheetPr>
    <tabColor theme="6" tint="0.39997558519241921"/>
  </sheetPr>
  <dimension ref="A1:AC40"/>
  <sheetViews>
    <sheetView showGridLines="0" topLeftCell="A4" workbookViewId="0"/>
  </sheetViews>
  <sheetFormatPr defaultColWidth="10.5703125" defaultRowHeight="14.25" customHeight="1"/>
  <cols>
    <col min="1" max="1" width="10.5703125" style="9"/>
    <col min="2" max="2" width="11" style="9" customWidth="1"/>
    <col min="3" max="3" width="10.5703125" style="9"/>
    <col min="4" max="4" width="11.85546875" style="9" customWidth="1"/>
    <col min="5" max="5" width="12.28515625" style="9" customWidth="1"/>
    <col min="6" max="8" width="12.28515625" style="32" customWidth="1"/>
    <col min="9" max="9" width="3.7109375" style="32" customWidth="1"/>
    <col min="10" max="11" width="3.7109375" style="28" customWidth="1"/>
    <col min="12" max="12" width="12.7109375" style="353"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6:29" ht="14.25" hidden="1" customHeight="1"/>
    <row r="2" spans="6:29" ht="14.25" hidden="1" customHeight="1"/>
    <row r="3" spans="6:29" ht="14.25" hidden="1" customHeight="1"/>
    <row r="4" spans="6:29" ht="14.25" customHeight="1">
      <c r="J4" s="27"/>
      <c r="K4" s="27"/>
      <c r="L4" s="769"/>
      <c r="M4" s="8"/>
      <c r="N4" s="8"/>
    </row>
    <row r="5" spans="6:29" ht="64.5" customHeight="1">
      <c r="J5" s="27"/>
      <c r="K5" s="27"/>
      <c r="L5" s="1136" t="s">
        <v>1565</v>
      </c>
      <c r="M5" s="1136"/>
      <c r="N5" s="1136"/>
      <c r="O5" s="1136"/>
      <c r="P5" s="1136"/>
      <c r="Q5" s="1136"/>
      <c r="R5" s="1136"/>
      <c r="S5" s="1136"/>
      <c r="T5" s="1136"/>
      <c r="U5" s="1136"/>
      <c r="V5" s="57"/>
    </row>
    <row r="6" spans="6:29" ht="14.25" customHeight="1">
      <c r="J6" s="27"/>
      <c r="K6" s="27"/>
      <c r="L6" s="1159" t="str">
        <f>IF(org=0,"Не определено",org)</f>
        <v>ИМУП «ПОСЖИЛКОМСЕРВИС»</v>
      </c>
      <c r="M6" s="1159"/>
      <c r="N6" s="1159"/>
      <c r="O6" s="1159"/>
      <c r="P6" s="1159"/>
      <c r="Q6" s="1159"/>
      <c r="R6" s="1159"/>
      <c r="S6" s="1159"/>
      <c r="T6" s="1159"/>
      <c r="U6" s="1159"/>
      <c r="V6" s="57"/>
    </row>
    <row r="7" spans="6:29" ht="14.25" customHeight="1">
      <c r="J7" s="27"/>
      <c r="K7" s="27"/>
      <c r="L7" s="769"/>
      <c r="M7" s="8"/>
      <c r="N7" s="8"/>
      <c r="O7" s="193"/>
      <c r="P7" s="193"/>
      <c r="Q7" s="193"/>
      <c r="R7" s="193"/>
      <c r="S7" s="193"/>
      <c r="T7" s="193"/>
      <c r="U7" s="193"/>
      <c r="V7" s="193"/>
    </row>
    <row r="8" spans="6:29" s="33" customFormat="1" ht="45" customHeight="1">
      <c r="F8" s="15"/>
      <c r="G8" s="15"/>
      <c r="H8" s="15"/>
      <c r="L8" s="770"/>
      <c r="M8" s="169" t="s">
        <v>40</v>
      </c>
      <c r="N8" s="174"/>
      <c r="O8" s="1278" t="str">
        <f>IF(TITLE_NAME_OR_PR_CHANGE="",IF(TITLE_NAME_OR_PR="","",TITLE_NAME_OR_PR),TITLE_NAME_OR_PR_CHANGE)</f>
        <v/>
      </c>
      <c r="P8" s="1278"/>
      <c r="Q8" s="1278"/>
      <c r="R8" s="1278"/>
      <c r="S8" s="1278"/>
      <c r="T8" s="1278"/>
      <c r="U8" s="1278"/>
      <c r="V8" s="9"/>
      <c r="W8" s="9"/>
      <c r="X8" s="162"/>
      <c r="Y8" s="66"/>
      <c r="Z8" s="66"/>
      <c r="AA8" s="66"/>
      <c r="AB8" s="66"/>
      <c r="AC8" s="66"/>
    </row>
    <row r="9" spans="6:29" s="33" customFormat="1" ht="22.5" customHeight="1">
      <c r="F9" s="15"/>
      <c r="G9" s="15"/>
      <c r="H9" s="15"/>
      <c r="L9" s="770"/>
      <c r="M9" s="169" t="s">
        <v>481</v>
      </c>
      <c r="N9" s="174"/>
      <c r="O9" s="1278" t="str">
        <f>IF(TITLE_DATE_CHANGE_PERIOD="",IF(TITLE_DATE_PR="","",TITLE_DATE_PR),TITLE_DATE_CHANGE_PERIOD)</f>
        <v/>
      </c>
      <c r="P9" s="1278"/>
      <c r="Q9" s="1278"/>
      <c r="R9" s="1278"/>
      <c r="S9" s="1278"/>
      <c r="T9" s="1278"/>
      <c r="U9" s="1278"/>
      <c r="V9" s="9"/>
      <c r="W9" s="9"/>
      <c r="X9" s="162"/>
      <c r="Y9" s="66"/>
      <c r="Z9" s="66"/>
      <c r="AA9" s="66"/>
      <c r="AB9" s="66"/>
      <c r="AC9" s="66"/>
    </row>
    <row r="10" spans="6:29" s="33" customFormat="1" ht="22.5" customHeight="1">
      <c r="F10" s="15"/>
      <c r="G10" s="15"/>
      <c r="H10" s="15"/>
      <c r="L10" s="353"/>
      <c r="M10" s="169" t="s">
        <v>482</v>
      </c>
      <c r="N10" s="174"/>
      <c r="O10" s="1278" t="str">
        <f>IF(TITLE_NUMBER_PR_CHANGE="",IF(TITLE_NUMBER_PR="","",TITLE_NUMBER_PR),TITLE_NUMBER_PR_CHANGE)</f>
        <v/>
      </c>
      <c r="P10" s="1278"/>
      <c r="Q10" s="1278"/>
      <c r="R10" s="1278"/>
      <c r="S10" s="1278"/>
      <c r="T10" s="1278"/>
      <c r="U10" s="1278"/>
      <c r="V10" s="9"/>
      <c r="W10" s="9"/>
      <c r="X10" s="162"/>
      <c r="Y10" s="66"/>
      <c r="Z10" s="66"/>
      <c r="AA10" s="66"/>
      <c r="AB10" s="66"/>
      <c r="AC10" s="66"/>
    </row>
    <row r="11" spans="6:29" s="33" customFormat="1" ht="22.5" customHeight="1">
      <c r="F11" s="15"/>
      <c r="G11" s="15"/>
      <c r="H11" s="15"/>
      <c r="L11" s="353"/>
      <c r="M11" s="169" t="s">
        <v>41</v>
      </c>
      <c r="N11" s="174"/>
      <c r="O11" s="1278" t="str">
        <f>IF(TITLE_IST_PUB_CHANGE="",IF(TITLE_IST_PUB="","",TITLE_IST_PUB),TITLE_IST_PUB_CHANGE)</f>
        <v/>
      </c>
      <c r="P11" s="1278"/>
      <c r="Q11" s="1278"/>
      <c r="R11" s="1278"/>
      <c r="S11" s="1278"/>
      <c r="T11" s="1278"/>
      <c r="U11" s="1278"/>
      <c r="V11" s="9"/>
      <c r="W11" s="9"/>
      <c r="X11" s="162"/>
      <c r="Y11" s="66"/>
      <c r="Z11" s="66"/>
      <c r="AA11" s="66"/>
      <c r="AB11" s="66"/>
      <c r="AC11" s="66"/>
    </row>
    <row r="12" spans="6:29" s="33" customFormat="1" ht="11.25" hidden="1" customHeight="1">
      <c r="F12" s="15"/>
      <c r="G12" s="15"/>
      <c r="H12" s="15"/>
      <c r="L12" s="1360"/>
      <c r="M12" s="1360"/>
      <c r="N12" s="75"/>
      <c r="O12" s="9"/>
      <c r="P12" s="9"/>
      <c r="Q12" s="9"/>
      <c r="R12" s="9"/>
      <c r="S12" s="9"/>
      <c r="T12" s="9"/>
      <c r="U12" s="9"/>
      <c r="V12" s="65" t="s">
        <v>485</v>
      </c>
      <c r="Y12" s="66"/>
      <c r="Z12" s="66"/>
      <c r="AA12" s="66"/>
      <c r="AB12" s="66"/>
      <c r="AC12" s="66"/>
    </row>
    <row r="13" spans="6:29" ht="14.25" customHeight="1">
      <c r="J13" s="27"/>
      <c r="K13" s="27"/>
      <c r="L13" s="769"/>
      <c r="M13" s="8"/>
      <c r="N13" s="741"/>
      <c r="O13" s="1296"/>
      <c r="P13" s="1296"/>
      <c r="Q13" s="1296"/>
      <c r="R13" s="1296"/>
      <c r="S13" s="1296"/>
      <c r="T13" s="1296"/>
      <c r="U13" s="1296"/>
      <c r="V13" s="1296"/>
    </row>
    <row r="14" spans="6:29" ht="14.25" customHeight="1">
      <c r="J14" s="27"/>
      <c r="K14" s="27"/>
      <c r="L14" s="1083" t="s">
        <v>288</v>
      </c>
      <c r="M14" s="1083"/>
      <c r="N14" s="1083"/>
      <c r="O14" s="1083"/>
      <c r="P14" s="1083"/>
      <c r="Q14" s="1083"/>
      <c r="R14" s="1083"/>
      <c r="S14" s="1083"/>
      <c r="T14" s="1083"/>
      <c r="U14" s="1083"/>
      <c r="V14" s="1083"/>
      <c r="W14" s="1083"/>
      <c r="X14" s="1083" t="s">
        <v>289</v>
      </c>
    </row>
    <row r="15" spans="6:29" ht="14.25" customHeight="1">
      <c r="J15" s="27"/>
      <c r="K15" s="27"/>
      <c r="L15" s="1297" t="s">
        <v>88</v>
      </c>
      <c r="M15" s="1168" t="s">
        <v>486</v>
      </c>
      <c r="N15" s="171"/>
      <c r="O15" s="1298" t="s">
        <v>1566</v>
      </c>
      <c r="P15" s="1299"/>
      <c r="Q15" s="1299"/>
      <c r="R15" s="1299"/>
      <c r="S15" s="1299"/>
      <c r="T15" s="1299"/>
      <c r="U15" s="1300"/>
      <c r="V15" s="1301" t="s">
        <v>488</v>
      </c>
      <c r="W15" s="1304" t="s">
        <v>1567</v>
      </c>
      <c r="X15" s="1083"/>
    </row>
    <row r="16" spans="6:29" ht="33.75" customHeight="1">
      <c r="J16" s="27"/>
      <c r="K16" s="27"/>
      <c r="L16" s="1297"/>
      <c r="M16" s="1168"/>
      <c r="N16" s="626"/>
      <c r="O16" s="1137" t="s">
        <v>491</v>
      </c>
      <c r="P16" s="1137" t="s">
        <v>492</v>
      </c>
      <c r="Q16" s="1065" t="s">
        <v>493</v>
      </c>
      <c r="R16" s="1064"/>
      <c r="S16" s="1065" t="s">
        <v>512</v>
      </c>
      <c r="T16" s="1070"/>
      <c r="U16" s="1064"/>
      <c r="V16" s="1302"/>
      <c r="W16" s="1305"/>
      <c r="X16" s="1083"/>
    </row>
    <row r="17" spans="1:29" ht="33.75" customHeight="1">
      <c r="A17" s="15" t="s">
        <v>136</v>
      </c>
      <c r="B17" s="15" t="s">
        <v>137</v>
      </c>
      <c r="C17" s="15" t="s">
        <v>138</v>
      </c>
      <c r="D17" s="15" t="s">
        <v>139</v>
      </c>
      <c r="E17" s="15"/>
      <c r="J17" s="27"/>
      <c r="K17" s="27"/>
      <c r="L17" s="1297"/>
      <c r="M17" s="1168"/>
      <c r="N17" s="172"/>
      <c r="O17" s="1193"/>
      <c r="P17" s="1193"/>
      <c r="Q17" s="37" t="s">
        <v>502</v>
      </c>
      <c r="R17" s="37" t="s">
        <v>503</v>
      </c>
      <c r="S17" s="37" t="s">
        <v>504</v>
      </c>
      <c r="T17" s="1174" t="s">
        <v>505</v>
      </c>
      <c r="U17" s="1188"/>
      <c r="V17" s="1303"/>
      <c r="W17" s="1306"/>
      <c r="X17" s="1083"/>
    </row>
    <row r="18" spans="1:29" s="209" customFormat="1" ht="11.25" customHeight="1">
      <c r="A18" s="15"/>
      <c r="B18" s="15"/>
      <c r="C18" s="15"/>
      <c r="D18" s="15"/>
      <c r="E18" s="15"/>
      <c r="F18" s="32"/>
      <c r="G18" s="32"/>
      <c r="H18" s="32"/>
      <c r="I18" s="743"/>
      <c r="J18" s="744"/>
      <c r="K18" s="752">
        <v>1</v>
      </c>
      <c r="L18" s="771" t="s">
        <v>110</v>
      </c>
      <c r="M18" s="753" t="s">
        <v>111</v>
      </c>
      <c r="N18" s="742" t="str">
        <f ca="1">OFFSET(N18,0,-1)</f>
        <v>2</v>
      </c>
      <c r="O18" s="754">
        <f ca="1">OFFSET(O18,0,-1)+1</f>
        <v>3</v>
      </c>
      <c r="P18" s="754"/>
      <c r="Q18" s="754">
        <f ca="1">OFFSET(Q18,0,-1)+1</f>
        <v>1</v>
      </c>
      <c r="R18" s="754">
        <f ca="1">OFFSET(R18,0,-1)+1</f>
        <v>2</v>
      </c>
      <c r="S18" s="754">
        <f ca="1">OFFSET(S18,0,-1)+1</f>
        <v>3</v>
      </c>
      <c r="T18" s="1295">
        <f ca="1">OFFSET(T18,0,-1)+1</f>
        <v>4</v>
      </c>
      <c r="U18" s="1295"/>
      <c r="V18" s="754">
        <f ca="1">OFFSET(V18,0,-2)+1</f>
        <v>5</v>
      </c>
      <c r="W18" s="742">
        <f ca="1">OFFSET(W18,0,-1)</f>
        <v>5</v>
      </c>
      <c r="X18" s="754">
        <f ca="1">OFFSET(X18,0,-1)+1</f>
        <v>6</v>
      </c>
      <c r="Y18" s="65"/>
      <c r="Z18" s="65"/>
      <c r="AA18" s="65"/>
      <c r="AB18" s="65"/>
      <c r="AC18" s="65"/>
    </row>
    <row r="19" spans="1:29" ht="21" customHeight="1">
      <c r="A19" s="761" t="s">
        <v>1576</v>
      </c>
      <c r="B19" s="761" t="s">
        <v>1577</v>
      </c>
      <c r="C19" s="761" t="s">
        <v>1578</v>
      </c>
      <c r="D19" s="761" t="s">
        <v>1579</v>
      </c>
      <c r="E19" s="761"/>
      <c r="F19" s="353"/>
      <c r="G19" s="353"/>
      <c r="H19" s="353"/>
      <c r="J19" s="2"/>
      <c r="K19" s="213"/>
      <c r="L19" s="730" t="e">
        <f>INDEX(PT_DIFFERENTIATION_NUM_NTAR,MATCH(A19,PT_DIFFERENTIATION_NTAR_ID,0))</f>
        <v>#N/A</v>
      </c>
      <c r="M19" s="64" t="s">
        <v>125</v>
      </c>
      <c r="N19" s="170"/>
      <c r="O19" s="1355" t="e">
        <f>INDEX(PT_DIFFERENTIATION_NTAR,MATCH(A19,PT_DIFFERENTIATION_NTAR_ID,0))</f>
        <v>#N/A</v>
      </c>
      <c r="P19" s="1355"/>
      <c r="Q19" s="1355"/>
      <c r="R19" s="1355"/>
      <c r="S19" s="1355"/>
      <c r="T19" s="1355"/>
      <c r="U19" s="1355"/>
      <c r="V19" s="1355"/>
      <c r="W19" s="1355"/>
      <c r="X19" s="758" t="s">
        <v>457</v>
      </c>
      <c r="Z19" s="66"/>
      <c r="AA19" s="66" t="str">
        <f t="shared" ref="AA19:AA32" si="0">IF(M19="","",M19)</f>
        <v>Наименование тарифа</v>
      </c>
      <c r="AB19" s="66"/>
      <c r="AC19" s="66"/>
    </row>
    <row r="20" spans="1:29" ht="21" customHeight="1">
      <c r="A20" s="761" t="s">
        <v>1576</v>
      </c>
      <c r="B20" s="761" t="s">
        <v>1577</v>
      </c>
      <c r="C20" s="761" t="s">
        <v>1578</v>
      </c>
      <c r="D20" s="761" t="s">
        <v>1579</v>
      </c>
      <c r="E20" s="761"/>
      <c r="F20" s="353"/>
      <c r="G20" s="353"/>
      <c r="H20" s="353"/>
      <c r="I20" s="56"/>
      <c r="J20" s="210"/>
      <c r="K20" s="211"/>
      <c r="L20" s="730" t="e">
        <f>INDEX(PT_DIFFERENTIATION_NUM_TER,MATCH(B19,PT_DIFFERENTIATION_TER_ID,0))</f>
        <v>#N/A</v>
      </c>
      <c r="M20" s="178" t="s">
        <v>458</v>
      </c>
      <c r="N20" s="170"/>
      <c r="O20" s="1355" t="e">
        <f>INDEX(PT_DIFFERENTIATION_TER,MATCH(B19,PT_DIFFERENTIATION_TER_ID,0))</f>
        <v>#N/A</v>
      </c>
      <c r="P20" s="1355"/>
      <c r="Q20" s="1355"/>
      <c r="R20" s="1355"/>
      <c r="S20" s="1355"/>
      <c r="T20" s="1355"/>
      <c r="U20" s="1355"/>
      <c r="V20" s="1355"/>
      <c r="W20" s="1355"/>
      <c r="X20" s="758" t="s">
        <v>459</v>
      </c>
      <c r="Z20" s="66"/>
      <c r="AA20" s="66" t="str">
        <f t="shared" si="0"/>
        <v>Территория действия тарифа</v>
      </c>
      <c r="AB20" s="66"/>
      <c r="AC20" s="66"/>
    </row>
    <row r="21" spans="1:29" ht="22.5" customHeight="1">
      <c r="A21" s="761" t="s">
        <v>1576</v>
      </c>
      <c r="B21" s="761" t="s">
        <v>1577</v>
      </c>
      <c r="C21" s="761" t="s">
        <v>1578</v>
      </c>
      <c r="D21" s="761" t="s">
        <v>1579</v>
      </c>
      <c r="E21" s="761"/>
      <c r="F21" s="353"/>
      <c r="G21" s="353"/>
      <c r="H21" s="353"/>
      <c r="I21" s="212"/>
      <c r="J21" s="210"/>
      <c r="K21" s="211"/>
      <c r="L21" s="730" t="e">
        <f>INDEX(PT_DIFFERENTIATION_NUM_CS,MATCH(C19,PT_DIFFERENTIATION_CS_ID,0))</f>
        <v>#N/A</v>
      </c>
      <c r="M21" s="179" t="s">
        <v>460</v>
      </c>
      <c r="N21" s="170"/>
      <c r="O21" s="1355" t="e">
        <f>INDEX(PT_DIFFERENTIATION_CS,MATCH(C19,PT_DIFFERENTIATION_CS_ID,0))</f>
        <v>#N/A</v>
      </c>
      <c r="P21" s="1355"/>
      <c r="Q21" s="1355"/>
      <c r="R21" s="1355"/>
      <c r="S21" s="1355"/>
      <c r="T21" s="1355"/>
      <c r="U21" s="1355"/>
      <c r="V21" s="1355"/>
      <c r="W21" s="1355"/>
      <c r="X21" s="758" t="s">
        <v>461</v>
      </c>
      <c r="Z21" s="66"/>
      <c r="AA21" s="66" t="str">
        <f t="shared" si="0"/>
        <v xml:space="preserve">Наименование системы теплоснабжения </v>
      </c>
      <c r="AB21" s="66"/>
      <c r="AC21" s="66"/>
    </row>
    <row r="22" spans="1:29" ht="21" customHeight="1">
      <c r="A22" s="761" t="s">
        <v>1576</v>
      </c>
      <c r="B22" s="761" t="s">
        <v>1577</v>
      </c>
      <c r="C22" s="761" t="s">
        <v>1578</v>
      </c>
      <c r="D22" s="761" t="s">
        <v>1579</v>
      </c>
      <c r="E22" s="761"/>
      <c r="F22" s="353"/>
      <c r="G22" s="353"/>
      <c r="H22" s="353"/>
      <c r="I22" s="212"/>
      <c r="J22" s="210"/>
      <c r="K22" s="211"/>
      <c r="L22" s="730" t="e">
        <f>INDEX(PT_DIFFERENTIATION_NUM_IST_TE,MATCH(D19,PT_DIFFERENTIATION_IST_TE_ID,0))</f>
        <v>#N/A</v>
      </c>
      <c r="M22" s="180" t="s">
        <v>462</v>
      </c>
      <c r="N22" s="170"/>
      <c r="O22" s="1355" t="e">
        <f>INDEX(PT_DIFFERENTIATION_IST_TE,MATCH(D19,PT_DIFFERENTIATION_IST_TE_ID,0))</f>
        <v>#N/A</v>
      </c>
      <c r="P22" s="1355"/>
      <c r="Q22" s="1355"/>
      <c r="R22" s="1355"/>
      <c r="S22" s="1355"/>
      <c r="T22" s="1355"/>
      <c r="U22" s="1355"/>
      <c r="V22" s="1355"/>
      <c r="W22" s="1355"/>
      <c r="X22" s="758" t="s">
        <v>463</v>
      </c>
      <c r="Z22" s="66"/>
      <c r="AA22" s="66" t="str">
        <f t="shared" si="0"/>
        <v xml:space="preserve">Источник тепловой энергии  </v>
      </c>
      <c r="AB22" s="66"/>
      <c r="AC22" s="66"/>
    </row>
    <row r="23" spans="1:29" ht="94.5" customHeight="1">
      <c r="A23" s="761" t="s">
        <v>1576</v>
      </c>
      <c r="B23" s="761" t="s">
        <v>1577</v>
      </c>
      <c r="C23" s="761" t="s">
        <v>1578</v>
      </c>
      <c r="D23" s="761" t="s">
        <v>1579</v>
      </c>
      <c r="E23" s="761"/>
      <c r="F23" s="1068" t="e">
        <f>L22&amp;".1"</f>
        <v>#N/A</v>
      </c>
      <c r="I23" s="1204">
        <v>1</v>
      </c>
      <c r="J23" s="119"/>
      <c r="K23" s="214"/>
      <c r="L23" s="730" t="e">
        <f>$F$23</f>
        <v>#N/A</v>
      </c>
      <c r="M23" s="163" t="s">
        <v>465</v>
      </c>
      <c r="N23" s="170"/>
      <c r="O23" s="1356"/>
      <c r="P23" s="1356"/>
      <c r="Q23" s="1356"/>
      <c r="R23" s="1356"/>
      <c r="S23" s="1356"/>
      <c r="T23" s="1356"/>
      <c r="U23" s="1356"/>
      <c r="V23" s="1356"/>
      <c r="W23" s="1356"/>
      <c r="X23" s="758" t="s">
        <v>466</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61" t="s">
        <v>1576</v>
      </c>
      <c r="B24" s="761" t="s">
        <v>1577</v>
      </c>
      <c r="C24" s="761" t="s">
        <v>1578</v>
      </c>
      <c r="D24" s="761" t="s">
        <v>1579</v>
      </c>
      <c r="E24" s="761"/>
      <c r="F24" s="1068"/>
      <c r="G24" s="1068" t="e">
        <f>F23&amp;".1"</f>
        <v>#N/A</v>
      </c>
      <c r="I24" s="1204"/>
      <c r="J24" s="1204">
        <v>1</v>
      </c>
      <c r="K24" s="215"/>
      <c r="L24" s="730" t="e">
        <f>$G$24</f>
        <v>#N/A</v>
      </c>
      <c r="M24" s="164" t="s">
        <v>468</v>
      </c>
      <c r="N24" s="170"/>
      <c r="O24" s="1357"/>
      <c r="P24" s="1358"/>
      <c r="Q24" s="1358"/>
      <c r="R24" s="1358"/>
      <c r="S24" s="1358"/>
      <c r="T24" s="1358"/>
      <c r="U24" s="1358"/>
      <c r="V24" s="1358"/>
      <c r="W24" s="1359"/>
      <c r="X24" s="758" t="s">
        <v>469</v>
      </c>
      <c r="Z24" s="66"/>
      <c r="AA24" s="66" t="str">
        <f t="shared" si="0"/>
        <v>Группа потребителей</v>
      </c>
      <c r="AB24" s="66"/>
      <c r="AC24" s="66"/>
    </row>
    <row r="25" spans="1:29" ht="11.25" customHeight="1">
      <c r="A25" s="761" t="s">
        <v>1576</v>
      </c>
      <c r="B25" s="761" t="s">
        <v>1577</v>
      </c>
      <c r="C25" s="761" t="s">
        <v>1578</v>
      </c>
      <c r="D25" s="761" t="s">
        <v>1579</v>
      </c>
      <c r="E25" s="761"/>
      <c r="F25" s="1068"/>
      <c r="G25" s="1068"/>
      <c r="H25" s="1068" t="e">
        <f>G24&amp;".1"</f>
        <v>#N/A</v>
      </c>
      <c r="I25" s="1204"/>
      <c r="J25" s="1204"/>
      <c r="K25" s="215">
        <v>1</v>
      </c>
      <c r="L25" s="730" t="e">
        <f>$H$25</f>
        <v>#N/A</v>
      </c>
      <c r="M25" s="759"/>
      <c r="N25" s="170"/>
      <c r="O25" s="317"/>
      <c r="P25" s="196"/>
      <c r="Q25" s="317"/>
      <c r="R25" s="757"/>
      <c r="S25" s="1289"/>
      <c r="T25" s="1093" t="s">
        <v>59</v>
      </c>
      <c r="U25" s="1289"/>
      <c r="V25" s="1093" t="s">
        <v>57</v>
      </c>
      <c r="W25" s="196"/>
      <c r="X25" s="1307" t="s">
        <v>471</v>
      </c>
      <c r="Y25" s="65" t="e">
        <f ca="1">STRCHECKDATE(O26:W26)</f>
        <v>#NAME?</v>
      </c>
      <c r="Z25" s="66"/>
      <c r="AA25" s="66" t="str">
        <f t="shared" si="0"/>
        <v/>
      </c>
      <c r="AB25" s="66"/>
      <c r="AC25" s="66"/>
    </row>
    <row r="26" spans="1:29" ht="11.25" customHeight="1">
      <c r="A26" s="761" t="s">
        <v>1576</v>
      </c>
      <c r="B26" s="761" t="s">
        <v>1577</v>
      </c>
      <c r="C26" s="761" t="s">
        <v>1578</v>
      </c>
      <c r="D26" s="761" t="s">
        <v>1579</v>
      </c>
      <c r="E26" s="761"/>
      <c r="F26" s="1068"/>
      <c r="G26" s="1068"/>
      <c r="H26" s="1068"/>
      <c r="I26" s="1204"/>
      <c r="J26" s="1204"/>
      <c r="K26" s="215"/>
      <c r="L26" s="62"/>
      <c r="M26" s="170"/>
      <c r="N26" s="170"/>
      <c r="O26" s="196"/>
      <c r="P26" s="196"/>
      <c r="Q26" s="196"/>
      <c r="R26" s="198" t="str">
        <f>S25&amp;"-"&amp;U25</f>
        <v>-</v>
      </c>
      <c r="S26" s="1290"/>
      <c r="T26" s="1093"/>
      <c r="U26" s="1290"/>
      <c r="V26" s="1093"/>
      <c r="W26" s="196"/>
      <c r="X26" s="1308"/>
      <c r="Z26" s="66"/>
      <c r="AA26" s="66" t="str">
        <f t="shared" si="0"/>
        <v/>
      </c>
      <c r="AB26" s="66"/>
      <c r="AC26" s="66"/>
    </row>
    <row r="27" spans="1:29" ht="15" customHeight="1">
      <c r="A27" s="761" t="s">
        <v>1576</v>
      </c>
      <c r="B27" s="761" t="s">
        <v>1577</v>
      </c>
      <c r="C27" s="761" t="s">
        <v>1578</v>
      </c>
      <c r="D27" s="761" t="s">
        <v>1579</v>
      </c>
      <c r="E27" s="761"/>
      <c r="F27" s="1068"/>
      <c r="G27" s="1068"/>
      <c r="I27" s="1204"/>
      <c r="J27" s="1204"/>
      <c r="K27" s="214"/>
      <c r="L27" s="772"/>
      <c r="M27" s="166" t="s">
        <v>472</v>
      </c>
      <c r="N27" s="221"/>
      <c r="O27" s="221"/>
      <c r="P27" s="221"/>
      <c r="Q27" s="221"/>
      <c r="R27" s="221"/>
      <c r="S27" s="221"/>
      <c r="T27" s="221"/>
      <c r="U27" s="221"/>
      <c r="V27" s="221"/>
      <c r="W27" s="195"/>
      <c r="X27" s="1309"/>
      <c r="Z27" s="66"/>
      <c r="AA27" s="66" t="str">
        <f t="shared" si="0"/>
        <v>Добавить вид теплоносителя (параметры теплоносителя)</v>
      </c>
      <c r="AB27" s="66"/>
      <c r="AC27" s="66"/>
    </row>
    <row r="28" spans="1:29" ht="15" customHeight="1">
      <c r="A28" s="761" t="s">
        <v>1576</v>
      </c>
      <c r="B28" s="761" t="s">
        <v>1577</v>
      </c>
      <c r="C28" s="761" t="s">
        <v>1578</v>
      </c>
      <c r="D28" s="761" t="s">
        <v>1579</v>
      </c>
      <c r="E28" s="761"/>
      <c r="F28" s="1068"/>
      <c r="I28" s="1204"/>
      <c r="J28" s="119"/>
      <c r="K28" s="214"/>
      <c r="L28" s="772"/>
      <c r="M28" s="165" t="s">
        <v>473</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61" t="s">
        <v>1576</v>
      </c>
      <c r="B29" s="761" t="s">
        <v>1577</v>
      </c>
      <c r="C29" s="761" t="s">
        <v>1578</v>
      </c>
      <c r="D29" s="761" t="s">
        <v>1579</v>
      </c>
      <c r="E29" s="761"/>
      <c r="F29" s="353"/>
      <c r="G29" s="353"/>
      <c r="H29" s="9"/>
      <c r="I29" s="2"/>
      <c r="J29" s="224"/>
      <c r="K29" s="213"/>
      <c r="L29" s="772"/>
      <c r="M29" s="219" t="s">
        <v>474</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61" t="s">
        <v>1576</v>
      </c>
      <c r="B30" s="761" t="s">
        <v>1577</v>
      </c>
      <c r="C30" s="761" t="s">
        <v>1578</v>
      </c>
      <c r="D30" s="761"/>
      <c r="E30" s="761" t="s">
        <v>1568</v>
      </c>
      <c r="F30" s="353"/>
      <c r="G30" s="353"/>
      <c r="H30" s="9"/>
      <c r="I30" s="2"/>
      <c r="J30" s="224"/>
      <c r="K30" s="213"/>
      <c r="L30" s="773"/>
      <c r="M30" s="762"/>
      <c r="N30" s="763"/>
      <c r="O30" s="763"/>
      <c r="P30" s="763"/>
      <c r="Q30" s="763"/>
      <c r="R30" s="763"/>
      <c r="S30" s="763"/>
      <c r="T30" s="763"/>
      <c r="U30" s="763"/>
      <c r="V30" s="764"/>
      <c r="W30" s="763"/>
      <c r="X30" s="765"/>
      <c r="Z30" s="66"/>
      <c r="AA30" s="66" t="str">
        <f t="shared" si="0"/>
        <v/>
      </c>
      <c r="AB30" s="66"/>
      <c r="AC30" s="66"/>
    </row>
    <row r="31" spans="1:29" ht="14.25" customHeight="1">
      <c r="A31" s="761" t="s">
        <v>1576</v>
      </c>
      <c r="B31" s="761" t="s">
        <v>1577</v>
      </c>
      <c r="C31" s="761"/>
      <c r="D31" s="761"/>
      <c r="E31" s="761" t="s">
        <v>1569</v>
      </c>
      <c r="F31" s="755"/>
      <c r="G31" s="755"/>
      <c r="H31" s="9"/>
      <c r="I31" s="44"/>
      <c r="J31" s="224"/>
      <c r="K31" s="216"/>
      <c r="L31" s="773"/>
      <c r="M31" s="766"/>
      <c r="N31" s="763"/>
      <c r="O31" s="763"/>
      <c r="P31" s="763"/>
      <c r="Q31" s="763"/>
      <c r="R31" s="763"/>
      <c r="S31" s="763"/>
      <c r="T31" s="763"/>
      <c r="U31" s="763"/>
      <c r="V31" s="764"/>
      <c r="W31" s="763"/>
      <c r="X31" s="765"/>
      <c r="Z31" s="66"/>
      <c r="AA31" s="66" t="str">
        <f t="shared" si="0"/>
        <v/>
      </c>
      <c r="AB31" s="66"/>
      <c r="AC31" s="66"/>
    </row>
    <row r="32" spans="1:29" ht="14.25" customHeight="1">
      <c r="A32" s="761" t="s">
        <v>1580</v>
      </c>
      <c r="B32" s="761"/>
      <c r="C32" s="761"/>
      <c r="D32" s="761"/>
      <c r="E32" s="761" t="s">
        <v>105</v>
      </c>
      <c r="F32" s="755"/>
      <c r="G32" s="755"/>
      <c r="H32" s="9"/>
      <c r="I32" s="2"/>
      <c r="J32" s="224"/>
      <c r="K32" s="213"/>
      <c r="L32" s="773"/>
      <c r="M32" s="767"/>
      <c r="N32" s="763"/>
      <c r="O32" s="763"/>
      <c r="P32" s="763"/>
      <c r="Q32" s="763"/>
      <c r="R32" s="763"/>
      <c r="S32" s="763"/>
      <c r="T32" s="763"/>
      <c r="U32" s="763"/>
      <c r="V32" s="764"/>
      <c r="W32" s="763"/>
      <c r="X32" s="765"/>
      <c r="Z32" s="66"/>
      <c r="AA32" s="66" t="str">
        <f t="shared" si="0"/>
        <v/>
      </c>
      <c r="AB32" s="66"/>
      <c r="AC32" s="66"/>
    </row>
    <row r="33" spans="1:29" ht="11.25" customHeight="1">
      <c r="A33" s="761"/>
      <c r="B33" s="761"/>
      <c r="C33" s="761"/>
      <c r="D33" s="761"/>
      <c r="E33" s="761" t="s">
        <v>434</v>
      </c>
      <c r="F33" s="755"/>
      <c r="G33" s="756"/>
      <c r="H33" s="9"/>
      <c r="I33"/>
      <c r="J33"/>
      <c r="K33"/>
      <c r="L33" s="774"/>
      <c r="M33" s="768"/>
      <c r="N33" s="763"/>
      <c r="O33" s="763"/>
      <c r="P33" s="763"/>
      <c r="Q33" s="763"/>
      <c r="R33" s="763"/>
      <c r="S33" s="763"/>
      <c r="T33" s="763"/>
      <c r="U33" s="763"/>
      <c r="V33" s="764"/>
      <c r="W33" s="763"/>
      <c r="X33" s="765"/>
      <c r="Y33" s="101"/>
      <c r="Z33" s="101"/>
      <c r="AA33" s="101"/>
      <c r="AB33" s="101"/>
      <c r="AC33" s="101"/>
    </row>
    <row r="34" spans="1:29" ht="11.25" customHeight="1">
      <c r="F34" s="9"/>
      <c r="G34" s="9"/>
      <c r="H34" s="9"/>
      <c r="I34" s="9"/>
      <c r="J34" s="9"/>
      <c r="K34" s="9"/>
      <c r="Y34" s="9"/>
      <c r="Z34" s="9"/>
      <c r="AA34" s="9"/>
      <c r="AB34" s="9"/>
      <c r="AC34" s="9"/>
    </row>
    <row r="35" spans="1:29" ht="27" customHeight="1">
      <c r="H35" s="9"/>
      <c r="L35" s="383" t="s">
        <v>506</v>
      </c>
      <c r="M35" s="1284" t="s">
        <v>513</v>
      </c>
      <c r="N35" s="1284"/>
      <c r="O35" s="1284"/>
      <c r="P35" s="1284"/>
      <c r="Q35" s="1284"/>
      <c r="R35" s="1284"/>
      <c r="S35" s="1284"/>
      <c r="T35" s="1284"/>
      <c r="U35" s="1284"/>
      <c r="V35" s="1284"/>
      <c r="W35" s="1284"/>
      <c r="X35" s="1284"/>
    </row>
    <row r="36" spans="1:29" ht="104.25" customHeight="1">
      <c r="H36" s="9"/>
      <c r="M36" s="1284" t="s">
        <v>508</v>
      </c>
      <c r="N36" s="1284"/>
      <c r="O36" s="1284"/>
      <c r="P36" s="1284"/>
      <c r="Q36" s="1284"/>
      <c r="R36" s="1284"/>
      <c r="S36" s="1284"/>
      <c r="T36" s="1284"/>
      <c r="U36" s="1284"/>
      <c r="V36" s="1284"/>
      <c r="W36" s="1284"/>
      <c r="X36" s="1284"/>
    </row>
    <row r="37" spans="1:29" ht="14.25" customHeight="1">
      <c r="H37" s="9"/>
    </row>
    <row r="38" spans="1:29" ht="14.25" customHeight="1">
      <c r="H38" s="9"/>
    </row>
    <row r="39" spans="1:29" ht="14.25" customHeight="1">
      <c r="H39" s="9"/>
    </row>
    <row r="40" spans="1:29" ht="14.25" customHeight="1">
      <c r="H40" s="9"/>
    </row>
  </sheetData>
  <sheetProtection formatColumns="0" formatRows="0" insertRows="0" deleteColumns="0" deleteRows="0" sort="0" autoFilter="0"/>
  <mergeCells count="39">
    <mergeCell ref="M35:X35"/>
    <mergeCell ref="M36:X36"/>
    <mergeCell ref="S25:S26"/>
    <mergeCell ref="T25:T26"/>
    <mergeCell ref="U25:U26"/>
    <mergeCell ref="V25:V26"/>
    <mergeCell ref="X25:X27"/>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 ref="H25:H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1900-000000000000}"/>
    <dataValidation allowBlank="1" promptTitle="checkPeriodRange" sqref="R26 R65562 R131098 R196634 R262170 R327706 R393242 R458778 R524314 R589850 R655386 R720922 R786458 R851994 R917530 R983066" xr:uid="{00000000-0002-0000-19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19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19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1900-000004000000}">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1900-000005000000}">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1900-000006000000}">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19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267BA-FC21-C01E-5B6C-FB3AC52F8BBC}">
  <sheetPr>
    <tabColor theme="6" tint="0.39997558519241921"/>
  </sheetPr>
  <dimension ref="A1:AC32"/>
  <sheetViews>
    <sheetView showGridLines="0" topLeftCell="A4" workbookViewId="0"/>
  </sheetViews>
  <sheetFormatPr defaultColWidth="10.5703125" defaultRowHeight="14.25" customHeight="1"/>
  <cols>
    <col min="1" max="6" width="10.5703125" style="65"/>
    <col min="7" max="8" width="9.140625" style="228" customWidth="1"/>
    <col min="9" max="9" width="3.7109375" style="32" customWidth="1"/>
    <col min="10" max="11" width="3.7109375" style="28" customWidth="1"/>
    <col min="12" max="12" width="12.7109375" style="9" customWidth="1"/>
    <col min="13" max="13" width="47.42578125" style="9" customWidth="1"/>
    <col min="14" max="14" width="2.7109375" style="9" hidden="1" customWidth="1"/>
    <col min="15" max="18" width="23.7109375" style="9" customWidth="1"/>
    <col min="19" max="19" width="11.7109375" style="9" customWidth="1"/>
    <col min="20" max="20" width="3.7109375" style="9" customWidth="1"/>
    <col min="21" max="21" width="11.7109375" style="9" customWidth="1"/>
    <col min="22" max="22" width="8.5703125" style="9" hidden="1" customWidth="1"/>
    <col min="23" max="23" width="4.7109375" style="9" customWidth="1"/>
    <col min="24" max="24" width="115.7109375" style="9" customWidth="1"/>
    <col min="25" max="29" width="10.5703125" style="65"/>
  </cols>
  <sheetData>
    <row r="1" spans="1:29" ht="14.25" hidden="1" customHeight="1"/>
    <row r="2" spans="1:29" ht="14.25" hidden="1" customHeight="1"/>
    <row r="3" spans="1:29" ht="14.25" hidden="1" customHeight="1"/>
    <row r="4" spans="1:29" ht="14.25" customHeight="1">
      <c r="J4" s="27"/>
      <c r="K4" s="27"/>
      <c r="L4" s="8"/>
      <c r="M4" s="8"/>
      <c r="N4" s="8"/>
      <c r="V4" s="8"/>
    </row>
    <row r="5" spans="1:29" ht="14.25" customHeight="1">
      <c r="J5" s="27"/>
      <c r="K5" s="27"/>
      <c r="L5" s="1365" t="s">
        <v>1581</v>
      </c>
      <c r="M5" s="1365"/>
      <c r="N5" s="1365"/>
      <c r="O5" s="1365"/>
      <c r="P5" s="1365"/>
      <c r="Q5" s="1365"/>
      <c r="R5" s="1365"/>
      <c r="S5" s="1365"/>
      <c r="T5" s="1365"/>
      <c r="U5" s="160"/>
      <c r="V5" s="160"/>
    </row>
    <row r="6" spans="1:29" ht="14.25" customHeight="1">
      <c r="J6" s="27"/>
      <c r="K6" s="27"/>
      <c r="L6" s="8"/>
      <c r="M6" s="8"/>
      <c r="N6" s="8"/>
      <c r="O6" s="193"/>
      <c r="P6" s="193"/>
      <c r="Q6" s="193"/>
      <c r="R6" s="193"/>
      <c r="S6" s="193"/>
      <c r="T6" s="193"/>
      <c r="U6" s="8"/>
    </row>
    <row r="7" spans="1:29" s="33" customFormat="1" ht="22.5" customHeight="1">
      <c r="A7" s="66"/>
      <c r="B7" s="66"/>
      <c r="C7" s="66"/>
      <c r="D7" s="66"/>
      <c r="E7" s="66"/>
      <c r="F7" s="66"/>
      <c r="G7" s="66"/>
      <c r="H7" s="66"/>
      <c r="L7" s="161"/>
      <c r="M7" s="169" t="s">
        <v>40</v>
      </c>
      <c r="N7" s="174"/>
      <c r="O7" s="1366" t="e">
        <f>IF(NameOrPr_ch="",IF(NameOrPr="","",NameOrPr),NameOrPr_ch)</f>
        <v>#NAME?</v>
      </c>
      <c r="P7" s="1367"/>
      <c r="Q7" s="1367"/>
      <c r="R7" s="1367"/>
      <c r="S7" s="1367"/>
      <c r="T7" s="1368"/>
      <c r="U7" s="745"/>
      <c r="Y7" s="66"/>
      <c r="Z7" s="66"/>
      <c r="AA7" s="66"/>
      <c r="AB7" s="66"/>
      <c r="AC7" s="66"/>
    </row>
    <row r="8" spans="1:29" s="33" customFormat="1" ht="18.75" customHeight="1">
      <c r="A8" s="66"/>
      <c r="B8" s="66"/>
      <c r="C8" s="66"/>
      <c r="D8" s="66"/>
      <c r="E8" s="66"/>
      <c r="F8" s="66"/>
      <c r="G8" s="66"/>
      <c r="H8" s="66"/>
      <c r="L8" s="161"/>
      <c r="M8" s="169" t="s">
        <v>481</v>
      </c>
      <c r="N8" s="174"/>
      <c r="O8" s="1366" t="e">
        <f>IF(datePr_ch="",IF(datePr="","",datePr),datePr_ch)</f>
        <v>#NAME?</v>
      </c>
      <c r="P8" s="1367"/>
      <c r="Q8" s="1367"/>
      <c r="R8" s="1367"/>
      <c r="S8" s="1367"/>
      <c r="T8" s="1368"/>
      <c r="U8" s="745"/>
      <c r="Y8" s="66"/>
      <c r="Z8" s="66"/>
      <c r="AA8" s="66"/>
      <c r="AB8" s="66"/>
      <c r="AC8" s="66"/>
    </row>
    <row r="9" spans="1:29" s="33" customFormat="1" ht="18.75" customHeight="1">
      <c r="A9" s="66"/>
      <c r="B9" s="66"/>
      <c r="C9" s="66"/>
      <c r="D9" s="66"/>
      <c r="E9" s="66"/>
      <c r="F9" s="66"/>
      <c r="G9" s="66"/>
      <c r="H9" s="66"/>
      <c r="L9" s="9"/>
      <c r="M9" s="169" t="s">
        <v>482</v>
      </c>
      <c r="N9" s="174"/>
      <c r="O9" s="1366" t="e">
        <f>IF(numberPr_ch="",IF(numberPr="","",numberPr),numberPr_ch)</f>
        <v>#NAME?</v>
      </c>
      <c r="P9" s="1367"/>
      <c r="Q9" s="1367"/>
      <c r="R9" s="1367"/>
      <c r="S9" s="1367"/>
      <c r="T9" s="1368"/>
      <c r="U9" s="745"/>
      <c r="Y9" s="66"/>
      <c r="Z9" s="66"/>
      <c r="AA9" s="66"/>
      <c r="AB9" s="66"/>
      <c r="AC9" s="66"/>
    </row>
    <row r="10" spans="1:29" s="33" customFormat="1" ht="18.75" customHeight="1">
      <c r="A10" s="66"/>
      <c r="B10" s="66"/>
      <c r="C10" s="66"/>
      <c r="D10" s="66"/>
      <c r="E10" s="66"/>
      <c r="F10" s="66"/>
      <c r="G10" s="66"/>
      <c r="H10" s="66"/>
      <c r="L10" s="9"/>
      <c r="M10" s="169" t="s">
        <v>41</v>
      </c>
      <c r="N10" s="174"/>
      <c r="O10" s="1366" t="e">
        <f>IF(IstPub_ch="",IF(IstPub="","",IstPub),IstPub_ch)</f>
        <v>#NAME?</v>
      </c>
      <c r="P10" s="1367"/>
      <c r="Q10" s="1367"/>
      <c r="R10" s="1367"/>
      <c r="S10" s="1367"/>
      <c r="T10" s="1368"/>
      <c r="U10" s="745"/>
      <c r="Y10" s="66"/>
      <c r="Z10" s="66"/>
      <c r="AA10" s="66"/>
      <c r="AB10" s="66"/>
      <c r="AC10" s="66"/>
    </row>
    <row r="11" spans="1:29" s="33" customFormat="1" ht="18.75" hidden="1" customHeight="1">
      <c r="A11" s="66"/>
      <c r="B11" s="66"/>
      <c r="C11" s="66"/>
      <c r="D11" s="66"/>
      <c r="E11" s="66"/>
      <c r="F11" s="66"/>
      <c r="G11" s="66"/>
      <c r="H11" s="66"/>
      <c r="L11" s="9"/>
      <c r="M11" s="192"/>
      <c r="O11" s="77"/>
      <c r="P11" s="77"/>
      <c r="Q11" s="66" t="s">
        <v>1582</v>
      </c>
      <c r="R11" s="66" t="s">
        <v>1583</v>
      </c>
      <c r="S11" s="77"/>
      <c r="T11" s="77"/>
      <c r="U11" s="745"/>
      <c r="Y11" s="66"/>
      <c r="Z11" s="66"/>
      <c r="AA11" s="66"/>
      <c r="AB11" s="66"/>
      <c r="AC11" s="66"/>
    </row>
    <row r="12" spans="1:29" s="33" customFormat="1" ht="11.25" hidden="1" customHeight="1">
      <c r="A12" s="66"/>
      <c r="B12" s="66"/>
      <c r="C12" s="66"/>
      <c r="D12" s="66"/>
      <c r="E12" s="66"/>
      <c r="F12" s="66"/>
      <c r="G12" s="66"/>
      <c r="H12" s="66"/>
      <c r="L12" s="1360"/>
      <c r="M12" s="1360"/>
      <c r="N12" s="75"/>
      <c r="O12" s="9"/>
      <c r="P12" s="9"/>
      <c r="Q12" s="9"/>
      <c r="R12" s="9"/>
      <c r="S12" s="9"/>
      <c r="T12" s="9"/>
      <c r="U12" s="353"/>
      <c r="V12" s="65" t="s">
        <v>485</v>
      </c>
      <c r="Y12" s="66"/>
      <c r="Z12" s="66"/>
      <c r="AA12" s="66"/>
      <c r="AB12" s="66"/>
      <c r="AC12" s="66"/>
    </row>
    <row r="13" spans="1:29" ht="14.25" customHeight="1">
      <c r="J13" s="27"/>
      <c r="K13" s="27"/>
      <c r="L13" s="8"/>
      <c r="M13" s="8"/>
      <c r="N13" s="8"/>
      <c r="O13" s="747"/>
      <c r="P13" s="747"/>
      <c r="Q13" s="1363"/>
      <c r="R13" s="1363"/>
      <c r="S13" s="1363"/>
      <c r="T13" s="1363"/>
      <c r="U13" s="1363"/>
      <c r="V13" s="1363"/>
    </row>
    <row r="14" spans="1:29" ht="14.25" customHeight="1">
      <c r="J14" s="27"/>
      <c r="K14" s="27"/>
      <c r="L14" s="1083" t="s">
        <v>288</v>
      </c>
      <c r="M14" s="1083"/>
      <c r="N14" s="1083"/>
      <c r="O14" s="1083"/>
      <c r="P14" s="1083"/>
      <c r="Q14" s="1083"/>
      <c r="R14" s="1083"/>
      <c r="S14" s="1083"/>
      <c r="T14" s="1083"/>
      <c r="U14" s="1083"/>
      <c r="V14" s="1083"/>
      <c r="W14" s="1083"/>
      <c r="X14" s="1083" t="s">
        <v>289</v>
      </c>
    </row>
    <row r="15" spans="1:29" ht="14.25" customHeight="1">
      <c r="J15" s="27"/>
      <c r="K15" s="27"/>
      <c r="L15" s="1168" t="s">
        <v>88</v>
      </c>
      <c r="M15" s="1168" t="s">
        <v>1584</v>
      </c>
      <c r="N15" s="34"/>
      <c r="O15" s="1168" t="s">
        <v>1585</v>
      </c>
      <c r="P15" s="1167" t="s">
        <v>1586</v>
      </c>
      <c r="Q15" s="1167" t="s">
        <v>1566</v>
      </c>
      <c r="R15" s="1167"/>
      <c r="S15" s="1167"/>
      <c r="T15" s="1167"/>
      <c r="U15" s="1167"/>
      <c r="V15" s="1168" t="s">
        <v>488</v>
      </c>
      <c r="W15" s="1364" t="s">
        <v>1567</v>
      </c>
      <c r="X15" s="1083"/>
    </row>
    <row r="16" spans="1:29" ht="25.5" customHeight="1">
      <c r="J16" s="27"/>
      <c r="K16" s="27"/>
      <c r="L16" s="1168"/>
      <c r="M16" s="1168"/>
      <c r="N16" s="34"/>
      <c r="O16" s="1168"/>
      <c r="P16" s="1167"/>
      <c r="Q16" s="1167" t="s">
        <v>1587</v>
      </c>
      <c r="R16" s="1167"/>
      <c r="S16" s="1083" t="s">
        <v>512</v>
      </c>
      <c r="T16" s="1083"/>
      <c r="U16" s="1083"/>
      <c r="V16" s="1168"/>
      <c r="W16" s="1364"/>
      <c r="X16" s="1083"/>
    </row>
    <row r="17" spans="1:29" ht="14.25" customHeight="1">
      <c r="J17" s="27"/>
      <c r="K17" s="27"/>
      <c r="L17" s="1168"/>
      <c r="M17" s="1168"/>
      <c r="N17" s="34"/>
      <c r="O17" s="1168"/>
      <c r="P17" s="1167"/>
      <c r="Q17" s="34" t="s">
        <v>549</v>
      </c>
      <c r="R17" s="34" t="s">
        <v>550</v>
      </c>
      <c r="S17" s="37" t="s">
        <v>504</v>
      </c>
      <c r="T17" s="1135" t="s">
        <v>505</v>
      </c>
      <c r="U17" s="1135"/>
      <c r="V17" s="1168"/>
      <c r="W17" s="1364"/>
      <c r="X17" s="1083"/>
    </row>
    <row r="18" spans="1:29" ht="14.25" customHeight="1">
      <c r="J18" s="27"/>
      <c r="K18" s="167">
        <v>1</v>
      </c>
      <c r="L18" s="20" t="s">
        <v>110</v>
      </c>
      <c r="M18" s="20" t="s">
        <v>111</v>
      </c>
      <c r="N18" s="746" t="s">
        <v>111</v>
      </c>
      <c r="O18" s="292">
        <f t="shared" ref="O18:T18" ca="1" si="0">OFFSET(O18,0,-1)+1</f>
        <v>3</v>
      </c>
      <c r="P18" s="292">
        <f t="shared" ca="1" si="0"/>
        <v>4</v>
      </c>
      <c r="Q18" s="292">
        <f t="shared" ca="1" si="0"/>
        <v>5</v>
      </c>
      <c r="R18" s="292">
        <f t="shared" ca="1" si="0"/>
        <v>6</v>
      </c>
      <c r="S18" s="292">
        <f t="shared" ca="1" si="0"/>
        <v>7</v>
      </c>
      <c r="T18" s="1361">
        <f t="shared" ca="1" si="0"/>
        <v>8</v>
      </c>
      <c r="U18" s="1361"/>
      <c r="V18" s="292">
        <f ca="1">OFFSET(V18,0,-2)+1</f>
        <v>9</v>
      </c>
      <c r="X18" s="292">
        <f ca="1">OFFSET(X18,0,-2)+1</f>
        <v>10</v>
      </c>
    </row>
    <row r="19" spans="1:29" ht="22.5" customHeight="1">
      <c r="A19" s="1204">
        <v>1</v>
      </c>
      <c r="J19" s="27"/>
      <c r="K19" s="27"/>
      <c r="L19" s="730" t="e">
        <f ca="1">MERGEVALUE(A19)</f>
        <v>#NAME?</v>
      </c>
      <c r="M19" s="64" t="s">
        <v>125</v>
      </c>
      <c r="N19" s="64"/>
      <c r="O19" s="1362"/>
      <c r="P19" s="1362"/>
      <c r="Q19" s="1362"/>
      <c r="R19" s="1362"/>
      <c r="S19" s="1362"/>
      <c r="T19" s="1362"/>
      <c r="U19" s="1362"/>
      <c r="V19" s="1362"/>
      <c r="W19" s="1362"/>
      <c r="X19" s="64" t="s">
        <v>457</v>
      </c>
    </row>
    <row r="20" spans="1:29" ht="22.5" customHeight="1">
      <c r="A20" s="1204"/>
      <c r="B20" s="1204">
        <v>1</v>
      </c>
      <c r="G20" s="229"/>
      <c r="H20" s="119"/>
      <c r="I20" s="218"/>
      <c r="J20" s="21"/>
      <c r="K20" s="9"/>
      <c r="L20" s="730" t="e">
        <f ca="1">MERGEVALUE(A20)&amp;"."&amp;MERGEVALUE(B20)</f>
        <v>#NAME?</v>
      </c>
      <c r="M20" s="178" t="s">
        <v>458</v>
      </c>
      <c r="N20" s="64"/>
      <c r="O20" s="1362"/>
      <c r="P20" s="1362"/>
      <c r="Q20" s="1362"/>
      <c r="R20" s="1362"/>
      <c r="S20" s="1362"/>
      <c r="T20" s="1362"/>
      <c r="U20" s="1362"/>
      <c r="V20" s="1362"/>
      <c r="W20" s="1362"/>
      <c r="X20" s="64" t="s">
        <v>459</v>
      </c>
    </row>
    <row r="21" spans="1:29" ht="22.5" customHeight="1">
      <c r="A21" s="1204"/>
      <c r="B21" s="1204"/>
      <c r="C21" s="1204">
        <v>1</v>
      </c>
      <c r="G21" s="229"/>
      <c r="H21" s="119"/>
      <c r="I21" s="6"/>
      <c r="J21" s="21"/>
      <c r="K21" s="9"/>
      <c r="L21" s="730" t="e">
        <f ca="1">MERGEVALUE(A21)&amp;"."&amp;MERGEVALUE(B21)&amp;"."&amp;MERGEVALUE(C21)</f>
        <v>#NAME?</v>
      </c>
      <c r="M21" s="179" t="s">
        <v>460</v>
      </c>
      <c r="N21" s="64"/>
      <c r="O21" s="1362"/>
      <c r="P21" s="1362"/>
      <c r="Q21" s="1362"/>
      <c r="R21" s="1362"/>
      <c r="S21" s="1362"/>
      <c r="T21" s="1362"/>
      <c r="U21" s="1362"/>
      <c r="V21" s="1362"/>
      <c r="W21" s="1362"/>
      <c r="X21" s="64" t="s">
        <v>461</v>
      </c>
    </row>
    <row r="22" spans="1:29" ht="14.25" customHeight="1">
      <c r="A22" s="1204"/>
      <c r="B22" s="1204"/>
      <c r="C22" s="1204"/>
      <c r="D22" s="1204">
        <v>1</v>
      </c>
      <c r="G22" s="229"/>
      <c r="H22" s="119"/>
      <c r="I22" s="6"/>
      <c r="J22" s="217"/>
      <c r="K22" s="9"/>
      <c r="L22" s="730" t="e">
        <f ca="1">MERGEVALUE(A22)&amp;"."&amp;MERGEVALUE(B22)&amp;"."&amp;MERGEVALUE(C22)&amp;"."&amp;MERGEVALUE(D22)</f>
        <v>#NAME?</v>
      </c>
      <c r="M22" s="180" t="s">
        <v>462</v>
      </c>
      <c r="N22" s="64"/>
      <c r="O22" s="1362"/>
      <c r="P22" s="1362"/>
      <c r="Q22" s="1362"/>
      <c r="R22" s="1362"/>
      <c r="S22" s="1362"/>
      <c r="T22" s="1362"/>
      <c r="U22" s="1362"/>
      <c r="V22" s="1362"/>
      <c r="W22" s="1362"/>
      <c r="X22" s="171" t="s">
        <v>1588</v>
      </c>
    </row>
    <row r="23" spans="1:29" ht="22.5" customHeight="1">
      <c r="A23" s="1204"/>
      <c r="B23" s="1204"/>
      <c r="C23" s="1204"/>
      <c r="D23" s="1204"/>
      <c r="E23" s="65">
        <v>1</v>
      </c>
      <c r="G23" s="229"/>
      <c r="H23" s="119"/>
      <c r="I23" s="6"/>
      <c r="J23" s="217"/>
      <c r="K23" s="74"/>
      <c r="L23" s="730" t="e">
        <f ca="1">MERGEVALUE(A23)&amp;"."&amp;MERGEVALUE(B23)&amp;"."&amp;MERGEVALUE(C23)&amp;"."&amp;MERGEVALUE(D23)&amp;"."&amp;MERGEVALUE(E23)</f>
        <v>#NAME?</v>
      </c>
      <c r="M23" s="225"/>
      <c r="N23" s="41"/>
      <c r="O23" s="35"/>
      <c r="P23" s="227"/>
      <c r="Q23" s="175"/>
      <c r="R23" s="175"/>
      <c r="S23" s="979"/>
      <c r="T23" s="308" t="s">
        <v>57</v>
      </c>
      <c r="U23" s="61"/>
      <c r="V23" s="308" t="s">
        <v>57</v>
      </c>
      <c r="W23" s="748"/>
      <c r="X23" s="1127" t="s">
        <v>1589</v>
      </c>
      <c r="Y23" s="65" t="e">
        <f ca="1">STRCHECKDATETWO(N23:W23)</f>
        <v>#NAME?</v>
      </c>
    </row>
    <row r="24" spans="1:29" ht="14.25" hidden="1" customHeight="1">
      <c r="A24" s="1204"/>
      <c r="B24" s="1204"/>
      <c r="C24" s="1204"/>
      <c r="D24" s="1204"/>
      <c r="G24" s="229"/>
      <c r="H24" s="119"/>
      <c r="I24" s="6"/>
      <c r="J24" s="217"/>
      <c r="K24" s="74"/>
      <c r="L24" s="150"/>
      <c r="M24" s="181"/>
      <c r="N24" s="170"/>
      <c r="O24" s="170"/>
      <c r="P24" s="170"/>
      <c r="Q24" s="170"/>
      <c r="R24" s="198" t="str">
        <f>S23&amp;"-"&amp;U23</f>
        <v>-</v>
      </c>
      <c r="S24" s="187"/>
      <c r="T24" s="185"/>
      <c r="U24" s="187"/>
      <c r="V24" s="170"/>
      <c r="W24" s="749"/>
      <c r="X24" s="1128"/>
    </row>
    <row r="25" spans="1:29" ht="14.25" customHeight="1">
      <c r="A25" s="1204"/>
      <c r="B25" s="1204"/>
      <c r="C25" s="1204"/>
      <c r="D25" s="1204"/>
      <c r="G25" s="229"/>
      <c r="H25" s="119"/>
      <c r="I25" s="6"/>
      <c r="J25" s="217"/>
      <c r="K25" s="74"/>
      <c r="L25" s="177"/>
      <c r="M25" s="219" t="s">
        <v>538</v>
      </c>
      <c r="N25" s="108"/>
      <c r="O25" s="194"/>
      <c r="P25" s="194"/>
      <c r="Q25" s="194"/>
      <c r="R25" s="194"/>
      <c r="S25" s="197"/>
      <c r="T25" s="221"/>
      <c r="U25" s="197"/>
      <c r="V25" s="108"/>
      <c r="W25" s="108"/>
      <c r="X25" s="1129"/>
    </row>
    <row r="26" spans="1:29" ht="14.25" customHeight="1">
      <c r="A26" s="1204"/>
      <c r="B26" s="1204"/>
      <c r="C26" s="1204"/>
      <c r="D26" s="101"/>
      <c r="E26" s="101"/>
      <c r="F26" s="101"/>
      <c r="G26" s="229"/>
      <c r="H26" s="101"/>
      <c r="I26" s="6"/>
      <c r="J26" s="224"/>
      <c r="K26" s="2"/>
      <c r="L26" s="177"/>
      <c r="M26" s="104" t="s">
        <v>1568</v>
      </c>
      <c r="N26" s="108"/>
      <c r="O26" s="194"/>
      <c r="P26" s="194"/>
      <c r="Q26" s="194"/>
      <c r="R26" s="194"/>
      <c r="S26" s="197"/>
      <c r="T26" s="221"/>
      <c r="U26" s="197"/>
      <c r="V26" s="108"/>
      <c r="W26" s="221"/>
      <c r="X26" s="750"/>
      <c r="Y26" s="101"/>
      <c r="Z26" s="101"/>
      <c r="AA26" s="101"/>
      <c r="AB26" s="101"/>
      <c r="AC26" s="101"/>
    </row>
    <row r="27" spans="1:29" ht="14.25" customHeight="1">
      <c r="A27" s="1204"/>
      <c r="B27" s="1204"/>
      <c r="C27" s="101"/>
      <c r="D27" s="101"/>
      <c r="E27" s="101"/>
      <c r="F27" s="101"/>
      <c r="G27" s="229"/>
      <c r="H27" s="101"/>
      <c r="I27" s="2"/>
      <c r="J27" s="224"/>
      <c r="K27" s="2"/>
      <c r="L27" s="177"/>
      <c r="M27" s="108" t="s">
        <v>1569</v>
      </c>
      <c r="N27" s="108"/>
      <c r="O27" s="194"/>
      <c r="P27" s="194"/>
      <c r="Q27" s="194"/>
      <c r="R27" s="194"/>
      <c r="S27" s="197"/>
      <c r="T27" s="221"/>
      <c r="U27" s="197"/>
      <c r="V27" s="108"/>
      <c r="W27" s="221"/>
      <c r="X27" s="195"/>
      <c r="Y27" s="101"/>
      <c r="Z27" s="101"/>
      <c r="AA27" s="101"/>
      <c r="AB27" s="101"/>
      <c r="AC27" s="101"/>
    </row>
    <row r="28" spans="1:29" ht="14.25" customHeight="1">
      <c r="A28" s="1204"/>
      <c r="B28" s="101"/>
      <c r="C28" s="101"/>
      <c r="D28" s="101"/>
      <c r="E28" s="101"/>
      <c r="F28" s="101"/>
      <c r="G28" s="229"/>
      <c r="H28" s="101"/>
      <c r="I28" s="2"/>
      <c r="J28" s="224"/>
      <c r="K28" s="2"/>
      <c r="L28" s="177"/>
      <c r="M28" s="107" t="s">
        <v>105</v>
      </c>
      <c r="N28" s="108"/>
      <c r="O28" s="194"/>
      <c r="P28" s="194"/>
      <c r="Q28" s="194"/>
      <c r="R28" s="194"/>
      <c r="S28" s="197"/>
      <c r="T28" s="221"/>
      <c r="U28" s="197"/>
      <c r="V28" s="108"/>
      <c r="W28" s="221"/>
      <c r="X28" s="195"/>
      <c r="Y28" s="101"/>
      <c r="Z28" s="101"/>
      <c r="AA28" s="101"/>
      <c r="AB28" s="101"/>
      <c r="AC28" s="101"/>
    </row>
    <row r="29" spans="1:29" ht="14.25" customHeight="1">
      <c r="A29"/>
      <c r="B29"/>
      <c r="C29"/>
      <c r="D29"/>
      <c r="E29"/>
      <c r="F29"/>
      <c r="G29" s="220"/>
      <c r="H29" s="2"/>
      <c r="I29" s="44"/>
      <c r="J29" s="224"/>
      <c r="K29"/>
      <c r="L29" s="177"/>
      <c r="M29" s="50" t="s">
        <v>434</v>
      </c>
      <c r="N29" s="108"/>
      <c r="O29" s="194"/>
      <c r="P29" s="194"/>
      <c r="Q29" s="194"/>
      <c r="R29" s="194"/>
      <c r="S29" s="197"/>
      <c r="T29" s="221"/>
      <c r="U29" s="197"/>
      <c r="V29" s="108"/>
      <c r="W29" s="221"/>
      <c r="X29" s="195"/>
      <c r="Y29" s="101"/>
      <c r="Z29" s="101"/>
      <c r="AA29" s="101"/>
      <c r="AB29" s="101"/>
      <c r="AC29" s="101"/>
    </row>
    <row r="31" spans="1:29" ht="14.25" customHeight="1">
      <c r="L31" s="1">
        <v>1</v>
      </c>
      <c r="M31" s="1284" t="s">
        <v>1590</v>
      </c>
      <c r="N31" s="1284"/>
      <c r="O31" s="1284"/>
      <c r="P31" s="1284"/>
      <c r="Q31" s="1284"/>
      <c r="R31" s="1284"/>
      <c r="S31" s="1284"/>
      <c r="T31" s="1284"/>
      <c r="U31" s="1284"/>
      <c r="V31" s="1284"/>
      <c r="W31" s="1284"/>
      <c r="X31" s="1284"/>
      <c r="Y31" s="751"/>
      <c r="Z31" s="1"/>
      <c r="AA31" s="1"/>
      <c r="AB31" s="1"/>
      <c r="AC31" s="1"/>
    </row>
    <row r="32" spans="1:29" ht="14.25" customHeight="1">
      <c r="M32" s="646"/>
      <c r="N32" s="646"/>
      <c r="O32" s="646"/>
      <c r="P32" s="646"/>
      <c r="Q32" s="646"/>
      <c r="R32" s="646"/>
      <c r="S32" s="646"/>
      <c r="T32" s="646"/>
      <c r="U32" s="646"/>
      <c r="V32" s="646"/>
      <c r="W32" s="646"/>
      <c r="X32" s="646"/>
      <c r="Y32" s="228"/>
      <c r="Z32" s="228"/>
      <c r="AA32" s="228"/>
      <c r="AB32" s="228"/>
      <c r="AC32" s="228"/>
    </row>
  </sheetData>
  <sheetProtection formatColumns="0" formatRows="0" insertRows="0" deleteColumns="0" deleteRows="0" sort="0" autoFilter="0"/>
  <mergeCells count="30">
    <mergeCell ref="L12:M12"/>
    <mergeCell ref="L5:T5"/>
    <mergeCell ref="O7:T7"/>
    <mergeCell ref="O8:T8"/>
    <mergeCell ref="O9:T9"/>
    <mergeCell ref="O10:T10"/>
    <mergeCell ref="Q13:V13"/>
    <mergeCell ref="L14:W14"/>
    <mergeCell ref="X14:X17"/>
    <mergeCell ref="L15:L17"/>
    <mergeCell ref="M15:M17"/>
    <mergeCell ref="O15:O17"/>
    <mergeCell ref="P15:P17"/>
    <mergeCell ref="Q15:U15"/>
    <mergeCell ref="V15:V17"/>
    <mergeCell ref="W15:W17"/>
    <mergeCell ref="A19:A28"/>
    <mergeCell ref="O19:W19"/>
    <mergeCell ref="B20:B27"/>
    <mergeCell ref="O20:W20"/>
    <mergeCell ref="C21:C26"/>
    <mergeCell ref="O21:W21"/>
    <mergeCell ref="D22:D25"/>
    <mergeCell ref="O22:W22"/>
    <mergeCell ref="X23:X25"/>
    <mergeCell ref="M31:X31"/>
    <mergeCell ref="Q16:R16"/>
    <mergeCell ref="S16:U16"/>
    <mergeCell ref="T17:U17"/>
    <mergeCell ref="T18:U18"/>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xr:uid="{00000000-0002-0000-1A00-000000000000}"/>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xr:uid="{00000000-0002-0000-1A00-000001000000}">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xr:uid="{00000000-0002-0000-1A00-000002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xr:uid="{00000000-0002-0000-1A00-000003000000}"/>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xr:uid="{00000000-0002-0000-1A00-000004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xr:uid="{00000000-0002-0000-1A00-000005000000}"/>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xr:uid="{00000000-0002-0000-1A00-000006000000}"/>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xr:uid="{00000000-0002-0000-1A00-000007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AC07E-8A8A-0FC5-60C5-0190D304A22D}">
  <sheetPr>
    <tabColor theme="6" tint="0.39997558519241921"/>
  </sheetPr>
  <dimension ref="A1:L42"/>
  <sheetViews>
    <sheetView showGridLines="0" topLeftCell="C13" zoomScale="90" workbookViewId="0"/>
  </sheetViews>
  <sheetFormatPr defaultColWidth="10.5703125" defaultRowHeight="14.25" customHeight="1"/>
  <cols>
    <col min="1" max="1" width="9.140625" style="522" hidden="1" customWidth="1"/>
    <col min="2" max="2" width="9.140625" style="60" hidden="1" customWidth="1"/>
    <col min="3" max="3" width="3.7109375" style="28" customWidth="1"/>
    <col min="4" max="4" width="6.28515625" style="9" customWidth="1"/>
    <col min="5" max="5" width="63.42578125" style="9" customWidth="1"/>
    <col min="6" max="6" width="1.7109375" style="9" hidden="1" customWidth="1"/>
    <col min="7" max="8" width="35.7109375" style="9" customWidth="1"/>
    <col min="9" max="9" width="91.5703125" style="9" customWidth="1"/>
    <col min="10" max="10" width="68.85546875" style="9" customWidth="1"/>
    <col min="11" max="12" width="10.5703125" style="66"/>
  </cols>
  <sheetData>
    <row r="1" spans="1:12" ht="14.25" hidden="1" customHeight="1"/>
    <row r="2" spans="1:12" s="9" customFormat="1" ht="18.75" hidden="1" customHeight="1">
      <c r="A2" s="59"/>
      <c r="B2" s="60"/>
      <c r="C2" s="975" t="s">
        <v>389</v>
      </c>
      <c r="D2" s="61"/>
      <c r="E2" s="103"/>
      <c r="F2" s="37"/>
      <c r="G2" s="37" t="s">
        <v>294</v>
      </c>
      <c r="H2" s="114"/>
      <c r="K2" s="66"/>
      <c r="L2" s="66"/>
    </row>
    <row r="3" spans="1:12" s="9" customFormat="1" ht="14.25" hidden="1" customHeight="1">
      <c r="A3" s="522"/>
      <c r="B3" s="60"/>
      <c r="C3" s="28"/>
      <c r="K3" s="66"/>
      <c r="L3" s="66"/>
    </row>
    <row r="4" spans="1:12" s="9" customFormat="1" ht="18.75" hidden="1" customHeight="1">
      <c r="A4" s="59"/>
      <c r="B4" s="60"/>
      <c r="C4" s="975" t="s">
        <v>389</v>
      </c>
      <c r="D4" s="61"/>
      <c r="E4" s="99" t="s">
        <v>1591</v>
      </c>
      <c r="F4" s="37"/>
      <c r="G4" s="148"/>
      <c r="H4" s="37" t="s">
        <v>294</v>
      </c>
      <c r="K4" s="66"/>
      <c r="L4" s="66"/>
    </row>
    <row r="5" spans="1:12" s="9" customFormat="1" ht="14.25" hidden="1" customHeight="1">
      <c r="A5" s="522"/>
      <c r="B5" s="60"/>
      <c r="C5" s="28"/>
      <c r="K5" s="66"/>
      <c r="L5" s="66"/>
    </row>
    <row r="6" spans="1:12" s="9" customFormat="1" ht="18.75" hidden="1" customHeight="1">
      <c r="A6" s="59"/>
      <c r="B6" s="60"/>
      <c r="C6" s="975" t="s">
        <v>389</v>
      </c>
      <c r="D6" s="61"/>
      <c r="E6" s="109" t="s">
        <v>1592</v>
      </c>
      <c r="F6" s="37"/>
      <c r="G6" s="148"/>
      <c r="H6" s="37" t="s">
        <v>294</v>
      </c>
      <c r="K6" s="66"/>
      <c r="L6" s="66"/>
    </row>
    <row r="7" spans="1:12" s="9" customFormat="1" ht="14.25" hidden="1" customHeight="1">
      <c r="A7" s="522"/>
      <c r="B7" s="60"/>
      <c r="C7" s="28"/>
      <c r="K7" s="66"/>
      <c r="L7" s="66"/>
    </row>
    <row r="8" spans="1:12" s="9" customFormat="1" ht="18.75" hidden="1" customHeight="1">
      <c r="A8" s="59"/>
      <c r="B8" s="60"/>
      <c r="C8" s="975" t="s">
        <v>389</v>
      </c>
      <c r="D8" s="61"/>
      <c r="E8" s="109" t="s">
        <v>1593</v>
      </c>
      <c r="F8" s="37"/>
      <c r="G8" s="148"/>
      <c r="H8" s="37" t="s">
        <v>294</v>
      </c>
      <c r="K8" s="66"/>
      <c r="L8" s="66"/>
    </row>
    <row r="9" spans="1:12" s="9" customFormat="1" ht="14.25" hidden="1" customHeight="1">
      <c r="A9" s="522"/>
      <c r="B9" s="60"/>
      <c r="C9" s="28"/>
      <c r="K9" s="66"/>
      <c r="L9" s="66"/>
    </row>
    <row r="10" spans="1:12" s="9" customFormat="1" ht="18.75" hidden="1" customHeight="1">
      <c r="A10" s="59"/>
      <c r="B10" s="60"/>
      <c r="C10" s="975" t="s">
        <v>389</v>
      </c>
      <c r="D10" s="61"/>
      <c r="E10" s="109" t="s">
        <v>1594</v>
      </c>
      <c r="F10" s="37"/>
      <c r="G10" s="110"/>
      <c r="H10" s="37" t="s">
        <v>294</v>
      </c>
      <c r="K10" s="66"/>
      <c r="L10" s="66" t="s">
        <v>1595</v>
      </c>
    </row>
    <row r="11" spans="1:12" ht="14.25" hidden="1" customHeight="1"/>
    <row r="12" spans="1:12" ht="14.25" hidden="1" customHeight="1"/>
    <row r="13" spans="1:12" ht="14.25" customHeight="1">
      <c r="C13" s="27"/>
      <c r="D13" s="8"/>
      <c r="E13" s="8"/>
      <c r="F13" s="8"/>
      <c r="G13" s="8"/>
      <c r="H13" s="18"/>
      <c r="I13" s="18"/>
    </row>
    <row r="14" spans="1:12" ht="30" customHeight="1">
      <c r="C14" s="27"/>
      <c r="D14" s="1076"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1077"/>
      <c r="F14" s="1077"/>
      <c r="G14" s="1077"/>
      <c r="H14" s="1078"/>
    </row>
    <row r="15" spans="1:12" s="9" customFormat="1" ht="14.25" customHeight="1">
      <c r="A15" s="522"/>
      <c r="B15" s="60"/>
      <c r="C15" s="27"/>
      <c r="D15" s="1183" t="str">
        <f>IF(org=0,"Не определено",org)</f>
        <v>ИМУП «ПОСЖИЛКОМСЕРВИС»</v>
      </c>
      <c r="E15" s="1184"/>
      <c r="F15" s="1184"/>
      <c r="G15" s="1184"/>
      <c r="H15" s="1185"/>
      <c r="J15" s="505"/>
      <c r="K15" s="66"/>
      <c r="L15" s="66"/>
    </row>
    <row r="16" spans="1:12" ht="14.25" customHeight="1">
      <c r="C16" s="27"/>
      <c r="D16" s="8"/>
      <c r="E16" s="12"/>
      <c r="F16" s="12"/>
      <c r="G16" s="12"/>
      <c r="H16" s="445"/>
      <c r="I16" s="98"/>
    </row>
    <row r="17" spans="1:12" s="9" customFormat="1" ht="14.25" hidden="1" customHeight="1">
      <c r="A17" s="522"/>
      <c r="B17" s="60"/>
      <c r="C17" s="27"/>
      <c r="D17" s="8"/>
      <c r="E17" s="12"/>
      <c r="F17" s="12"/>
      <c r="G17" s="12"/>
      <c r="H17" s="445"/>
      <c r="I17" s="98"/>
      <c r="K17" s="66"/>
      <c r="L17" s="66"/>
    </row>
    <row r="18" spans="1:12" ht="21" customHeight="1">
      <c r="C18" s="27"/>
      <c r="D18" s="1168" t="s">
        <v>288</v>
      </c>
      <c r="E18" s="1168"/>
      <c r="F18" s="1168"/>
      <c r="G18" s="1168"/>
      <c r="H18" s="1168"/>
      <c r="I18" s="1272" t="s">
        <v>289</v>
      </c>
    </row>
    <row r="19" spans="1:12" ht="21" customHeight="1">
      <c r="C19" s="27"/>
      <c r="D19" s="34" t="s">
        <v>88</v>
      </c>
      <c r="E19" s="37" t="s">
        <v>290</v>
      </c>
      <c r="F19" s="37"/>
      <c r="G19" s="37" t="s">
        <v>291</v>
      </c>
      <c r="H19" s="37" t="s">
        <v>380</v>
      </c>
      <c r="I19" s="1272"/>
    </row>
    <row r="20" spans="1:12" ht="12" customHeight="1">
      <c r="C20" s="27"/>
      <c r="D20" s="20" t="s">
        <v>110</v>
      </c>
      <c r="E20" s="20" t="s">
        <v>111</v>
      </c>
      <c r="F20" s="20"/>
      <c r="G20" s="20" t="s">
        <v>90</v>
      </c>
      <c r="H20" s="20" t="s">
        <v>91</v>
      </c>
      <c r="I20" s="20" t="s">
        <v>112</v>
      </c>
    </row>
    <row r="21" spans="1:12" ht="14.25" customHeight="1">
      <c r="A21" s="59"/>
      <c r="C21" s="27"/>
      <c r="D21" s="61">
        <v>1</v>
      </c>
      <c r="E21" s="1369" t="s">
        <v>1596</v>
      </c>
      <c r="F21" s="1369"/>
      <c r="G21" s="1369"/>
      <c r="H21" s="1369"/>
      <c r="I21" s="111"/>
    </row>
    <row r="22" spans="1:12" ht="20.25" customHeight="1">
      <c r="A22" s="59"/>
      <c r="C22" s="27"/>
      <c r="D22" s="61" t="s">
        <v>427</v>
      </c>
      <c r="E22" s="99" t="s">
        <v>1597</v>
      </c>
      <c r="F22" s="37"/>
      <c r="G22" s="982"/>
      <c r="H22" s="37" t="s">
        <v>294</v>
      </c>
      <c r="I22" s="64" t="s">
        <v>1598</v>
      </c>
    </row>
    <row r="23" spans="1:12" ht="45" customHeight="1">
      <c r="A23" s="59"/>
      <c r="C23" s="27"/>
      <c r="D23" s="61" t="s">
        <v>442</v>
      </c>
      <c r="E23" s="99" t="s">
        <v>1599</v>
      </c>
      <c r="F23" s="37"/>
      <c r="G23" s="148"/>
      <c r="H23" s="114"/>
      <c r="I23" s="149" t="s">
        <v>1600</v>
      </c>
    </row>
    <row r="24" spans="1:12" ht="14.25" customHeight="1">
      <c r="A24" s="59"/>
      <c r="B24" s="60">
        <v>3</v>
      </c>
      <c r="C24" s="27"/>
      <c r="D24" s="61">
        <v>2</v>
      </c>
      <c r="E24" s="120"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37"/>
      <c r="G24" s="37" t="s">
        <v>294</v>
      </c>
      <c r="H24" s="114"/>
      <c r="I24" s="150" t="s">
        <v>1556</v>
      </c>
    </row>
    <row r="25" spans="1:12" ht="46.5" customHeight="1">
      <c r="A25" s="59"/>
      <c r="C25" s="27"/>
      <c r="D25" s="61">
        <v>3</v>
      </c>
      <c r="E25" s="1369"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1369"/>
      <c r="G25" s="1369"/>
      <c r="H25" s="1369"/>
      <c r="I25" s="111"/>
    </row>
    <row r="26" spans="1:12" ht="14.25" customHeight="1">
      <c r="A26" s="59"/>
      <c r="C26" s="27"/>
      <c r="D26" s="61" t="s">
        <v>314</v>
      </c>
      <c r="E26" s="103"/>
      <c r="F26" s="37"/>
      <c r="G26" s="37" t="s">
        <v>294</v>
      </c>
      <c r="H26" s="114"/>
      <c r="I26" s="1127" t="s">
        <v>1601</v>
      </c>
    </row>
    <row r="27" spans="1:12" ht="15" customHeight="1">
      <c r="A27" s="59" t="s">
        <v>110</v>
      </c>
      <c r="C27" s="27"/>
      <c r="D27" s="38"/>
      <c r="E27" s="107" t="s">
        <v>450</v>
      </c>
      <c r="F27" s="108"/>
      <c r="G27" s="108"/>
      <c r="H27" s="105"/>
      <c r="I27" s="1129"/>
    </row>
    <row r="28" spans="1:12" ht="38.25" customHeight="1">
      <c r="A28" s="59"/>
      <c r="B28" s="60">
        <v>3</v>
      </c>
      <c r="C28" s="27"/>
      <c r="D28" s="61">
        <v>4</v>
      </c>
      <c r="E28" s="1369"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1369"/>
      <c r="G28" s="1369"/>
      <c r="H28" s="1369"/>
      <c r="I28" s="111"/>
    </row>
    <row r="29" spans="1:12" ht="20.25" customHeight="1">
      <c r="A29" s="59"/>
      <c r="C29" s="27"/>
      <c r="D29" s="61" t="s">
        <v>1461</v>
      </c>
      <c r="E29" s="99" t="s">
        <v>1591</v>
      </c>
      <c r="F29" s="37"/>
      <c r="G29" s="148"/>
      <c r="H29" s="37" t="s">
        <v>294</v>
      </c>
      <c r="I29" s="1127" t="s">
        <v>1602</v>
      </c>
    </row>
    <row r="30" spans="1:12" ht="15" customHeight="1">
      <c r="A30" s="59" t="s">
        <v>111</v>
      </c>
      <c r="C30" s="27"/>
      <c r="D30" s="38"/>
      <c r="E30" s="107" t="s">
        <v>450</v>
      </c>
      <c r="F30" s="108"/>
      <c r="G30" s="108"/>
      <c r="H30" s="105"/>
      <c r="I30" s="1129"/>
    </row>
    <row r="31" spans="1:12" ht="30" customHeight="1">
      <c r="A31" s="59"/>
      <c r="B31" s="60">
        <v>3</v>
      </c>
      <c r="C31" s="27"/>
      <c r="D31" s="61">
        <v>5</v>
      </c>
      <c r="E31" s="1369"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1369"/>
      <c r="G31" s="1369"/>
      <c r="H31" s="1369"/>
      <c r="I31" s="111"/>
    </row>
    <row r="32" spans="1:12" ht="26.25" customHeight="1">
      <c r="A32" s="59"/>
      <c r="C32" s="27"/>
      <c r="D32" s="61" t="s">
        <v>303</v>
      </c>
      <c r="E32" s="1370"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1370"/>
      <c r="G32" s="1370"/>
      <c r="H32" s="1370"/>
      <c r="I32" s="111"/>
    </row>
    <row r="33" spans="1:12" ht="14.25" customHeight="1">
      <c r="A33" s="59"/>
      <c r="C33" s="27"/>
      <c r="D33" s="61" t="s">
        <v>1468</v>
      </c>
      <c r="E33" s="109" t="s">
        <v>1592</v>
      </c>
      <c r="F33" s="37"/>
      <c r="G33" s="148"/>
      <c r="H33" s="37" t="s">
        <v>294</v>
      </c>
      <c r="I33" s="1127" t="s">
        <v>1603</v>
      </c>
    </row>
    <row r="34" spans="1:12" ht="15" customHeight="1">
      <c r="A34" s="59" t="s">
        <v>90</v>
      </c>
      <c r="C34" s="27"/>
      <c r="D34" s="38"/>
      <c r="E34" s="108" t="s">
        <v>450</v>
      </c>
      <c r="F34" s="104"/>
      <c r="G34" s="104"/>
      <c r="H34" s="105"/>
      <c r="I34" s="1129"/>
    </row>
    <row r="35" spans="1:12" ht="24" customHeight="1">
      <c r="A35" s="59"/>
      <c r="C35" s="27"/>
      <c r="D35" s="61" t="s">
        <v>305</v>
      </c>
      <c r="E35" s="1370"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1370"/>
      <c r="G35" s="1370"/>
      <c r="H35" s="1370"/>
      <c r="I35" s="111"/>
    </row>
    <row r="36" spans="1:12" ht="14.25" customHeight="1">
      <c r="A36" s="59"/>
      <c r="C36" s="27"/>
      <c r="D36" s="61" t="s">
        <v>1604</v>
      </c>
      <c r="E36" s="109" t="s">
        <v>1593</v>
      </c>
      <c r="F36" s="37"/>
      <c r="G36" s="148"/>
      <c r="H36" s="37" t="s">
        <v>294</v>
      </c>
      <c r="I36" s="1105" t="s">
        <v>1605</v>
      </c>
    </row>
    <row r="37" spans="1:12" ht="15" customHeight="1">
      <c r="A37" s="59" t="s">
        <v>91</v>
      </c>
      <c r="C37" s="27"/>
      <c r="D37" s="38"/>
      <c r="E37" s="108" t="s">
        <v>450</v>
      </c>
      <c r="F37" s="104"/>
      <c r="G37" s="104"/>
      <c r="H37" s="105"/>
      <c r="I37" s="1105"/>
    </row>
    <row r="38" spans="1:12" ht="26.25" customHeight="1">
      <c r="A38" s="59"/>
      <c r="C38" s="27"/>
      <c r="D38" s="61" t="s">
        <v>308</v>
      </c>
      <c r="E38" s="1370"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1370"/>
      <c r="G38" s="1370"/>
      <c r="H38" s="1370"/>
      <c r="I38" s="111"/>
    </row>
    <row r="39" spans="1:12" ht="14.25" customHeight="1">
      <c r="A39" s="59"/>
      <c r="C39" s="27"/>
      <c r="D39" s="61" t="s">
        <v>1606</v>
      </c>
      <c r="E39" s="109" t="s">
        <v>1594</v>
      </c>
      <c r="F39" s="37"/>
      <c r="G39" s="110"/>
      <c r="H39" s="37" t="s">
        <v>294</v>
      </c>
      <c r="I39" s="1127" t="s">
        <v>1607</v>
      </c>
      <c r="L39" s="66" t="s">
        <v>1595</v>
      </c>
    </row>
    <row r="40" spans="1:12" ht="15" customHeight="1">
      <c r="A40" s="59" t="s">
        <v>112</v>
      </c>
      <c r="C40" s="27"/>
      <c r="D40" s="38"/>
      <c r="E40" s="108" t="s">
        <v>450</v>
      </c>
      <c r="F40" s="104"/>
      <c r="G40" s="104"/>
      <c r="H40" s="105"/>
      <c r="I40" s="1129"/>
    </row>
    <row r="41" spans="1:12" s="2" customFormat="1" ht="3" customHeight="1">
      <c r="A41" s="59"/>
      <c r="K41" s="101"/>
      <c r="L41" s="101"/>
    </row>
    <row r="42" spans="1:12" ht="24.75" customHeight="1">
      <c r="D42" s="204" t="s">
        <v>506</v>
      </c>
      <c r="E42" s="1284"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1284"/>
      <c r="G42" s="1284"/>
      <c r="H42" s="1284"/>
      <c r="I42" s="1284"/>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xr:uid="{00000000-0002-0000-1B00-000000000000}"/>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xr:uid="{00000000-0002-0000-1B00-000001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xr:uid="{00000000-0002-0000-1B00-000002000000}">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xr:uid="{00000000-0002-0000-1B00-000003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2E8A9-ADC9-60DC-228B-2FA311745C86}">
  <sheetPr>
    <tabColor theme="6" tint="0.39997558519241921"/>
  </sheetPr>
  <dimension ref="A1:Q16"/>
  <sheetViews>
    <sheetView showGridLines="0" topLeftCell="C4" zoomScale="90" workbookViewId="0"/>
  </sheetViews>
  <sheetFormatPr defaultColWidth="10.5703125" defaultRowHeight="14.25" customHeight="1"/>
  <cols>
    <col min="1" max="1" width="9.140625" style="32" hidden="1" customWidth="1"/>
    <col min="2" max="2" width="9.140625" style="60" hidden="1" customWidth="1"/>
    <col min="3" max="3" width="3.7109375" style="28" customWidth="1"/>
    <col min="4" max="4" width="6.28515625" style="9" customWidth="1"/>
    <col min="5" max="5" width="38.140625" style="9" customWidth="1"/>
    <col min="6" max="7" width="35.7109375" style="9" customWidth="1"/>
    <col min="8" max="8" width="89.5703125" style="9" customWidth="1"/>
    <col min="9" max="9" width="10.5703125" style="9"/>
    <col min="10" max="11" width="10.5703125" style="66"/>
    <col min="12" max="17" width="10.5703125" style="9"/>
  </cols>
  <sheetData>
    <row r="1" spans="1:17" ht="14.25" hidden="1" customHeight="1">
      <c r="N1" s="147"/>
      <c r="O1" s="147"/>
      <c r="Q1" s="147"/>
    </row>
    <row r="2" spans="1:17" s="9" customFormat="1" ht="18.75" hidden="1" customHeight="1">
      <c r="A2" s="2"/>
      <c r="B2" s="60"/>
      <c r="C2" s="975" t="s">
        <v>389</v>
      </c>
      <c r="D2" s="61"/>
      <c r="E2" s="513"/>
      <c r="F2" s="148"/>
      <c r="G2" s="114"/>
      <c r="I2" s="66"/>
      <c r="J2" s="66"/>
    </row>
    <row r="3" spans="1:17" ht="14.25" hidden="1" customHeight="1"/>
    <row r="4" spans="1:17" ht="6" customHeight="1">
      <c r="C4" s="27"/>
      <c r="D4" s="8"/>
      <c r="E4" s="8"/>
      <c r="F4" s="8"/>
      <c r="G4" s="18"/>
      <c r="H4" s="18"/>
    </row>
    <row r="5" spans="1:17" ht="54.75" customHeight="1">
      <c r="C5" s="27"/>
      <c r="D5" s="1076"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1077"/>
      <c r="F5" s="1077"/>
      <c r="G5" s="1078"/>
      <c r="H5" s="153"/>
    </row>
    <row r="6" spans="1:17" s="9" customFormat="1" ht="17.25" customHeight="1">
      <c r="A6" s="32"/>
      <c r="B6" s="60"/>
      <c r="C6" s="27"/>
      <c r="D6" s="1183" t="str">
        <f>IF(org=0,"Не определено",org)</f>
        <v>ИМУП «ПОСЖИЛКОМСЕРВИС»</v>
      </c>
      <c r="E6" s="1184"/>
      <c r="F6" s="1184"/>
      <c r="G6" s="1185"/>
      <c r="H6" s="153"/>
      <c r="J6" s="66"/>
      <c r="K6" s="66"/>
    </row>
    <row r="7" spans="1:17" ht="14.25" customHeight="1">
      <c r="C7" s="27"/>
      <c r="D7" s="8"/>
      <c r="E7" s="12"/>
      <c r="F7" s="12"/>
      <c r="G7" s="445"/>
      <c r="H7" s="98"/>
    </row>
    <row r="8" spans="1:17" ht="14.25" customHeight="1">
      <c r="C8" s="27"/>
      <c r="D8" s="1168" t="s">
        <v>288</v>
      </c>
      <c r="E8" s="1168"/>
      <c r="F8" s="1168"/>
      <c r="G8" s="1168"/>
      <c r="H8" s="1272" t="s">
        <v>289</v>
      </c>
    </row>
    <row r="9" spans="1:17" ht="14.25" customHeight="1">
      <c r="C9" s="27"/>
      <c r="D9" s="34" t="s">
        <v>88</v>
      </c>
      <c r="E9" s="37" t="s">
        <v>290</v>
      </c>
      <c r="F9" s="37" t="s">
        <v>291</v>
      </c>
      <c r="G9" s="37" t="s">
        <v>380</v>
      </c>
      <c r="H9" s="1272"/>
    </row>
    <row r="10" spans="1:17" ht="14.25" customHeight="1">
      <c r="A10" s="2"/>
      <c r="C10" s="27"/>
      <c r="D10" s="61" t="s">
        <v>110</v>
      </c>
      <c r="E10" s="120"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148"/>
      <c r="G10" s="114"/>
      <c r="H10" s="1127" t="s">
        <v>1608</v>
      </c>
    </row>
    <row r="11" spans="1:17" ht="14.25" customHeight="1">
      <c r="A11" s="2"/>
      <c r="C11" s="27"/>
      <c r="D11" s="61" t="s">
        <v>111</v>
      </c>
      <c r="E11" s="120"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148"/>
      <c r="G11" s="114"/>
      <c r="H11" s="1128"/>
    </row>
    <row r="12" spans="1:17" ht="22.5" customHeight="1">
      <c r="A12" s="2"/>
      <c r="C12" s="21"/>
      <c r="D12" s="61" t="s">
        <v>90</v>
      </c>
      <c r="E12" s="120" t="str">
        <f>"Сведения о планировании закупочных процедур"&amp;IF(TEMPLATE_SPHERE="TKO"," &lt;1&gt;","")</f>
        <v>Сведения о планировании закупочных процедур</v>
      </c>
      <c r="F12" s="148"/>
      <c r="G12" s="114"/>
      <c r="H12" s="1128"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66"/>
      <c r="K12" s="9"/>
    </row>
    <row r="13" spans="1:17" ht="22.5" customHeight="1">
      <c r="A13" s="2"/>
      <c r="C13" s="21"/>
      <c r="D13" s="61" t="s">
        <v>91</v>
      </c>
      <c r="E13" s="120" t="str">
        <f>"Сведения о результатах проведения закупочных процедур"&amp;IF(TEMPLATE_SPHERE="TKO"," &lt;1&gt;","")</f>
        <v>Сведения о результатах проведения закупочных процедур</v>
      </c>
      <c r="F13" s="148"/>
      <c r="G13" s="114"/>
      <c r="H13" s="1128"/>
      <c r="I13" s="66"/>
      <c r="K13" s="9"/>
    </row>
    <row r="14" spans="1:17" ht="14.25" customHeight="1">
      <c r="A14" s="2"/>
      <c r="C14" s="27"/>
      <c r="D14" s="38"/>
      <c r="E14" s="50" t="s">
        <v>450</v>
      </c>
      <c r="F14" s="108"/>
      <c r="G14" s="105"/>
      <c r="H14" s="1129"/>
    </row>
    <row r="15" spans="1:17" s="9" customFormat="1" ht="14.25" customHeight="1">
      <c r="A15" s="2"/>
      <c r="B15" s="60"/>
      <c r="C15" s="27"/>
      <c r="D15" s="237"/>
      <c r="E15" s="938"/>
      <c r="F15" s="939"/>
      <c r="G15" s="940"/>
      <c r="H15" s="941"/>
      <c r="J15" s="66"/>
      <c r="K15" s="66"/>
    </row>
    <row r="16" spans="1:17" ht="21.75" customHeight="1">
      <c r="D16" s="204" t="s">
        <v>506</v>
      </c>
      <c r="E16" s="1284" t="s">
        <v>1609</v>
      </c>
      <c r="F16" s="1284"/>
      <c r="G16" s="1284"/>
      <c r="H16" s="1284"/>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xr:uid="{00000000-0002-0000-1C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xr:uid="{00000000-0002-0000-1C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0DBD17-879B-28CD-8298-ADAB4F8842E3}">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61551-B651-3C2B-5089-B89EF8026C08}">
  <sheetPr>
    <tabColor theme="2" tint="-9.9978637043366805E-2"/>
  </sheetPr>
  <dimension ref="A1:U29"/>
  <sheetViews>
    <sheetView showGridLines="0" topLeftCell="C4" zoomScale="90" workbookViewId="0"/>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47.85546875" style="9" customWidth="1"/>
    <col min="6" max="6" width="9.5703125" style="9" customWidth="1"/>
    <col min="7" max="7" width="25.7109375" style="9" hidden="1" customWidth="1"/>
    <col min="8" max="8" width="34" style="9" hidden="1" customWidth="1"/>
    <col min="9" max="9" width="25.7109375" style="9" customWidth="1"/>
    <col min="10" max="10" width="34" style="9" customWidth="1"/>
    <col min="11" max="11" width="50.85546875" style="60" customWidth="1"/>
    <col min="12" max="20" width="10.5703125" style="9"/>
    <col min="21" max="21" width="10.5703125" style="313"/>
  </cols>
  <sheetData>
    <row r="1" spans="1:21" s="60" customFormat="1" ht="15" hidden="1" customHeight="1">
      <c r="C1" s="312"/>
      <c r="G1" s="60">
        <v>4</v>
      </c>
      <c r="I1" s="60">
        <v>4</v>
      </c>
      <c r="U1" s="248"/>
    </row>
    <row r="2" spans="1:21" s="9" customFormat="1" ht="15" hidden="1" customHeight="1">
      <c r="A2" s="6"/>
      <c r="C2" s="84"/>
      <c r="D2" s="53"/>
      <c r="E2" s="393"/>
      <c r="F2" s="56"/>
      <c r="G2" s="76"/>
      <c r="H2" s="76"/>
      <c r="I2" s="76"/>
      <c r="J2" s="76"/>
      <c r="U2" s="313"/>
    </row>
    <row r="3" spans="1:21" s="60" customFormat="1" ht="15" hidden="1" customHeight="1">
      <c r="C3" s="312"/>
      <c r="U3" s="248"/>
    </row>
    <row r="5" spans="1:21" ht="63" customHeight="1">
      <c r="D5" s="1076" t="s">
        <v>1610</v>
      </c>
      <c r="E5" s="1077"/>
      <c r="F5" s="1077"/>
      <c r="G5" s="1077"/>
      <c r="H5" s="1077"/>
      <c r="I5" s="1077"/>
      <c r="J5" s="1078"/>
    </row>
    <row r="6" spans="1:21" ht="15" customHeight="1">
      <c r="D6" s="1183" t="str">
        <f>IF(org=0,"Не определено",org)</f>
        <v>ИМУП «ПОСЖИЛКОМСЕРВИС»</v>
      </c>
      <c r="E6" s="1184"/>
      <c r="F6" s="1184"/>
      <c r="G6" s="1184"/>
      <c r="H6" s="1184"/>
      <c r="I6" s="1184"/>
      <c r="J6" s="1185"/>
    </row>
    <row r="7" spans="1:21" ht="15" customHeight="1">
      <c r="D7" s="445"/>
      <c r="G7" s="60">
        <v>22</v>
      </c>
      <c r="I7" s="60">
        <v>1</v>
      </c>
      <c r="J7" s="445"/>
    </row>
    <row r="8" spans="1:21" s="9" customFormat="1" ht="0.75" customHeight="1">
      <c r="A8" s="6"/>
      <c r="C8" s="84"/>
      <c r="G8" s="60"/>
      <c r="H8" s="445"/>
      <c r="I8" s="60" t="s">
        <v>118</v>
      </c>
      <c r="J8" s="445"/>
      <c r="K8" s="60"/>
      <c r="U8" s="313"/>
    </row>
    <row r="9" spans="1:21" ht="15" customHeight="1">
      <c r="D9" s="418"/>
      <c r="E9" s="1373" t="s">
        <v>106</v>
      </c>
      <c r="F9" s="1374"/>
      <c r="G9" s="1371" t="str">
        <f>IF(G8="","",INDEX(DIFFERENTIATION_UNMERGE_VD,MATCH(G8,DIFFERENTIATION_ID_DIFF,0)))</f>
        <v/>
      </c>
      <c r="H9" s="1372"/>
      <c r="I9" s="1371" t="str">
        <f>IF(I8="","",INDEX(DIFFERENTIATION_UNMERGE_VD,MATCH(I8,DIFFERENTIATION_ID_DIFF,0)))</f>
        <v>Холодное водоснабжение. Питьевая вода</v>
      </c>
      <c r="J9" s="1372"/>
      <c r="K9" s="1137" t="s">
        <v>289</v>
      </c>
    </row>
    <row r="10" spans="1:21" s="9" customFormat="1" ht="15" customHeight="1">
      <c r="A10" s="6"/>
      <c r="C10" s="84"/>
      <c r="D10" s="418"/>
      <c r="E10" s="1373" t="s">
        <v>414</v>
      </c>
      <c r="F10" s="1374"/>
      <c r="G10" s="1371" t="str">
        <f>IF(G8="","",INDEX(DIFFERENTIATION_UNMERGE_AREA,MATCH(G8,DIFFERENTIATION_ID_DIFF,0)))</f>
        <v/>
      </c>
      <c r="H10" s="1372"/>
      <c r="I10" s="1371" t="str">
        <f>IF(I8="","",INDEX(DIFFERENTIATION_UNMERGE_AREA,MATCH(I8,DIFFERENTIATION_ID_DIFF,0)))</f>
        <v>Территория 1</v>
      </c>
      <c r="J10" s="1372"/>
      <c r="K10" s="1142"/>
      <c r="U10" s="313"/>
    </row>
    <row r="11" spans="1:21" s="9" customFormat="1" ht="15" customHeight="1">
      <c r="A11" s="6"/>
      <c r="C11" s="84"/>
      <c r="D11" s="418"/>
      <c r="E11" s="1373" t="s">
        <v>415</v>
      </c>
      <c r="F11" s="1374"/>
      <c r="G11" s="1371" t="str">
        <f>IF(G8="","",INDEX(DIFFERENTIATION_UNMERGE_SYSTEM,MATCH(G8,DIFFERENTIATION_ID_DIFF,0)))</f>
        <v/>
      </c>
      <c r="H11" s="1372"/>
      <c r="I11" s="1371" t="str">
        <f>IF(I8="","",INDEX(DIFFERENTIATION_UNMERGE_SYSTEM,MATCH(I8,DIFFERENTIATION_ID_DIFF,0)))</f>
        <v>без дифференциации</v>
      </c>
      <c r="J11" s="1372"/>
      <c r="K11" s="1142"/>
      <c r="U11" s="313"/>
    </row>
    <row r="12" spans="1:21" s="9" customFormat="1" ht="15" customHeight="1">
      <c r="A12" s="6"/>
      <c r="C12" s="84"/>
      <c r="D12" s="1375" t="s">
        <v>288</v>
      </c>
      <c r="E12" s="1376"/>
      <c r="F12" s="1376"/>
      <c r="G12" s="529"/>
      <c r="H12" s="529"/>
      <c r="I12" s="529"/>
      <c r="J12" s="529"/>
      <c r="K12" s="1142"/>
      <c r="U12" s="313"/>
    </row>
    <row r="13" spans="1:21" ht="33.75" customHeight="1">
      <c r="D13" s="39" t="s">
        <v>88</v>
      </c>
      <c r="E13" s="39" t="s">
        <v>290</v>
      </c>
      <c r="F13" s="39" t="s">
        <v>1611</v>
      </c>
      <c r="G13" s="399" t="s">
        <v>291</v>
      </c>
      <c r="H13" s="39" t="s">
        <v>380</v>
      </c>
      <c r="I13" s="399" t="s">
        <v>291</v>
      </c>
      <c r="J13" s="39" t="s">
        <v>380</v>
      </c>
      <c r="K13" s="1193"/>
    </row>
    <row r="14" spans="1:21" ht="15" hidden="1" customHeight="1">
      <c r="D14" s="355" t="s">
        <v>110</v>
      </c>
      <c r="E14" s="355" t="s">
        <v>111</v>
      </c>
      <c r="F14" s="355" t="s">
        <v>90</v>
      </c>
      <c r="G14" s="84" t="str">
        <f>G1&amp;".1"</f>
        <v>4.1</v>
      </c>
      <c r="H14" s="84"/>
      <c r="I14" s="84" t="str">
        <f>I1&amp;".1"</f>
        <v>4.1</v>
      </c>
      <c r="J14" s="84"/>
      <c r="K14" s="64"/>
    </row>
    <row r="15" spans="1:21" ht="22.5" hidden="1" customHeight="1">
      <c r="A15" s="9"/>
      <c r="C15" s="74"/>
      <c r="D15" s="39">
        <v>1</v>
      </c>
      <c r="E15" s="150" t="s">
        <v>1612</v>
      </c>
      <c r="F15" s="39" t="s">
        <v>1613</v>
      </c>
      <c r="G15" s="394"/>
      <c r="H15" s="394"/>
      <c r="I15" s="394"/>
      <c r="J15" s="394"/>
      <c r="K15" s="64" t="s">
        <v>1614</v>
      </c>
    </row>
    <row r="16" spans="1:21" ht="22.5" hidden="1" customHeight="1">
      <c r="A16" s="9"/>
      <c r="C16" s="74"/>
      <c r="D16" s="39">
        <v>2</v>
      </c>
      <c r="E16" s="150" t="s">
        <v>1615</v>
      </c>
      <c r="F16" s="39" t="s">
        <v>1616</v>
      </c>
      <c r="G16" s="394"/>
      <c r="H16" s="394"/>
      <c r="I16" s="394"/>
      <c r="J16" s="394"/>
      <c r="K16" s="64" t="s">
        <v>1617</v>
      </c>
    </row>
    <row r="17" spans="1:11" ht="123.75" hidden="1" customHeight="1">
      <c r="A17" s="9"/>
      <c r="C17" s="74"/>
      <c r="D17" s="39">
        <v>3</v>
      </c>
      <c r="E17" s="150" t="s">
        <v>1618</v>
      </c>
      <c r="F17" s="39" t="s">
        <v>294</v>
      </c>
      <c r="G17" s="394"/>
      <c r="H17" s="394"/>
      <c r="I17" s="394"/>
      <c r="J17" s="394"/>
      <c r="K17" s="64" t="s">
        <v>1619</v>
      </c>
    </row>
    <row r="18" spans="1:11" ht="45" customHeight="1">
      <c r="A18" s="9"/>
      <c r="C18" s="74"/>
      <c r="D18" s="39">
        <v>4</v>
      </c>
      <c r="E18" s="150" t="s">
        <v>1620</v>
      </c>
      <c r="F18" s="39" t="s">
        <v>294</v>
      </c>
      <c r="G18" s="39" t="s">
        <v>294</v>
      </c>
      <c r="H18" s="351" t="s">
        <v>294</v>
      </c>
      <c r="I18" s="39" t="s">
        <v>294</v>
      </c>
      <c r="J18" s="351" t="s">
        <v>294</v>
      </c>
      <c r="K18" s="64" t="s">
        <v>1621</v>
      </c>
    </row>
    <row r="19" spans="1:11" ht="33.75" customHeight="1">
      <c r="A19" s="9"/>
      <c r="C19" s="74"/>
      <c r="D19" s="41" t="s">
        <v>1461</v>
      </c>
      <c r="E19" s="334" t="s">
        <v>1622</v>
      </c>
      <c r="F19" s="39" t="s">
        <v>1623</v>
      </c>
      <c r="G19" s="484"/>
      <c r="H19" s="35"/>
      <c r="I19" s="484"/>
      <c r="J19" s="241"/>
      <c r="K19" s="395"/>
    </row>
    <row r="20" spans="1:11" ht="33.75" customHeight="1">
      <c r="A20" s="9"/>
      <c r="C20" s="74"/>
      <c r="D20" s="41" t="s">
        <v>1478</v>
      </c>
      <c r="E20" s="334" t="s">
        <v>1624</v>
      </c>
      <c r="F20" s="39" t="s">
        <v>1625</v>
      </c>
      <c r="G20" s="484"/>
      <c r="H20" s="35"/>
      <c r="I20" s="484"/>
      <c r="J20" s="35"/>
      <c r="K20" s="395"/>
    </row>
    <row r="21" spans="1:11" ht="45" customHeight="1">
      <c r="A21" s="9"/>
      <c r="C21" s="74"/>
      <c r="D21" s="41" t="s">
        <v>1626</v>
      </c>
      <c r="E21" s="334" t="s">
        <v>1627</v>
      </c>
      <c r="F21" s="39" t="s">
        <v>1240</v>
      </c>
      <c r="G21" s="396"/>
      <c r="H21" s="35"/>
      <c r="I21" s="396"/>
      <c r="J21" s="35"/>
      <c r="K21" s="395"/>
    </row>
    <row r="22" spans="1:11" ht="67.5" hidden="1" customHeight="1">
      <c r="A22" s="9"/>
      <c r="C22" s="74"/>
      <c r="D22" s="39">
        <v>5</v>
      </c>
      <c r="E22" s="150" t="s">
        <v>1628</v>
      </c>
      <c r="F22" s="39" t="s">
        <v>1629</v>
      </c>
      <c r="G22" s="397"/>
      <c r="H22" s="398"/>
      <c r="I22" s="397"/>
      <c r="J22" s="398"/>
      <c r="K22" s="64" t="s">
        <v>1630</v>
      </c>
    </row>
    <row r="23" spans="1:11" ht="33.75" hidden="1" customHeight="1">
      <c r="C23" s="74"/>
      <c r="D23" s="39">
        <v>6</v>
      </c>
      <c r="E23" s="150" t="s">
        <v>1631</v>
      </c>
      <c r="F23" s="39" t="s">
        <v>1632</v>
      </c>
      <c r="G23" s="397"/>
      <c r="H23" s="397"/>
      <c r="I23" s="397"/>
      <c r="J23" s="397"/>
      <c r="K23" s="64" t="s">
        <v>1633</v>
      </c>
    </row>
    <row r="29" spans="1:11" ht="15" customHeight="1">
      <c r="J29" s="485"/>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xr:uid="{00000000-0002-0000-1E00-00000000000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1E00-000001000000}"/>
    <dataValidation type="whole" allowBlank="1" showErrorMessage="1" errorTitle="Ошибка" error="Допускается ввод только неотрицательных целых чисел!" sqref="G19:G20 I19:I20" xr:uid="{00000000-0002-0000-1E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xr:uid="{00000000-0002-0000-1E00-000003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395B06-9154-3F1D-A3A4-5D815F61DDBD}">
  <sheetPr>
    <tabColor theme="2" tint="-9.9978637043366805E-2"/>
    <pageSetUpPr fitToPage="1"/>
  </sheetPr>
  <dimension ref="A1:R22"/>
  <sheetViews>
    <sheetView showGridLines="0" tabSelected="1" topLeftCell="C4" zoomScale="90" workbookViewId="0">
      <selection activeCell="E21" sqref="E21"/>
    </sheetView>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36.7109375" style="9" customWidth="1"/>
    <col min="6" max="6" width="9.5703125" style="9" customWidth="1"/>
    <col min="7" max="7" width="42.42578125" style="9" hidden="1" customWidth="1"/>
    <col min="8" max="8" width="40.7109375" style="9" customWidth="1"/>
    <col min="9" max="9" width="93.42578125" style="60" customWidth="1"/>
    <col min="10" max="17" width="10.5703125" style="9"/>
    <col min="18" max="18" width="10.5703125" style="313"/>
  </cols>
  <sheetData>
    <row r="1" spans="1:18" s="60" customFormat="1" ht="15" hidden="1" customHeight="1">
      <c r="C1" s="312"/>
      <c r="H1" s="60">
        <v>4</v>
      </c>
      <c r="R1" s="248"/>
    </row>
    <row r="2" spans="1:18" ht="22.5" hidden="1" customHeight="1">
      <c r="D2" s="41"/>
      <c r="E2" s="226"/>
      <c r="F2" s="39" t="str">
        <f>IF(TEMPLATE_SPHERE="HEAT","Гкал/час","тыс. куб. м/сутки")</f>
        <v>тыс. куб. м/сутки</v>
      </c>
      <c r="G2" s="396"/>
      <c r="H2" s="396"/>
      <c r="I2" s="64"/>
    </row>
    <row r="3" spans="1:18" s="60" customFormat="1" ht="15" hidden="1" customHeight="1">
      <c r="C3" s="312"/>
      <c r="R3" s="248"/>
    </row>
    <row r="5" spans="1:18" ht="47.25" customHeight="1">
      <c r="D5" s="1310"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1310"/>
      <c r="F5" s="1310"/>
      <c r="G5" s="1310"/>
      <c r="H5" s="1310"/>
    </row>
    <row r="6" spans="1:18" ht="15" customHeight="1">
      <c r="D6" s="1170" t="str">
        <f>IF(org=0,"Не определено",org)</f>
        <v>ИМУП «ПОСЖИЛКОМСЕРВИС»</v>
      </c>
      <c r="E6" s="1170"/>
      <c r="F6" s="1170"/>
      <c r="G6" s="1170"/>
      <c r="H6" s="1170"/>
    </row>
    <row r="7" spans="1:18" s="9" customFormat="1" ht="15" customHeight="1">
      <c r="A7" s="6"/>
      <c r="C7" s="84"/>
      <c r="D7" s="353"/>
      <c r="E7" s="353"/>
      <c r="F7" s="353"/>
      <c r="G7" s="353"/>
      <c r="H7" s="445"/>
      <c r="I7" s="60"/>
      <c r="R7" s="313"/>
    </row>
    <row r="8" spans="1:18" ht="0.75" customHeight="1">
      <c r="H8" s="60" t="s">
        <v>118</v>
      </c>
    </row>
    <row r="9" spans="1:18" ht="15" customHeight="1">
      <c r="D9" s="418"/>
      <c r="E9" s="1373" t="s">
        <v>106</v>
      </c>
      <c r="F9" s="1374"/>
      <c r="G9" s="483" t="str">
        <f>IF(G8="","",INDEX(DIFFERENTIATION_UNMERGE_VD,MATCH(G8,DIFFERENTIATION_ID_DIFF,0)))</f>
        <v/>
      </c>
      <c r="H9" s="483" t="str">
        <f>IF(H8="","",INDEX(DIFFERENTIATION_UNMERGE_VD,MATCH(H8,DIFFERENTIATION_ID_DIFF,0)))</f>
        <v>Холодное водоснабжение. Питьевая вода</v>
      </c>
      <c r="I9" s="1083" t="s">
        <v>289</v>
      </c>
    </row>
    <row r="10" spans="1:18" s="9" customFormat="1" ht="15" customHeight="1">
      <c r="A10" s="6"/>
      <c r="C10" s="84"/>
      <c r="D10" s="418"/>
      <c r="E10" s="1373" t="s">
        <v>414</v>
      </c>
      <c r="F10" s="1374"/>
      <c r="G10" s="483" t="str">
        <f>IF(G8="","",INDEX(DIFFERENTIATION_UNMERGE_AREA,MATCH(G8,DIFFERENTIATION_ID_DIFF,0)))</f>
        <v/>
      </c>
      <c r="H10" s="483" t="str">
        <f>IF(H8="","",INDEX(DIFFERENTIATION_UNMERGE_AREA,MATCH(H8,DIFFERENTIATION_ID_DIFF,0)))</f>
        <v>Территория 1</v>
      </c>
      <c r="I10" s="1083"/>
      <c r="R10" s="313"/>
    </row>
    <row r="11" spans="1:18" s="9" customFormat="1" ht="15" customHeight="1">
      <c r="A11" s="6"/>
      <c r="C11" s="84"/>
      <c r="D11" s="418"/>
      <c r="E11" s="1373" t="s">
        <v>415</v>
      </c>
      <c r="F11" s="1374"/>
      <c r="G11" s="483" t="str">
        <f>IF(G8="","",INDEX(DIFFERENTIATION_UNMERGE_SYSTEM,MATCH(G8,DIFFERENTIATION_ID_DIFF,0)))</f>
        <v/>
      </c>
      <c r="H11" s="483" t="str">
        <f>IF(H8="","",INDEX(DIFFERENTIATION_UNMERGE_SYSTEM,MATCH(H8,DIFFERENTIATION_ID_DIFF,0)))</f>
        <v>без дифференциации</v>
      </c>
      <c r="I11" s="1083"/>
      <c r="R11" s="313"/>
    </row>
    <row r="12" spans="1:18" s="9" customFormat="1" ht="15" customHeight="1">
      <c r="A12" s="6"/>
      <c r="C12" s="84"/>
      <c r="D12" s="1375" t="s">
        <v>288</v>
      </c>
      <c r="E12" s="1376"/>
      <c r="F12" s="1376"/>
      <c r="G12" s="529"/>
      <c r="H12" s="529"/>
      <c r="I12" s="1083"/>
      <c r="R12" s="313"/>
    </row>
    <row r="13" spans="1:18" ht="33.75" customHeight="1">
      <c r="D13" s="39" t="s">
        <v>88</v>
      </c>
      <c r="E13" s="39" t="s">
        <v>290</v>
      </c>
      <c r="F13" s="39" t="s">
        <v>1611</v>
      </c>
      <c r="G13" s="399" t="s">
        <v>291</v>
      </c>
      <c r="H13" s="399" t="s">
        <v>291</v>
      </c>
      <c r="I13" s="1083"/>
    </row>
    <row r="14" spans="1:18" ht="15" hidden="1" customHeight="1">
      <c r="D14" s="355" t="s">
        <v>110</v>
      </c>
      <c r="E14" s="355" t="s">
        <v>111</v>
      </c>
      <c r="F14" s="355" t="s">
        <v>90</v>
      </c>
      <c r="G14" s="84" t="str">
        <f>G1&amp;".1"</f>
        <v>.1</v>
      </c>
      <c r="H14" s="84" t="str">
        <f>H1&amp;".1"</f>
        <v>4.1</v>
      </c>
      <c r="I14" s="64"/>
    </row>
    <row r="15" spans="1:18" ht="15" customHeight="1">
      <c r="A15" s="9"/>
      <c r="C15" s="74"/>
      <c r="D15" s="39">
        <v>1</v>
      </c>
      <c r="E15" s="150" t="str">
        <f>TP_P_A</f>
        <v xml:space="preserve">Количество поданных заявлений </v>
      </c>
      <c r="F15" s="39" t="s">
        <v>1634</v>
      </c>
      <c r="G15" s="400"/>
      <c r="H15" s="400">
        <v>0</v>
      </c>
      <c r="I15" s="111"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r="16" spans="1:18" ht="15" customHeight="1">
      <c r="A16" s="9"/>
      <c r="C16" s="74"/>
      <c r="D16" s="39">
        <v>2</v>
      </c>
      <c r="E16" s="150" t="str">
        <f>TP_P_B</f>
        <v xml:space="preserve">Количество исполненных заявлений </v>
      </c>
      <c r="F16" s="39" t="s">
        <v>1634</v>
      </c>
      <c r="G16" s="400"/>
      <c r="H16" s="400">
        <v>0</v>
      </c>
      <c r="I16" s="111"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r="17" spans="1:18" ht="33.75" customHeight="1">
      <c r="A17" s="9"/>
      <c r="C17" s="74"/>
      <c r="D17" s="39">
        <v>3</v>
      </c>
      <c r="E17" s="150" t="str">
        <f>TP_P_V</f>
        <v>Количество заявлений о заключении договоров о подключении (технологическом присоединении)</v>
      </c>
      <c r="F17" s="39" t="s">
        <v>1634</v>
      </c>
      <c r="G17" s="400"/>
      <c r="H17" s="400">
        <v>0</v>
      </c>
      <c r="I17" s="111"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r="18" spans="1:18" ht="22.5" customHeight="1">
      <c r="A18" s="9"/>
      <c r="C18" s="74"/>
      <c r="D18" s="39">
        <v>4</v>
      </c>
      <c r="E18" s="150" t="str">
        <f>TP_P_V_1</f>
        <v>Причины отказа в заключении договора о подключении (технологическом присоединении) к централизованной системе холодного водоснабжения</v>
      </c>
      <c r="F18" s="39" t="s">
        <v>294</v>
      </c>
      <c r="G18" s="401"/>
      <c r="H18" s="401"/>
      <c r="I18" s="149"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row>
    <row r="19" spans="1:18" ht="62.45" customHeight="1">
      <c r="A19" s="9"/>
      <c r="C19" s="74"/>
      <c r="D19" s="39">
        <v>5</v>
      </c>
      <c r="E19" s="150"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39" t="str">
        <f>IF(TEMPLATE_SPHERE="HEAT","Гкал/час","тыс. куб. м/сутки")</f>
        <v>тыс. куб. м/сутки</v>
      </c>
      <c r="G19" s="402">
        <f>SUM(G20:G22)</f>
        <v>0</v>
      </c>
      <c r="H19" s="402">
        <f>SUM(H20:H22)</f>
        <v>0.7</v>
      </c>
      <c r="I19" s="111"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r="20" spans="1:18" ht="15" hidden="1" customHeight="1">
      <c r="D20" s="9" t="s">
        <v>1635</v>
      </c>
      <c r="E20" s="353"/>
      <c r="I20" s="1005"/>
    </row>
    <row r="21" spans="1:18" ht="27.75" customHeight="1">
      <c r="C21" s="74"/>
      <c r="D21" s="41" t="s">
        <v>303</v>
      </c>
      <c r="E21" s="116" t="s">
        <v>1636</v>
      </c>
      <c r="F21" s="39" t="str">
        <f>IF(TEMPLATE_SPHERE="HEAT","Гкал/час","тыс. куб. м/сутки")</f>
        <v>тыс. куб. м/сутки</v>
      </c>
      <c r="G21" s="396"/>
      <c r="H21" s="396">
        <v>0.7</v>
      </c>
      <c r="I21" s="1127"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r="22" spans="1:18" ht="15" customHeight="1">
      <c r="A22" s="9"/>
      <c r="C22" s="9"/>
      <c r="D22" s="38"/>
      <c r="E22" s="107" t="s">
        <v>1637</v>
      </c>
      <c r="F22" s="345"/>
      <c r="G22" s="345"/>
      <c r="H22" s="345"/>
      <c r="I22" s="1129"/>
      <c r="R22" s="9"/>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xr:uid="{00000000-0002-0000-1F00-000000000000}">
      <formula1>0</formula1>
      <formula2>9.99999999999999E+23</formula2>
    </dataValidation>
    <dataValidation type="decimal" allowBlank="1" showErrorMessage="1" errorTitle="Ошибка" error="Допускается ввод только неотрицательных чисел!" sqref="G21:H21 G2:H2" xr:uid="{00000000-0002-0000-1F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xr:uid="{00000000-0002-0000-1F00-000002000000}">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1F00-000003000000}"/>
  </dataValidations>
  <pageMargins left="0.7" right="0.7" top="0.75" bottom="0.75" header="0.3" footer="0.3"/>
  <pageSetup scale="90" orientation="landscape"/>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310CA3-57CC-7949-8DF3-6591DAFBBD8B}">
  <sheetPr>
    <tabColor rgb="FFDDD9C4"/>
  </sheetPr>
  <dimension ref="A1:U39"/>
  <sheetViews>
    <sheetView showGridLines="0" topLeftCell="C21" zoomScale="90" workbookViewId="0"/>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36.7109375" style="9" customWidth="1"/>
    <col min="6" max="6" width="9.5703125" style="9" customWidth="1"/>
    <col min="7" max="7" width="25.7109375" style="9" hidden="1" customWidth="1"/>
    <col min="8" max="8" width="33.7109375" style="9" hidden="1" customWidth="1"/>
    <col min="9" max="9" width="25.7109375" style="9" customWidth="1"/>
    <col min="10" max="10" width="33.7109375" style="9" customWidth="1"/>
    <col min="11" max="11" width="93.42578125" style="60" customWidth="1"/>
    <col min="12" max="20" width="10.5703125" style="9"/>
    <col min="21" max="21" width="10.5703125" style="313"/>
  </cols>
  <sheetData>
    <row r="1" spans="1:21" s="60" customFormat="1" ht="15" hidden="1" customHeight="1">
      <c r="C1" s="312"/>
      <c r="G1" s="60">
        <v>4</v>
      </c>
      <c r="I1" s="60">
        <v>4</v>
      </c>
      <c r="U1" s="248"/>
    </row>
    <row r="2" spans="1:21" s="60" customFormat="1" ht="15" hidden="1" customHeight="1">
      <c r="C2" s="312"/>
      <c r="U2" s="248"/>
    </row>
    <row r="3" spans="1:21" ht="22.5" hidden="1" customHeight="1">
      <c r="A3" s="9"/>
      <c r="B3" s="1377"/>
      <c r="C3" s="1378"/>
      <c r="D3" s="403" t="str">
        <f>B3&amp;".1"</f>
        <v>.1</v>
      </c>
      <c r="E3" s="404" t="s">
        <v>1638</v>
      </c>
      <c r="F3" s="405" t="s">
        <v>294</v>
      </c>
      <c r="G3" s="401"/>
      <c r="H3" s="241"/>
      <c r="I3" s="401"/>
      <c r="J3" s="241"/>
      <c r="K3" s="64" t="s">
        <v>1639</v>
      </c>
    </row>
    <row r="4" spans="1:21" ht="15" hidden="1" customHeight="1">
      <c r="A4" s="9"/>
      <c r="B4" s="1377"/>
      <c r="C4" s="1378"/>
      <c r="D4" s="403" t="str">
        <f>B3&amp;".2"</f>
        <v>.2</v>
      </c>
      <c r="E4" s="404" t="s">
        <v>1640</v>
      </c>
      <c r="F4" s="405" t="s">
        <v>294</v>
      </c>
      <c r="G4" s="983" t="s">
        <v>18</v>
      </c>
      <c r="H4" s="241"/>
      <c r="I4" s="983" t="s">
        <v>18</v>
      </c>
      <c r="J4" s="241"/>
      <c r="K4" s="64" t="s">
        <v>1641</v>
      </c>
    </row>
    <row r="5" spans="1:21" s="60" customFormat="1" ht="15" hidden="1" customHeight="1">
      <c r="C5" s="312"/>
      <c r="U5" s="248"/>
    </row>
    <row r="6" spans="1:21" ht="22.5" hidden="1" customHeight="1">
      <c r="A6" s="9"/>
      <c r="B6" s="1377"/>
      <c r="C6" s="1378"/>
      <c r="D6" s="403" t="str">
        <f>B6&amp;".1"</f>
        <v>.1</v>
      </c>
      <c r="E6" s="404" t="s">
        <v>1642</v>
      </c>
      <c r="F6" s="405" t="s">
        <v>294</v>
      </c>
      <c r="G6" s="401"/>
      <c r="H6" s="241"/>
      <c r="I6" s="401"/>
      <c r="J6" s="241"/>
      <c r="K6" s="64" t="s">
        <v>1643</v>
      </c>
    </row>
    <row r="7" spans="1:21" ht="15" hidden="1" customHeight="1">
      <c r="A7" s="9"/>
      <c r="B7" s="1377"/>
      <c r="C7" s="1378"/>
      <c r="D7" s="403" t="str">
        <f>B6&amp;".2"</f>
        <v>.2</v>
      </c>
      <c r="E7" s="404" t="s">
        <v>1640</v>
      </c>
      <c r="F7" s="405" t="s">
        <v>294</v>
      </c>
      <c r="G7" s="983" t="s">
        <v>18</v>
      </c>
      <c r="H7" s="241"/>
      <c r="I7" s="983" t="s">
        <v>18</v>
      </c>
      <c r="J7" s="241"/>
      <c r="K7" s="64" t="s">
        <v>1641</v>
      </c>
    </row>
    <row r="8" spans="1:21" s="60" customFormat="1" ht="15" hidden="1" customHeight="1">
      <c r="C8" s="312"/>
      <c r="U8" s="248"/>
    </row>
    <row r="9" spans="1:21" ht="22.5" hidden="1" customHeight="1">
      <c r="A9" s="9"/>
      <c r="B9" s="1377"/>
      <c r="C9" s="1378"/>
      <c r="D9" s="403" t="str">
        <f>B9&amp;".1"</f>
        <v>.1</v>
      </c>
      <c r="E9" s="404" t="s">
        <v>1644</v>
      </c>
      <c r="F9" s="405" t="s">
        <v>294</v>
      </c>
      <c r="G9" s="410" t="s">
        <v>18</v>
      </c>
      <c r="H9" s="241" t="s">
        <v>18</v>
      </c>
      <c r="I9" s="410" t="s">
        <v>18</v>
      </c>
      <c r="J9" s="241" t="s">
        <v>18</v>
      </c>
      <c r="K9" s="64"/>
    </row>
    <row r="10" spans="1:21" ht="15" hidden="1" customHeight="1">
      <c r="A10" s="9"/>
      <c r="B10" s="1377"/>
      <c r="C10" s="1378"/>
      <c r="D10" s="403" t="str">
        <f>B9&amp;".2"</f>
        <v>.2</v>
      </c>
      <c r="E10" s="404" t="s">
        <v>1645</v>
      </c>
      <c r="F10" s="405" t="s">
        <v>294</v>
      </c>
      <c r="G10" s="977" t="s">
        <v>18</v>
      </c>
      <c r="H10" s="241" t="s">
        <v>18</v>
      </c>
      <c r="I10" s="977" t="s">
        <v>18</v>
      </c>
      <c r="J10" s="241" t="s">
        <v>18</v>
      </c>
      <c r="K10" s="64" t="s">
        <v>1646</v>
      </c>
    </row>
    <row r="11" spans="1:21" ht="15" hidden="1" customHeight="1">
      <c r="A11" s="9"/>
      <c r="B11" s="1377"/>
      <c r="C11" s="1378"/>
      <c r="D11" s="403" t="str">
        <f>B9&amp;".3"</f>
        <v>.3</v>
      </c>
      <c r="E11" s="404" t="s">
        <v>1647</v>
      </c>
      <c r="F11" s="405" t="s">
        <v>294</v>
      </c>
      <c r="G11" s="977" t="s">
        <v>18</v>
      </c>
      <c r="H11" s="241" t="s">
        <v>18</v>
      </c>
      <c r="I11" s="977" t="s">
        <v>18</v>
      </c>
      <c r="J11" s="241" t="s">
        <v>18</v>
      </c>
      <c r="K11" s="64" t="s">
        <v>1648</v>
      </c>
    </row>
    <row r="12" spans="1:21" s="60" customFormat="1" ht="15" hidden="1" customHeight="1">
      <c r="C12" s="312"/>
      <c r="U12" s="248"/>
    </row>
    <row r="13" spans="1:21" ht="33.75" hidden="1" customHeight="1">
      <c r="A13" s="9"/>
      <c r="B13" s="1377"/>
      <c r="C13" s="1378"/>
      <c r="D13" s="403" t="str">
        <f>B13&amp;".1"</f>
        <v>.1</v>
      </c>
      <c r="E13" s="404" t="s">
        <v>1649</v>
      </c>
      <c r="F13" s="405" t="s">
        <v>294</v>
      </c>
      <c r="G13" s="410" t="s">
        <v>18</v>
      </c>
      <c r="H13" s="241" t="s">
        <v>18</v>
      </c>
      <c r="I13" s="410" t="s">
        <v>18</v>
      </c>
      <c r="J13" s="241" t="s">
        <v>18</v>
      </c>
      <c r="K13" s="64" t="s">
        <v>1650</v>
      </c>
    </row>
    <row r="14" spans="1:21" ht="15" hidden="1" customHeight="1">
      <c r="B14" s="1377"/>
      <c r="C14" s="1378"/>
      <c r="D14" s="403" t="str">
        <f>B13&amp;".2"</f>
        <v>.2</v>
      </c>
      <c r="E14" s="404" t="s">
        <v>1651</v>
      </c>
      <c r="F14" s="405" t="s">
        <v>294</v>
      </c>
      <c r="G14" s="977" t="s">
        <v>18</v>
      </c>
      <c r="H14" s="241" t="s">
        <v>18</v>
      </c>
      <c r="I14" s="977" t="s">
        <v>18</v>
      </c>
      <c r="J14" s="241" t="s">
        <v>18</v>
      </c>
      <c r="K14" s="64" t="s">
        <v>1652</v>
      </c>
    </row>
    <row r="15" spans="1:21" s="60" customFormat="1" ht="15" hidden="1" customHeight="1">
      <c r="C15" s="312"/>
      <c r="U15" s="248"/>
    </row>
    <row r="16" spans="1:21" s="60" customFormat="1" ht="15" hidden="1" customHeight="1">
      <c r="C16" s="312"/>
      <c r="U16" s="248"/>
    </row>
    <row r="17" spans="1:21" s="60" customFormat="1" ht="15" hidden="1" customHeight="1">
      <c r="C17" s="312"/>
      <c r="U17" s="248"/>
    </row>
    <row r="18" spans="1:21" s="60" customFormat="1" ht="15" hidden="1" customHeight="1">
      <c r="C18" s="312"/>
      <c r="U18" s="248"/>
    </row>
    <row r="19" spans="1:21" s="60" customFormat="1" ht="15" hidden="1" customHeight="1">
      <c r="C19" s="312"/>
      <c r="U19" s="248"/>
    </row>
    <row r="20" spans="1:21" s="60" customFormat="1" ht="15" hidden="1" customHeight="1">
      <c r="C20" s="312"/>
      <c r="U20" s="248"/>
    </row>
    <row r="22" spans="1:21" ht="27.75" customHeight="1">
      <c r="D22" s="1310" t="s">
        <v>1653</v>
      </c>
      <c r="E22" s="1310"/>
      <c r="F22" s="1310"/>
      <c r="G22" s="1310"/>
      <c r="H22" s="1310"/>
      <c r="I22" s="1310"/>
      <c r="J22" s="353"/>
    </row>
    <row r="23" spans="1:21" ht="15" customHeight="1">
      <c r="D23" s="1170" t="str">
        <f>IF(org=0,"Не определено",org)</f>
        <v>ИМУП «ПОСЖИЛКОМСЕРВИС»</v>
      </c>
      <c r="E23" s="1170"/>
      <c r="F23" s="1170"/>
      <c r="G23" s="1170"/>
      <c r="H23" s="1170"/>
      <c r="I23" s="1170"/>
      <c r="J23" s="353"/>
    </row>
    <row r="24" spans="1:21" ht="15" customHeight="1">
      <c r="G24" s="60">
        <v>22</v>
      </c>
      <c r="H24" s="445"/>
      <c r="I24" s="60">
        <v>22</v>
      </c>
      <c r="J24" s="445"/>
    </row>
    <row r="25" spans="1:21" s="9" customFormat="1" ht="0.75" customHeight="1">
      <c r="A25" s="6"/>
      <c r="C25" s="84"/>
      <c r="G25" s="60"/>
      <c r="H25" s="445"/>
      <c r="I25" s="60" t="s">
        <v>118</v>
      </c>
      <c r="J25" s="445"/>
      <c r="K25" s="60"/>
      <c r="U25" s="313"/>
    </row>
    <row r="26" spans="1:21" ht="15" customHeight="1">
      <c r="D26" s="418"/>
      <c r="E26" s="1373" t="s">
        <v>106</v>
      </c>
      <c r="F26" s="1374"/>
      <c r="G26" s="1371" t="str">
        <f>IF(G25="","",INDEX(DIFFERENTIATION_UNMERGE_VD,MATCH(G25,DIFFERENTIATION_ID_DIFF,0)))</f>
        <v/>
      </c>
      <c r="H26" s="1372"/>
      <c r="I26" s="1371" t="str">
        <f>IF(I25="","",INDEX(DIFFERENTIATION_UNMERGE_VD,MATCH(I25,DIFFERENTIATION_ID_DIFF,0)))</f>
        <v>Холодное водоснабжение. Питьевая вода</v>
      </c>
      <c r="J26" s="1372"/>
      <c r="K26" s="1137" t="s">
        <v>289</v>
      </c>
    </row>
    <row r="27" spans="1:21" s="9" customFormat="1" ht="15" customHeight="1">
      <c r="A27" s="6"/>
      <c r="C27" s="84"/>
      <c r="D27" s="418"/>
      <c r="E27" s="1373" t="s">
        <v>414</v>
      </c>
      <c r="F27" s="1374"/>
      <c r="G27" s="1371" t="str">
        <f>IF(G25="","",INDEX(DIFFERENTIATION_UNMERGE_AREA,MATCH(G25,DIFFERENTIATION_ID_DIFF,0)))</f>
        <v/>
      </c>
      <c r="H27" s="1372"/>
      <c r="I27" s="1371" t="str">
        <f>IF(I25="","",INDEX(DIFFERENTIATION_UNMERGE_AREA,MATCH(I25,DIFFERENTIATION_ID_DIFF,0)))</f>
        <v>Территория 1</v>
      </c>
      <c r="J27" s="1372"/>
      <c r="K27" s="1141"/>
      <c r="U27" s="313"/>
    </row>
    <row r="28" spans="1:21" s="9" customFormat="1" ht="15" customHeight="1">
      <c r="A28" s="6"/>
      <c r="C28" s="84"/>
      <c r="D28" s="418"/>
      <c r="E28" s="1373" t="s">
        <v>415</v>
      </c>
      <c r="F28" s="1374"/>
      <c r="G28" s="1371" t="str">
        <f>IF(G25="","",INDEX(DIFFERENTIATION_UNMERGE_SYSTEM,MATCH(G25,DIFFERENTIATION_ID_DIFF,0)))</f>
        <v/>
      </c>
      <c r="H28" s="1372"/>
      <c r="I28" s="1371" t="str">
        <f>IF(I25="","",INDEX(DIFFERENTIATION_UNMERGE_SYSTEM,MATCH(I25,DIFFERENTIATION_ID_DIFF,0)))</f>
        <v>без дифференциации</v>
      </c>
      <c r="J28" s="1372"/>
      <c r="K28" s="1141"/>
      <c r="U28" s="313"/>
    </row>
    <row r="29" spans="1:21" s="9" customFormat="1" ht="15" customHeight="1">
      <c r="A29" s="6"/>
      <c r="C29" s="84"/>
      <c r="D29" s="1375" t="s">
        <v>288</v>
      </c>
      <c r="E29" s="1376"/>
      <c r="F29" s="1376"/>
      <c r="G29" s="529"/>
      <c r="H29" s="529"/>
      <c r="I29" s="529"/>
      <c r="J29" s="530"/>
      <c r="K29" s="1141"/>
      <c r="U29" s="313"/>
    </row>
    <row r="30" spans="1:21" ht="33.75" customHeight="1">
      <c r="D30" s="39" t="s">
        <v>88</v>
      </c>
      <c r="E30" s="39" t="s">
        <v>290</v>
      </c>
      <c r="F30" s="39" t="s">
        <v>1611</v>
      </c>
      <c r="G30" s="399" t="s">
        <v>291</v>
      </c>
      <c r="H30" s="39" t="s">
        <v>380</v>
      </c>
      <c r="I30" s="399" t="s">
        <v>291</v>
      </c>
      <c r="J30" s="39" t="s">
        <v>380</v>
      </c>
      <c r="K30" s="1144"/>
    </row>
    <row r="31" spans="1:21" ht="15" hidden="1" customHeight="1">
      <c r="D31" s="355"/>
      <c r="E31" s="355"/>
      <c r="F31" s="355"/>
      <c r="G31" s="84"/>
      <c r="H31" s="84"/>
      <c r="I31" s="84"/>
      <c r="J31" s="84"/>
      <c r="K31" s="64"/>
    </row>
    <row r="32" spans="1:21" ht="22.5" customHeight="1">
      <c r="A32" s="9"/>
      <c r="B32" s="9" t="s">
        <v>1654</v>
      </c>
      <c r="C32" s="74"/>
      <c r="D32" s="406">
        <v>1</v>
      </c>
      <c r="E32" s="187" t="s">
        <v>1655</v>
      </c>
      <c r="F32" s="405" t="s">
        <v>294</v>
      </c>
      <c r="G32" s="405" t="s">
        <v>294</v>
      </c>
      <c r="H32" s="405" t="s">
        <v>294</v>
      </c>
      <c r="I32" s="405" t="s">
        <v>294</v>
      </c>
      <c r="J32" s="405" t="s">
        <v>294</v>
      </c>
      <c r="K32" s="64"/>
    </row>
    <row r="33" spans="1:21" ht="11.25" customHeight="1">
      <c r="A33" s="9"/>
      <c r="C33" s="9"/>
      <c r="D33" s="38"/>
      <c r="E33" s="107" t="s">
        <v>1568</v>
      </c>
      <c r="F33" s="345"/>
      <c r="G33" s="345"/>
      <c r="H33" s="345"/>
      <c r="I33" s="345"/>
      <c r="J33" s="345"/>
      <c r="K33" s="346"/>
      <c r="U33" s="9"/>
    </row>
    <row r="34" spans="1:21" ht="22.5" customHeight="1">
      <c r="A34" s="9"/>
      <c r="B34" s="353" t="s">
        <v>449</v>
      </c>
      <c r="C34" s="74"/>
      <c r="D34" s="406">
        <v>2</v>
      </c>
      <c r="E34" s="187" t="s">
        <v>1656</v>
      </c>
      <c r="F34" s="405" t="s">
        <v>294</v>
      </c>
      <c r="G34" s="405" t="s">
        <v>294</v>
      </c>
      <c r="H34" s="405" t="s">
        <v>294</v>
      </c>
      <c r="I34" s="405"/>
      <c r="J34" s="405"/>
      <c r="K34" s="64"/>
    </row>
    <row r="35" spans="1:21" ht="11.25" customHeight="1">
      <c r="A35" s="9"/>
      <c r="C35" s="9"/>
      <c r="D35" s="38"/>
      <c r="E35" s="107" t="s">
        <v>1657</v>
      </c>
      <c r="F35" s="345"/>
      <c r="G35" s="407"/>
      <c r="H35" s="345"/>
      <c r="I35" s="407"/>
      <c r="J35" s="345"/>
      <c r="K35" s="346"/>
      <c r="U35" s="9"/>
    </row>
    <row r="36" spans="1:21" ht="67.5" customHeight="1">
      <c r="A36" s="9"/>
      <c r="B36" s="9" t="s">
        <v>1658</v>
      </c>
      <c r="C36" s="74"/>
      <c r="D36" s="406">
        <v>3</v>
      </c>
      <c r="E36" s="187" t="s">
        <v>1659</v>
      </c>
      <c r="F36" s="408" t="s">
        <v>294</v>
      </c>
      <c r="G36" s="308" t="s">
        <v>1660</v>
      </c>
      <c r="H36" s="405" t="s">
        <v>294</v>
      </c>
      <c r="I36" s="308" t="s">
        <v>1660</v>
      </c>
      <c r="J36" s="405" t="s">
        <v>294</v>
      </c>
      <c r="K36" s="64" t="s">
        <v>1661</v>
      </c>
    </row>
    <row r="37" spans="1:21" ht="11.25" customHeight="1">
      <c r="A37" s="9"/>
      <c r="C37" s="9"/>
      <c r="D37" s="38"/>
      <c r="E37" s="107" t="s">
        <v>1662</v>
      </c>
      <c r="F37" s="345"/>
      <c r="G37" s="407"/>
      <c r="H37" s="407"/>
      <c r="I37" s="407"/>
      <c r="J37" s="407"/>
      <c r="K37" s="346"/>
      <c r="U37" s="9"/>
    </row>
    <row r="38" spans="1:21" ht="67.5" customHeight="1">
      <c r="A38" s="9"/>
      <c r="B38" s="9" t="s">
        <v>1663</v>
      </c>
      <c r="C38" s="74"/>
      <c r="D38" s="406">
        <v>4</v>
      </c>
      <c r="E38" s="187" t="s">
        <v>1664</v>
      </c>
      <c r="F38" s="408" t="s">
        <v>294</v>
      </c>
      <c r="G38" s="308" t="s">
        <v>1660</v>
      </c>
      <c r="H38" s="39" t="s">
        <v>294</v>
      </c>
      <c r="I38" s="308" t="s">
        <v>1660</v>
      </c>
      <c r="J38" s="39" t="s">
        <v>294</v>
      </c>
      <c r="K38" s="395" t="s">
        <v>1665</v>
      </c>
    </row>
    <row r="39" spans="1:21" ht="11.25" customHeight="1">
      <c r="A39" s="9"/>
      <c r="C39" s="9"/>
      <c r="D39" s="38"/>
      <c r="E39" s="107" t="s">
        <v>1666</v>
      </c>
      <c r="F39" s="345"/>
      <c r="G39" s="345"/>
      <c r="H39" s="409"/>
      <c r="I39" s="345"/>
      <c r="J39" s="409"/>
      <c r="K39" s="346"/>
      <c r="U39" s="9"/>
    </row>
  </sheetData>
  <sheetProtection formatColumns="0" formatRows="0" insertRows="0" deleteColumns="0" deleteRows="0" sort="0" autoFilter="0"/>
  <mergeCells count="21">
    <mergeCell ref="G28:H28"/>
    <mergeCell ref="K26:K30"/>
    <mergeCell ref="E27:F27"/>
    <mergeCell ref="E28:F28"/>
    <mergeCell ref="I27:J27"/>
    <mergeCell ref="I28:J28"/>
    <mergeCell ref="G26:H26"/>
    <mergeCell ref="G27:H27"/>
    <mergeCell ref="D29:F29"/>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xr:uid="{00000000-0002-0000-2000-000000000000}"/>
    <dataValidation type="textLength" operator="lessThanOrEqual" allowBlank="1" showInputMessage="1" showErrorMessage="1" errorTitle="Ошибка" error="Допускается ввод не более 900 символов!" sqref="I3 I6 I9 I13 G6 G13 G9 G3" xr:uid="{00000000-0002-0000-20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xr:uid="{00000000-0002-0000-2000-00000200000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xr:uid="{00000000-0002-0000-2000-000003000000}">
      <formula1>900</formula1>
    </dataValidation>
    <dataValidation allowBlank="1" showInputMessage="1" showErrorMessage="1" prompt="Для выбора выполните двойной щелчок левой клавиши мыши по ячейке." sqref="I36 G38 I38 G36" xr:uid="{00000000-0002-0000-2000-000004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C9E5E-3364-6267-D9A4-D33722C65114}">
  <sheetPr>
    <tabColor theme="6" tint="0.39997558519241921"/>
  </sheetPr>
  <dimension ref="A1:AF215"/>
  <sheetViews>
    <sheetView showGridLines="0" topLeftCell="C7" zoomScale="86" workbookViewId="0"/>
  </sheetViews>
  <sheetFormatPr defaultColWidth="10.5703125" defaultRowHeight="14.25" customHeight="1"/>
  <cols>
    <col min="1" max="1" width="25.140625" style="953" hidden="1" customWidth="1"/>
    <col min="2" max="2" width="9.140625" style="1" hidden="1" customWidth="1"/>
    <col min="3" max="3" width="3.7109375" style="28" customWidth="1"/>
    <col min="4" max="4" width="6.28515625" style="9" customWidth="1"/>
    <col min="5" max="5" width="46.7109375" style="9" customWidth="1"/>
    <col min="6" max="6" width="35.7109375" style="9" customWidth="1"/>
    <col min="7" max="7" width="3.7109375" style="9" customWidth="1"/>
    <col min="8" max="9" width="11.7109375" style="9" customWidth="1"/>
    <col min="10" max="11" width="35.7109375" style="9" customWidth="1"/>
    <col min="12" max="12" width="84.85546875" style="9" customWidth="1"/>
    <col min="13" max="13" width="10.5703125" style="9"/>
    <col min="14" max="15" width="10.5703125" style="66"/>
    <col min="16" max="32" width="10.5703125" style="9"/>
  </cols>
  <sheetData>
    <row r="1" spans="1:32" s="9" customFormat="1" ht="14.25" hidden="1" customHeight="1">
      <c r="A1" s="953"/>
      <c r="B1" s="1"/>
      <c r="C1" s="28"/>
      <c r="N1" s="66"/>
      <c r="O1" s="66"/>
      <c r="S1" s="77"/>
      <c r="AF1" s="147"/>
    </row>
    <row r="2" spans="1:32" s="9" customFormat="1" ht="56.25" hidden="1" customHeight="1">
      <c r="A2" s="2"/>
      <c r="B2" s="1"/>
      <c r="C2" s="28"/>
      <c r="D2" s="626"/>
      <c r="E2" s="626"/>
      <c r="F2" s="626"/>
      <c r="G2" s="793"/>
      <c r="H2" s="984"/>
      <c r="I2" s="1011"/>
      <c r="J2" s="1010"/>
      <c r="K2" s="793" t="s">
        <v>294</v>
      </c>
      <c r="M2" s="202"/>
      <c r="N2" s="66"/>
      <c r="O2" s="66"/>
    </row>
    <row r="3" spans="1:32" ht="14.25" hidden="1" customHeight="1">
      <c r="S3" s="77"/>
      <c r="AF3" s="147"/>
    </row>
    <row r="4" spans="1:32" s="9" customFormat="1" ht="56.25" hidden="1" customHeight="1">
      <c r="A4" s="2"/>
      <c r="B4" s="1"/>
      <c r="C4" s="28"/>
      <c r="D4" s="626"/>
      <c r="E4" s="626"/>
      <c r="F4" s="626"/>
      <c r="G4" s="37"/>
      <c r="H4" s="984"/>
      <c r="I4" s="1011"/>
      <c r="J4" s="227"/>
      <c r="K4" s="793" t="s">
        <v>294</v>
      </c>
      <c r="M4" s="202"/>
      <c r="N4" s="66"/>
      <c r="O4" s="66"/>
    </row>
    <row r="5" spans="1:32" ht="14.25" hidden="1" customHeight="1"/>
    <row r="6" spans="1:32" ht="14.25" hidden="1" customHeight="1"/>
    <row r="7" spans="1:32" ht="6" customHeight="1">
      <c r="C7" s="27"/>
      <c r="D7" s="8"/>
      <c r="E7" s="8"/>
      <c r="F7" s="8"/>
      <c r="G7" s="8"/>
      <c r="H7" s="8"/>
      <c r="I7" s="8"/>
      <c r="J7" s="8"/>
      <c r="K7" s="18"/>
      <c r="L7" s="18"/>
    </row>
    <row r="8" spans="1:32" ht="26.25" customHeight="1">
      <c r="C8" s="27"/>
      <c r="D8" s="136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E8" s="1365"/>
      <c r="F8" s="1365"/>
      <c r="G8" s="1365"/>
      <c r="H8" s="1365"/>
      <c r="I8" s="1365"/>
      <c r="J8" s="1365"/>
      <c r="K8" s="1365"/>
      <c r="L8" s="57"/>
    </row>
    <row r="9" spans="1:32" ht="6" customHeight="1">
      <c r="C9" s="27"/>
      <c r="D9" s="8"/>
      <c r="E9" s="12"/>
      <c r="F9" s="12"/>
      <c r="G9" s="12"/>
      <c r="H9" s="12"/>
      <c r="I9" s="12"/>
      <c r="J9" s="12"/>
      <c r="K9" s="193"/>
      <c r="L9" s="98"/>
    </row>
    <row r="10" spans="1:32" ht="18.75" customHeight="1">
      <c r="C10" s="27"/>
      <c r="D10" s="8"/>
      <c r="E10" s="176" t="str">
        <f>"Дата подачи заявления об "&amp;IF(TITLE_DATE_PR_CHANGE="","утверждении","изменении")&amp;" тарифов"</f>
        <v>Дата подачи заявления об утверждении тарифов</v>
      </c>
      <c r="F10" s="1278" t="str">
        <f>IF(TITLE_DATE_CHANGE_PERIOD="",IF(TITLE_DATE_PR="","",TITLE_DATE_PR),TITLE_DATE_CHANGE_PERIOD)</f>
        <v/>
      </c>
      <c r="G10" s="1278"/>
      <c r="H10" s="1278"/>
      <c r="I10" s="1278"/>
      <c r="J10" s="1278"/>
      <c r="K10" s="1278"/>
      <c r="L10" s="202"/>
    </row>
    <row r="11" spans="1:32" ht="18.75" customHeight="1">
      <c r="C11" s="27"/>
      <c r="D11" s="8"/>
      <c r="E11" s="176" t="str">
        <f>"Номер подачи заявления об "&amp;IF(TITLE_DATE_PR_CHANGE="","утверждении","изменении")&amp;" тарифов"</f>
        <v>Номер подачи заявления об утверждении тарифов</v>
      </c>
      <c r="F11" s="1278" t="str">
        <f>IF(TITLE_NUMBER_PR_CHANGE="",IF(TITLE_NUMBER_PR="","",TITLE_NUMBER_PR),TITLE_NUMBER_PR_CHANGE)</f>
        <v/>
      </c>
      <c r="G11" s="1278"/>
      <c r="H11" s="1278"/>
      <c r="I11" s="1278"/>
      <c r="J11" s="1278"/>
      <c r="K11" s="1278"/>
      <c r="L11" s="202"/>
    </row>
    <row r="12" spans="1:32" ht="14.25" customHeight="1">
      <c r="C12" s="27"/>
      <c r="D12" s="8"/>
      <c r="E12" s="12"/>
      <c r="F12" s="12"/>
      <c r="G12" s="12"/>
      <c r="H12" s="12"/>
      <c r="I12" s="12"/>
      <c r="J12" s="12"/>
      <c r="K12" s="445"/>
      <c r="L12" s="98"/>
    </row>
    <row r="13" spans="1:32" ht="21" customHeight="1">
      <c r="C13" s="27"/>
      <c r="D13" s="1168" t="s">
        <v>288</v>
      </c>
      <c r="E13" s="1168"/>
      <c r="F13" s="1168"/>
      <c r="G13" s="1168"/>
      <c r="H13" s="1168"/>
      <c r="I13" s="1168"/>
      <c r="J13" s="1168"/>
      <c r="K13" s="1168"/>
      <c r="L13" s="1272" t="s">
        <v>289</v>
      </c>
    </row>
    <row r="14" spans="1:32" ht="21" customHeight="1">
      <c r="C14" s="27"/>
      <c r="D14" s="1301" t="s">
        <v>88</v>
      </c>
      <c r="E14" s="1175" t="s">
        <v>124</v>
      </c>
      <c r="F14" s="1175" t="s">
        <v>125</v>
      </c>
      <c r="G14" s="1380" t="s">
        <v>1667</v>
      </c>
      <c r="H14" s="1381"/>
      <c r="I14" s="1382"/>
      <c r="J14" s="1175" t="s">
        <v>291</v>
      </c>
      <c r="K14" s="1175" t="s">
        <v>380</v>
      </c>
      <c r="L14" s="1272"/>
    </row>
    <row r="15" spans="1:32" ht="21" customHeight="1">
      <c r="C15" s="27"/>
      <c r="D15" s="1303"/>
      <c r="E15" s="1176"/>
      <c r="F15" s="1176"/>
      <c r="G15" s="1174" t="s">
        <v>1546</v>
      </c>
      <c r="H15" s="1188"/>
      <c r="I15" s="37" t="s">
        <v>1668</v>
      </c>
      <c r="J15" s="1176"/>
      <c r="K15" s="1176"/>
      <c r="L15" s="1272"/>
    </row>
    <row r="16" spans="1:32" ht="12" hidden="1" customHeight="1">
      <c r="C16" s="27"/>
      <c r="D16" s="20"/>
      <c r="E16" s="20"/>
      <c r="F16" s="20"/>
      <c r="G16" s="1383"/>
      <c r="H16" s="1383"/>
      <c r="I16" s="20"/>
      <c r="J16" s="20"/>
      <c r="K16" s="20"/>
      <c r="L16" s="20"/>
    </row>
    <row r="17" spans="1:15" ht="18.75" customHeight="1">
      <c r="A17" s="2"/>
      <c r="C17" s="27"/>
      <c r="D17" s="61" t="s">
        <v>110</v>
      </c>
      <c r="E17" s="1369" t="str">
        <f>"Предлагаемый метод регулирования"&amp;IF(TEMPLATE_SPHERE="HEAT"," в сфере "&amp;TEMPLATE_SPHERE_RUS,"")</f>
        <v>Предлагаемый метод регулирования</v>
      </c>
      <c r="F17" s="1369"/>
      <c r="G17" s="1369"/>
      <c r="H17" s="1369"/>
      <c r="I17" s="1369"/>
      <c r="J17" s="1384" t="s">
        <v>294</v>
      </c>
      <c r="K17" s="1369"/>
      <c r="L17" s="150"/>
      <c r="M17" s="202"/>
    </row>
    <row r="18" spans="1:15" ht="56.25" hidden="1" customHeight="1">
      <c r="A18" s="2" t="s">
        <v>157</v>
      </c>
      <c r="C18" s="1379"/>
      <c r="D18" s="1162"/>
      <c r="E18" s="1218"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1218" t="str">
        <f>INDEX(PT_DIFFERENTIATION_VDET,MATCH(A18,PT_DIFFERENTIATION_VTAR_ID,0))</f>
        <v/>
      </c>
      <c r="G18" s="37"/>
      <c r="H18" s="984"/>
      <c r="I18" s="1011"/>
      <c r="J18" s="1010"/>
      <c r="K18" s="793" t="s">
        <v>294</v>
      </c>
      <c r="L18" s="112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202"/>
    </row>
    <row r="19" spans="1:15" ht="18.75" hidden="1" customHeight="1">
      <c r="A19" s="2"/>
      <c r="B19" s="1" t="s">
        <v>1669</v>
      </c>
      <c r="C19" s="1379"/>
      <c r="D19" s="1162"/>
      <c r="E19" s="1218"/>
      <c r="F19" s="1218"/>
      <c r="G19" s="239"/>
      <c r="H19" s="50" t="s">
        <v>1567</v>
      </c>
      <c r="I19" s="108"/>
      <c r="J19" s="240"/>
      <c r="K19" s="105"/>
      <c r="L19" s="1128"/>
      <c r="M19" s="202"/>
    </row>
    <row r="20" spans="1:15" s="9" customFormat="1" ht="26.25" hidden="1" customHeight="1">
      <c r="A20" s="2" t="s">
        <v>163</v>
      </c>
      <c r="B20" s="1"/>
      <c r="C20" s="1379"/>
      <c r="D20" s="1162"/>
      <c r="E20" s="1218"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1218" t="str">
        <f>INDEX(PT_DIFFERENTIATION_VDET,MATCH(A20,PT_DIFFERENTIATION_VTAR_ID,0))</f>
        <v/>
      </c>
      <c r="G20" s="37"/>
      <c r="H20" s="984"/>
      <c r="I20" s="1011"/>
      <c r="J20" s="1010"/>
      <c r="K20" s="793" t="s">
        <v>294</v>
      </c>
      <c r="L20" s="1128"/>
      <c r="M20" s="202"/>
      <c r="N20" s="66"/>
      <c r="O20" s="66"/>
    </row>
    <row r="21" spans="1:15" s="9" customFormat="1" ht="18.75" hidden="1" customHeight="1">
      <c r="A21" s="2"/>
      <c r="B21" s="1" t="s">
        <v>1669</v>
      </c>
      <c r="C21" s="1379"/>
      <c r="D21" s="1162"/>
      <c r="E21" s="1218"/>
      <c r="F21" s="1218"/>
      <c r="G21" s="239"/>
      <c r="H21" s="50" t="s">
        <v>1567</v>
      </c>
      <c r="I21" s="108"/>
      <c r="J21" s="240"/>
      <c r="K21" s="105"/>
      <c r="L21" s="1128"/>
      <c r="M21" s="202"/>
      <c r="N21" s="66"/>
      <c r="O21" s="66"/>
    </row>
    <row r="22" spans="1:15" s="9" customFormat="1" ht="18.75" hidden="1" customHeight="1">
      <c r="A22" s="2" t="s">
        <v>169</v>
      </c>
      <c r="B22" s="1"/>
      <c r="C22" s="1379"/>
      <c r="D22" s="1162"/>
      <c r="E22" s="1218"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1218" t="str">
        <f>INDEX(PT_DIFFERENTIATION_VDET,MATCH(A22,PT_DIFFERENTIATION_VTAR_ID,0))</f>
        <v/>
      </c>
      <c r="G22" s="37"/>
      <c r="H22" s="984"/>
      <c r="I22" s="1011"/>
      <c r="J22" s="1010"/>
      <c r="K22" s="793" t="s">
        <v>294</v>
      </c>
      <c r="L22" s="1128"/>
      <c r="M22" s="202"/>
      <c r="N22" s="66"/>
      <c r="O22" s="66"/>
    </row>
    <row r="23" spans="1:15" s="9" customFormat="1" ht="18.75" hidden="1" customHeight="1">
      <c r="A23" s="2"/>
      <c r="B23" s="1" t="s">
        <v>1669</v>
      </c>
      <c r="C23" s="1379"/>
      <c r="D23" s="1162"/>
      <c r="E23" s="1218"/>
      <c r="F23" s="1218"/>
      <c r="G23" s="239"/>
      <c r="H23" s="50" t="s">
        <v>1567</v>
      </c>
      <c r="I23" s="108"/>
      <c r="J23" s="240"/>
      <c r="K23" s="105"/>
      <c r="L23" s="1128"/>
      <c r="M23" s="202"/>
      <c r="N23" s="66"/>
      <c r="O23" s="66"/>
    </row>
    <row r="24" spans="1:15" s="9" customFormat="1" ht="41.25" hidden="1" customHeight="1">
      <c r="A24" s="2" t="s">
        <v>175</v>
      </c>
      <c r="B24" s="1"/>
      <c r="C24" s="1379"/>
      <c r="D24" s="1162"/>
      <c r="E24" s="1218"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1218" t="str">
        <f>INDEX(PT_DIFFERENTIATION_VDET,MATCH(A24,PT_DIFFERENTIATION_VTAR_ID,0))</f>
        <v/>
      </c>
      <c r="G24" s="37"/>
      <c r="H24" s="984"/>
      <c r="I24" s="1011"/>
      <c r="J24" s="1010"/>
      <c r="K24" s="793" t="s">
        <v>294</v>
      </c>
      <c r="L24" s="1128"/>
      <c r="M24" s="202"/>
      <c r="N24" s="66"/>
      <c r="O24" s="66"/>
    </row>
    <row r="25" spans="1:15" s="9" customFormat="1" ht="18.75" hidden="1" customHeight="1">
      <c r="A25" s="2"/>
      <c r="B25" s="1" t="s">
        <v>1669</v>
      </c>
      <c r="C25" s="1379"/>
      <c r="D25" s="1162"/>
      <c r="E25" s="1218"/>
      <c r="F25" s="1218"/>
      <c r="G25" s="239"/>
      <c r="H25" s="50" t="s">
        <v>1567</v>
      </c>
      <c r="I25" s="108"/>
      <c r="J25" s="240"/>
      <c r="K25" s="105"/>
      <c r="L25" s="1128"/>
      <c r="M25" s="202"/>
      <c r="N25" s="66"/>
      <c r="O25" s="66"/>
    </row>
    <row r="26" spans="1:15" s="9" customFormat="1" ht="18.75" hidden="1" customHeight="1">
      <c r="A26" s="2" t="s">
        <v>181</v>
      </c>
      <c r="B26" s="1"/>
      <c r="C26" s="1379"/>
      <c r="D26" s="1162"/>
      <c r="E26" s="1218" t="str">
        <f>INDEX(PT_DIFFERENTIATION_VTAR,MATCH(A26,PT_DIFFERENTIATION_VTAR_ID,0))</f>
        <v>Тарифы на услуги по передаче тепловой энергии</v>
      </c>
      <c r="F26" s="1218" t="str">
        <f>INDEX(PT_DIFFERENTIATION_VDET,MATCH(A26,PT_DIFFERENTIATION_VTAR_ID,0))</f>
        <v/>
      </c>
      <c r="G26" s="37"/>
      <c r="H26" s="984"/>
      <c r="I26" s="1011"/>
      <c r="J26" s="1010"/>
      <c r="K26" s="793" t="s">
        <v>294</v>
      </c>
      <c r="L26" s="1128"/>
      <c r="M26" s="202"/>
      <c r="N26" s="66"/>
      <c r="O26" s="66"/>
    </row>
    <row r="27" spans="1:15" s="9" customFormat="1" ht="18.75" hidden="1" customHeight="1">
      <c r="A27" s="2"/>
      <c r="B27" s="1" t="s">
        <v>1669</v>
      </c>
      <c r="C27" s="1379"/>
      <c r="D27" s="1162"/>
      <c r="E27" s="1218"/>
      <c r="F27" s="1218"/>
      <c r="G27" s="239"/>
      <c r="H27" s="50" t="s">
        <v>1567</v>
      </c>
      <c r="I27" s="108"/>
      <c r="J27" s="240"/>
      <c r="K27" s="105"/>
      <c r="L27" s="1128"/>
      <c r="M27" s="202"/>
      <c r="N27" s="66"/>
      <c r="O27" s="66"/>
    </row>
    <row r="28" spans="1:15" s="9" customFormat="1" ht="18.75" hidden="1" customHeight="1">
      <c r="A28" s="2" t="s">
        <v>187</v>
      </c>
      <c r="B28" s="1"/>
      <c r="C28" s="1379"/>
      <c r="D28" s="1162"/>
      <c r="E28" s="1218" t="str">
        <f>INDEX(PT_DIFFERENTIATION_VTAR,MATCH(A28,PT_DIFFERENTIATION_VTAR_ID,0))</f>
        <v>Тарифы на услуги по передаче теплоносителя</v>
      </c>
      <c r="F28" s="1218" t="str">
        <f>INDEX(PT_DIFFERENTIATION_VDET,MATCH(A28,PT_DIFFERENTIATION_VTAR_ID,0))</f>
        <v/>
      </c>
      <c r="G28" s="37"/>
      <c r="H28" s="984"/>
      <c r="I28" s="1011"/>
      <c r="J28" s="1010"/>
      <c r="K28" s="793" t="s">
        <v>294</v>
      </c>
      <c r="L28" s="1128"/>
      <c r="M28" s="202"/>
      <c r="N28" s="66"/>
      <c r="O28" s="66"/>
    </row>
    <row r="29" spans="1:15" s="9" customFormat="1" ht="18.75" hidden="1" customHeight="1">
      <c r="A29" s="2"/>
      <c r="B29" s="1" t="s">
        <v>1669</v>
      </c>
      <c r="C29" s="1379"/>
      <c r="D29" s="1162"/>
      <c r="E29" s="1218"/>
      <c r="F29" s="1218"/>
      <c r="G29" s="239"/>
      <c r="H29" s="50" t="s">
        <v>1567</v>
      </c>
      <c r="I29" s="108"/>
      <c r="J29" s="240"/>
      <c r="K29" s="105"/>
      <c r="L29" s="1128"/>
      <c r="M29" s="202"/>
      <c r="N29" s="66"/>
      <c r="O29" s="66"/>
    </row>
    <row r="30" spans="1:15" s="9" customFormat="1" ht="18.75" hidden="1" customHeight="1">
      <c r="A30" s="2" t="s">
        <v>193</v>
      </c>
      <c r="B30" s="1"/>
      <c r="C30" s="1379"/>
      <c r="D30" s="1162"/>
      <c r="E30" s="1218" t="str">
        <f>INDEX(PT_DIFFERENTIATION_VTAR,MATCH(A30,PT_DIFFERENTIATION_VTAR_ID,0))</f>
        <v>Плата за услуги по поддержанию резервной тепловой мощности при отсутствии потребления тепловой энергии</v>
      </c>
      <c r="F30" s="1218" t="str">
        <f>INDEX(PT_DIFFERENTIATION_VDET,MATCH(A30,PT_DIFFERENTIATION_VTAR_ID,0))</f>
        <v/>
      </c>
      <c r="G30" s="37"/>
      <c r="H30" s="984"/>
      <c r="I30" s="1011"/>
      <c r="J30" s="1010"/>
      <c r="K30" s="793" t="s">
        <v>294</v>
      </c>
      <c r="L30" s="1128"/>
      <c r="M30" s="202"/>
      <c r="N30" s="66"/>
      <c r="O30" s="66"/>
    </row>
    <row r="31" spans="1:15" s="9" customFormat="1" ht="18.75" hidden="1" customHeight="1">
      <c r="A31" s="2"/>
      <c r="B31" s="1" t="s">
        <v>1669</v>
      </c>
      <c r="C31" s="1379"/>
      <c r="D31" s="1162"/>
      <c r="E31" s="1218"/>
      <c r="F31" s="1218"/>
      <c r="G31" s="239"/>
      <c r="H31" s="50" t="s">
        <v>1567</v>
      </c>
      <c r="I31" s="108"/>
      <c r="J31" s="240"/>
      <c r="K31" s="105"/>
      <c r="L31" s="1128"/>
      <c r="M31" s="202"/>
      <c r="N31" s="66"/>
      <c r="O31" s="66"/>
    </row>
    <row r="32" spans="1:15" s="9" customFormat="1" ht="18.75" hidden="1" customHeight="1">
      <c r="A32" s="2" t="s">
        <v>199</v>
      </c>
      <c r="B32" s="1"/>
      <c r="C32" s="1379"/>
      <c r="D32" s="1162"/>
      <c r="E32" s="1218" t="str">
        <f>INDEX(PT_DIFFERENTIATION_VTAR,MATCH(A32,PT_DIFFERENTIATION_VTAR_ID,0))</f>
        <v>Плата за подключение (технологическое присоединение) к системе теплоснабжения</v>
      </c>
      <c r="F32" s="1218" t="str">
        <f>INDEX(PT_DIFFERENTIATION_VDET,MATCH(A32,PT_DIFFERENTIATION_VTAR_ID,0))</f>
        <v/>
      </c>
      <c r="G32" s="37"/>
      <c r="H32" s="984"/>
      <c r="I32" s="1011"/>
      <c r="J32" s="1010"/>
      <c r="K32" s="793" t="s">
        <v>294</v>
      </c>
      <c r="L32" s="1128"/>
      <c r="M32" s="202"/>
      <c r="N32" s="66"/>
      <c r="O32" s="66"/>
    </row>
    <row r="33" spans="1:15" s="9" customFormat="1" ht="18.75" hidden="1" customHeight="1">
      <c r="A33" s="2"/>
      <c r="B33" s="1" t="s">
        <v>1669</v>
      </c>
      <c r="C33" s="1379"/>
      <c r="D33" s="1162"/>
      <c r="E33" s="1218"/>
      <c r="F33" s="1218"/>
      <c r="G33" s="239"/>
      <c r="H33" s="50" t="s">
        <v>1567</v>
      </c>
      <c r="I33" s="108"/>
      <c r="J33" s="240"/>
      <c r="K33" s="105"/>
      <c r="L33" s="1128"/>
      <c r="M33" s="202"/>
      <c r="N33" s="66"/>
      <c r="O33" s="66"/>
    </row>
    <row r="34" spans="1:15" s="9" customFormat="1" ht="18.75" hidden="1" customHeight="1">
      <c r="A34" s="2" t="s">
        <v>213</v>
      </c>
      <c r="B34" s="1"/>
      <c r="C34" s="1379"/>
      <c r="D34" s="1162"/>
      <c r="E34" s="1218" t="str">
        <f>INDEX(PT_DIFFERENTIATION_VTAR,MATCH(A34,PT_DIFFERENTIATION_VTAR_ID,0))</f>
        <v>Тариф на питьевую воду (питьевое водоснабжение)</v>
      </c>
      <c r="F34" s="1218" t="str">
        <f>INDEX(PT_DIFFERENTIATION_VDET,MATCH(A34,PT_DIFFERENTIATION_VTAR_ID,0))</f>
        <v/>
      </c>
      <c r="G34" s="37"/>
      <c r="H34" s="984"/>
      <c r="I34" s="1011"/>
      <c r="J34" s="1010"/>
      <c r="K34" s="793" t="s">
        <v>294</v>
      </c>
      <c r="L34" s="1128"/>
      <c r="M34" s="202"/>
      <c r="N34" s="66"/>
      <c r="O34" s="66"/>
    </row>
    <row r="35" spans="1:15" s="9" customFormat="1" ht="18.75" hidden="1" customHeight="1">
      <c r="A35" s="2"/>
      <c r="B35" s="1" t="s">
        <v>1669</v>
      </c>
      <c r="C35" s="1379"/>
      <c r="D35" s="1162"/>
      <c r="E35" s="1218"/>
      <c r="F35" s="1218"/>
      <c r="G35" s="239"/>
      <c r="H35" s="50" t="s">
        <v>1567</v>
      </c>
      <c r="I35" s="108"/>
      <c r="J35" s="240"/>
      <c r="K35" s="105"/>
      <c r="L35" s="1128"/>
      <c r="M35" s="202"/>
      <c r="N35" s="66"/>
      <c r="O35" s="66"/>
    </row>
    <row r="36" spans="1:15" s="9" customFormat="1" ht="18.75" hidden="1" customHeight="1">
      <c r="A36" s="2" t="s">
        <v>218</v>
      </c>
      <c r="B36" s="1"/>
      <c r="C36" s="1379"/>
      <c r="D36" s="1162"/>
      <c r="E36" s="1218" t="str">
        <f>INDEX(PT_DIFFERENTIATION_VTAR,MATCH(A36,PT_DIFFERENTIATION_VTAR_ID,0))</f>
        <v>Тариф на техническую воду</v>
      </c>
      <c r="F36" s="1218" t="str">
        <f>INDEX(PT_DIFFERENTIATION_VDET,MATCH(A36,PT_DIFFERENTIATION_VTAR_ID,0))</f>
        <v/>
      </c>
      <c r="G36" s="37"/>
      <c r="H36" s="984"/>
      <c r="I36" s="1011"/>
      <c r="J36" s="1010"/>
      <c r="K36" s="793" t="s">
        <v>294</v>
      </c>
      <c r="L36" s="1128"/>
      <c r="M36" s="202"/>
      <c r="N36" s="66"/>
      <c r="O36" s="66"/>
    </row>
    <row r="37" spans="1:15" s="9" customFormat="1" ht="18.75" hidden="1" customHeight="1">
      <c r="A37" s="2"/>
      <c r="B37" s="1" t="s">
        <v>1669</v>
      </c>
      <c r="C37" s="1379"/>
      <c r="D37" s="1162"/>
      <c r="E37" s="1218"/>
      <c r="F37" s="1218"/>
      <c r="G37" s="239"/>
      <c r="H37" s="50" t="s">
        <v>1567</v>
      </c>
      <c r="I37" s="108"/>
      <c r="J37" s="240"/>
      <c r="K37" s="105"/>
      <c r="L37" s="1128"/>
      <c r="M37" s="202"/>
      <c r="N37" s="66"/>
      <c r="O37" s="66"/>
    </row>
    <row r="38" spans="1:15" s="9" customFormat="1" ht="18.75" hidden="1" customHeight="1">
      <c r="A38" s="2" t="s">
        <v>223</v>
      </c>
      <c r="B38" s="1"/>
      <c r="C38" s="1379"/>
      <c r="D38" s="1162"/>
      <c r="E38" s="1218" t="str">
        <f>INDEX(PT_DIFFERENTIATION_VTAR,MATCH(A38,PT_DIFFERENTIATION_VTAR_ID,0))</f>
        <v>Тариф на транспортировку воды</v>
      </c>
      <c r="F38" s="1218" t="str">
        <f>INDEX(PT_DIFFERENTIATION_VDET,MATCH(A38,PT_DIFFERENTIATION_VTAR_ID,0))</f>
        <v/>
      </c>
      <c r="G38" s="37"/>
      <c r="H38" s="984"/>
      <c r="I38" s="1011"/>
      <c r="J38" s="1010"/>
      <c r="K38" s="793" t="s">
        <v>294</v>
      </c>
      <c r="L38" s="1128"/>
      <c r="M38" s="202"/>
      <c r="N38" s="66"/>
      <c r="O38" s="66"/>
    </row>
    <row r="39" spans="1:15" s="9" customFormat="1" ht="18.75" hidden="1" customHeight="1">
      <c r="A39" s="2"/>
      <c r="B39" s="1" t="s">
        <v>1669</v>
      </c>
      <c r="C39" s="1379"/>
      <c r="D39" s="1162"/>
      <c r="E39" s="1218"/>
      <c r="F39" s="1218"/>
      <c r="G39" s="239"/>
      <c r="H39" s="50" t="s">
        <v>1567</v>
      </c>
      <c r="I39" s="108"/>
      <c r="J39" s="240"/>
      <c r="K39" s="105"/>
      <c r="L39" s="1128"/>
      <c r="M39" s="202"/>
      <c r="N39" s="66"/>
      <c r="O39" s="66"/>
    </row>
    <row r="40" spans="1:15" s="9" customFormat="1" ht="18.75" hidden="1" customHeight="1">
      <c r="A40" s="2" t="s">
        <v>228</v>
      </c>
      <c r="B40" s="1"/>
      <c r="C40" s="1379"/>
      <c r="D40" s="1162"/>
      <c r="E40" s="1218" t="str">
        <f>INDEX(PT_DIFFERENTIATION_VTAR,MATCH(A40,PT_DIFFERENTIATION_VTAR_ID,0))</f>
        <v>Тариф на подвоз воды</v>
      </c>
      <c r="F40" s="1218" t="str">
        <f>INDEX(PT_DIFFERENTIATION_VDET,MATCH(A40,PT_DIFFERENTIATION_VTAR_ID,0))</f>
        <v/>
      </c>
      <c r="G40" s="37"/>
      <c r="H40" s="984"/>
      <c r="I40" s="1011"/>
      <c r="J40" s="1010"/>
      <c r="K40" s="793" t="s">
        <v>294</v>
      </c>
      <c r="L40" s="1128"/>
      <c r="M40" s="202"/>
      <c r="N40" s="66"/>
      <c r="O40" s="66"/>
    </row>
    <row r="41" spans="1:15" s="9" customFormat="1" ht="18.75" hidden="1" customHeight="1">
      <c r="A41" s="2"/>
      <c r="B41" s="1" t="s">
        <v>1669</v>
      </c>
      <c r="C41" s="1379"/>
      <c r="D41" s="1162"/>
      <c r="E41" s="1218"/>
      <c r="F41" s="1218"/>
      <c r="G41" s="239"/>
      <c r="H41" s="50" t="s">
        <v>1567</v>
      </c>
      <c r="I41" s="108"/>
      <c r="J41" s="240"/>
      <c r="K41" s="105"/>
      <c r="L41" s="1128"/>
      <c r="M41" s="202"/>
      <c r="N41" s="66"/>
      <c r="O41" s="66"/>
    </row>
    <row r="42" spans="1:15" s="9" customFormat="1" ht="18.75" hidden="1" customHeight="1">
      <c r="A42" s="2" t="s">
        <v>233</v>
      </c>
      <c r="B42" s="1"/>
      <c r="C42" s="1379"/>
      <c r="D42" s="1162"/>
      <c r="E42" s="1218" t="str">
        <f>INDEX(PT_DIFFERENTIATION_VTAR,MATCH(A42,PT_DIFFERENTIATION_VTAR_ID,0))</f>
        <v>Тариф на подключение (технологическое присоединение) к централизованной системе холодного водоснабжения</v>
      </c>
      <c r="F42" s="1218" t="str">
        <f>INDEX(PT_DIFFERENTIATION_VDET,MATCH(A42,PT_DIFFERENTIATION_VTAR_ID,0))</f>
        <v/>
      </c>
      <c r="G42" s="37"/>
      <c r="H42" s="984"/>
      <c r="I42" s="1011"/>
      <c r="J42" s="1010"/>
      <c r="K42" s="793" t="s">
        <v>294</v>
      </c>
      <c r="L42" s="1128"/>
      <c r="M42" s="202"/>
      <c r="N42" s="66"/>
      <c r="O42" s="66"/>
    </row>
    <row r="43" spans="1:15" s="9" customFormat="1" ht="18.75" hidden="1" customHeight="1">
      <c r="A43" s="2"/>
      <c r="B43" s="1" t="s">
        <v>1669</v>
      </c>
      <c r="C43" s="1379"/>
      <c r="D43" s="1162"/>
      <c r="E43" s="1218"/>
      <c r="F43" s="1218"/>
      <c r="G43" s="239"/>
      <c r="H43" s="50" t="s">
        <v>1567</v>
      </c>
      <c r="I43" s="108"/>
      <c r="J43" s="240"/>
      <c r="K43" s="105"/>
      <c r="L43" s="1128"/>
      <c r="M43" s="202"/>
      <c r="N43" s="66"/>
      <c r="O43" s="66"/>
    </row>
    <row r="44" spans="1:15" s="9" customFormat="1" ht="18.75" hidden="1" customHeight="1">
      <c r="A44" s="2" t="s">
        <v>238</v>
      </c>
      <c r="B44" s="1"/>
      <c r="C44" s="1379"/>
      <c r="D44" s="1162"/>
      <c r="E44" s="1218" t="str">
        <f>INDEX(PT_DIFFERENTIATION_VTAR,MATCH(A44,PT_DIFFERENTIATION_VTAR_ID,0))</f>
        <v>Тариф на горячую воду (горячее водоснабжение)</v>
      </c>
      <c r="F44" s="1218" t="str">
        <f>INDEX(PT_DIFFERENTIATION_VDET,MATCH(A44,PT_DIFFERENTIATION_VTAR_ID,0))</f>
        <v/>
      </c>
      <c r="G44" s="37"/>
      <c r="H44" s="984"/>
      <c r="I44" s="1011"/>
      <c r="J44" s="1010"/>
      <c r="K44" s="793" t="s">
        <v>294</v>
      </c>
      <c r="L44" s="1128"/>
      <c r="M44" s="202"/>
      <c r="N44" s="66"/>
      <c r="O44" s="66"/>
    </row>
    <row r="45" spans="1:15" s="9" customFormat="1" ht="18.75" hidden="1" customHeight="1">
      <c r="A45" s="2"/>
      <c r="B45" s="1" t="s">
        <v>1669</v>
      </c>
      <c r="C45" s="1379"/>
      <c r="D45" s="1162"/>
      <c r="E45" s="1218"/>
      <c r="F45" s="1218"/>
      <c r="G45" s="239"/>
      <c r="H45" s="50" t="s">
        <v>1567</v>
      </c>
      <c r="I45" s="108"/>
      <c r="J45" s="240"/>
      <c r="K45" s="105"/>
      <c r="L45" s="1128"/>
      <c r="M45" s="202"/>
      <c r="N45" s="66"/>
      <c r="O45" s="66"/>
    </row>
    <row r="46" spans="1:15" s="9" customFormat="1" ht="18.75" hidden="1" customHeight="1">
      <c r="A46" s="2" t="s">
        <v>243</v>
      </c>
      <c r="B46" s="1"/>
      <c r="C46" s="1379"/>
      <c r="D46" s="1162"/>
      <c r="E46" s="1218" t="str">
        <f>INDEX(PT_DIFFERENTIATION_VTAR,MATCH(A46,PT_DIFFERENTIATION_VTAR_ID,0))</f>
        <v>Тариф на транспортировку горячей воды</v>
      </c>
      <c r="F46" s="1218" t="str">
        <f>INDEX(PT_DIFFERENTIATION_VDET,MATCH(A46,PT_DIFFERENTIATION_VTAR_ID,0))</f>
        <v/>
      </c>
      <c r="G46" s="37"/>
      <c r="H46" s="984"/>
      <c r="I46" s="1011"/>
      <c r="J46" s="1010"/>
      <c r="K46" s="793" t="s">
        <v>294</v>
      </c>
      <c r="L46" s="1128"/>
      <c r="M46" s="202"/>
      <c r="N46" s="66"/>
      <c r="O46" s="66"/>
    </row>
    <row r="47" spans="1:15" s="9" customFormat="1" ht="18.75" hidden="1" customHeight="1">
      <c r="A47" s="2"/>
      <c r="B47" s="1" t="s">
        <v>1669</v>
      </c>
      <c r="C47" s="1379"/>
      <c r="D47" s="1162"/>
      <c r="E47" s="1218"/>
      <c r="F47" s="1218"/>
      <c r="G47" s="239"/>
      <c r="H47" s="50" t="s">
        <v>1567</v>
      </c>
      <c r="I47" s="108"/>
      <c r="J47" s="240"/>
      <c r="K47" s="105"/>
      <c r="L47" s="1128"/>
      <c r="M47" s="202"/>
      <c r="N47" s="66"/>
      <c r="O47" s="66"/>
    </row>
    <row r="48" spans="1:15" s="9" customFormat="1" ht="18.75" hidden="1" customHeight="1">
      <c r="A48" s="2" t="s">
        <v>248</v>
      </c>
      <c r="B48" s="1"/>
      <c r="C48" s="1379"/>
      <c r="D48" s="1162"/>
      <c r="E48" s="1218" t="str">
        <f>INDEX(PT_DIFFERENTIATION_VTAR,MATCH(A48,PT_DIFFERENTIATION_VTAR_ID,0))</f>
        <v>Тариф на подключение (технологическое присоединение) к централизованной системе горячего водоснабжения</v>
      </c>
      <c r="F48" s="1218" t="str">
        <f>INDEX(PT_DIFFERENTIATION_VDET,MATCH(A48,PT_DIFFERENTIATION_VTAR_ID,0))</f>
        <v/>
      </c>
      <c r="G48" s="37"/>
      <c r="H48" s="984"/>
      <c r="I48" s="1011"/>
      <c r="J48" s="1010"/>
      <c r="K48" s="793" t="s">
        <v>294</v>
      </c>
      <c r="L48" s="1128"/>
      <c r="M48" s="202"/>
      <c r="N48" s="66"/>
      <c r="O48" s="66"/>
    </row>
    <row r="49" spans="1:15" s="9" customFormat="1" ht="18.75" hidden="1" customHeight="1">
      <c r="A49" s="2"/>
      <c r="B49" s="1" t="s">
        <v>1669</v>
      </c>
      <c r="C49" s="1379"/>
      <c r="D49" s="1162"/>
      <c r="E49" s="1218"/>
      <c r="F49" s="1218"/>
      <c r="G49" s="239"/>
      <c r="H49" s="50" t="s">
        <v>1567</v>
      </c>
      <c r="I49" s="108"/>
      <c r="J49" s="240"/>
      <c r="K49" s="105"/>
      <c r="L49" s="1128"/>
      <c r="M49" s="202"/>
      <c r="N49" s="66"/>
      <c r="O49" s="66"/>
    </row>
    <row r="50" spans="1:15" s="9" customFormat="1" ht="18.75" hidden="1" customHeight="1">
      <c r="A50" s="2" t="s">
        <v>253</v>
      </c>
      <c r="B50" s="1"/>
      <c r="C50" s="1379"/>
      <c r="D50" s="1162"/>
      <c r="E50" s="1218" t="str">
        <f>INDEX(PT_DIFFERENTIATION_VTAR,MATCH(A50,PT_DIFFERENTIATION_VTAR_ID,0))</f>
        <v>Тариф на водоотведение</v>
      </c>
      <c r="F50" s="1218" t="str">
        <f>INDEX(PT_DIFFERENTIATION_VDET,MATCH(A50,PT_DIFFERENTIATION_VTAR_ID,0))</f>
        <v/>
      </c>
      <c r="G50" s="37"/>
      <c r="H50" s="984"/>
      <c r="I50" s="1011"/>
      <c r="J50" s="1010"/>
      <c r="K50" s="793" t="s">
        <v>294</v>
      </c>
      <c r="L50" s="1128"/>
      <c r="M50" s="202"/>
      <c r="N50" s="66"/>
      <c r="O50" s="66"/>
    </row>
    <row r="51" spans="1:15" s="9" customFormat="1" ht="18.75" hidden="1" customHeight="1">
      <c r="A51" s="2"/>
      <c r="B51" s="1" t="s">
        <v>1669</v>
      </c>
      <c r="C51" s="1379"/>
      <c r="D51" s="1162"/>
      <c r="E51" s="1218"/>
      <c r="F51" s="1218"/>
      <c r="G51" s="239"/>
      <c r="H51" s="50" t="s">
        <v>1567</v>
      </c>
      <c r="I51" s="108"/>
      <c r="J51" s="240"/>
      <c r="K51" s="105"/>
      <c r="L51" s="1128"/>
      <c r="M51" s="202"/>
      <c r="N51" s="66"/>
      <c r="O51" s="66"/>
    </row>
    <row r="52" spans="1:15" s="9" customFormat="1" ht="18.75" hidden="1" customHeight="1">
      <c r="A52" s="2" t="s">
        <v>258</v>
      </c>
      <c r="B52" s="1"/>
      <c r="C52" s="1379"/>
      <c r="D52" s="1162"/>
      <c r="E52" s="1218" t="str">
        <f>INDEX(PT_DIFFERENTIATION_VTAR,MATCH(A52,PT_DIFFERENTIATION_VTAR_ID,0))</f>
        <v>Тариф на транспортировку сточных вод</v>
      </c>
      <c r="F52" s="1218" t="str">
        <f>INDEX(PT_DIFFERENTIATION_VDET,MATCH(A52,PT_DIFFERENTIATION_VTAR_ID,0))</f>
        <v/>
      </c>
      <c r="G52" s="37"/>
      <c r="H52" s="984"/>
      <c r="I52" s="1011"/>
      <c r="J52" s="1010"/>
      <c r="K52" s="793" t="s">
        <v>294</v>
      </c>
      <c r="L52" s="1128"/>
      <c r="M52" s="202"/>
      <c r="N52" s="66"/>
      <c r="O52" s="66"/>
    </row>
    <row r="53" spans="1:15" s="9" customFormat="1" ht="18.75" hidden="1" customHeight="1">
      <c r="A53" s="2"/>
      <c r="B53" s="1" t="s">
        <v>1669</v>
      </c>
      <c r="C53" s="1379"/>
      <c r="D53" s="1162"/>
      <c r="E53" s="1218"/>
      <c r="F53" s="1218"/>
      <c r="G53" s="239"/>
      <c r="H53" s="50" t="s">
        <v>1567</v>
      </c>
      <c r="I53" s="108"/>
      <c r="J53" s="240"/>
      <c r="K53" s="105"/>
      <c r="L53" s="1128"/>
      <c r="M53" s="202"/>
      <c r="N53" s="66"/>
      <c r="O53" s="66"/>
    </row>
    <row r="54" spans="1:15" s="9" customFormat="1" ht="18.75" hidden="1" customHeight="1">
      <c r="A54" s="2" t="s">
        <v>263</v>
      </c>
      <c r="B54" s="1"/>
      <c r="C54" s="1379"/>
      <c r="D54" s="1162"/>
      <c r="E54" s="1218" t="str">
        <f>INDEX(PT_DIFFERENTIATION_VTAR,MATCH(A54,PT_DIFFERENTIATION_VTAR_ID,0))</f>
        <v>Тариф на подключение (технологическое присоединение) к централизованной системе водоотведения</v>
      </c>
      <c r="F54" s="1218" t="str">
        <f>INDEX(PT_DIFFERENTIATION_VDET,MATCH(A54,PT_DIFFERENTIATION_VTAR_ID,0))</f>
        <v/>
      </c>
      <c r="G54" s="37"/>
      <c r="H54" s="984"/>
      <c r="I54" s="1011"/>
      <c r="J54" s="1010"/>
      <c r="K54" s="793" t="s">
        <v>294</v>
      </c>
      <c r="L54" s="1128"/>
      <c r="M54" s="202"/>
      <c r="N54" s="66"/>
      <c r="O54" s="66"/>
    </row>
    <row r="55" spans="1:15" s="9" customFormat="1" ht="18.75" hidden="1" customHeight="1">
      <c r="A55" s="2"/>
      <c r="B55" s="1" t="s">
        <v>1669</v>
      </c>
      <c r="C55" s="1379"/>
      <c r="D55" s="1162"/>
      <c r="E55" s="1218"/>
      <c r="F55" s="1218"/>
      <c r="G55" s="239"/>
      <c r="H55" s="50" t="s">
        <v>1567</v>
      </c>
      <c r="I55" s="108"/>
      <c r="J55" s="240"/>
      <c r="K55" s="105"/>
      <c r="L55" s="1128"/>
      <c r="M55" s="202"/>
      <c r="N55" s="66"/>
      <c r="O55" s="66"/>
    </row>
    <row r="56" spans="1:15" ht="18.75" customHeight="1">
      <c r="A56" s="2"/>
      <c r="C56" s="27"/>
      <c r="D56" s="61" t="s">
        <v>111</v>
      </c>
      <c r="E56" s="1369"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F56" s="1369"/>
      <c r="G56" s="1369"/>
      <c r="H56" s="1369"/>
      <c r="I56" s="1369"/>
      <c r="J56" s="1369"/>
      <c r="K56" s="1369"/>
      <c r="L56" s="111"/>
      <c r="M56" s="202"/>
    </row>
    <row r="57" spans="1:15" ht="33.75" customHeight="1">
      <c r="A57" s="2"/>
      <c r="C57" s="27"/>
      <c r="D57" s="238"/>
      <c r="E57" s="37" t="s">
        <v>294</v>
      </c>
      <c r="F57" s="37" t="s">
        <v>294</v>
      </c>
      <c r="G57" s="1174" t="s">
        <v>294</v>
      </c>
      <c r="H57" s="1188"/>
      <c r="I57" s="37" t="s">
        <v>294</v>
      </c>
      <c r="J57" s="37" t="s">
        <v>294</v>
      </c>
      <c r="K57" s="241"/>
      <c r="L57" s="64" t="s">
        <v>1670</v>
      </c>
      <c r="M57" s="202"/>
    </row>
    <row r="58" spans="1:15" ht="18.75" customHeight="1">
      <c r="A58" s="2"/>
      <c r="C58" s="27"/>
      <c r="D58" s="61" t="s">
        <v>90</v>
      </c>
      <c r="E58" s="1369" t="s">
        <v>1671</v>
      </c>
      <c r="F58" s="1369"/>
      <c r="G58" s="1369"/>
      <c r="H58" s="1369"/>
      <c r="I58" s="1369"/>
      <c r="J58" s="1369"/>
      <c r="K58" s="1369"/>
      <c r="L58" s="111"/>
      <c r="M58" s="202"/>
    </row>
    <row r="59" spans="1:15" s="9" customFormat="1" ht="56.25" hidden="1" customHeight="1">
      <c r="A59" s="2" t="s">
        <v>157</v>
      </c>
      <c r="B59" s="1"/>
      <c r="C59" s="1379"/>
      <c r="D59" s="1162"/>
      <c r="E59" s="1218"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1218" t="str">
        <f>INDEX(PT_DIFFERENTIATION_VDET,MATCH(A59,PT_DIFFERENTIATION_VTAR_ID,0))</f>
        <v/>
      </c>
      <c r="G59" s="37"/>
      <c r="H59" s="984"/>
      <c r="I59" s="1011"/>
      <c r="J59" s="227"/>
      <c r="K59" s="793" t="s">
        <v>294</v>
      </c>
      <c r="L59" s="112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202"/>
      <c r="N59" s="66"/>
      <c r="O59" s="66"/>
    </row>
    <row r="60" spans="1:15" s="9" customFormat="1" ht="18.75" hidden="1" customHeight="1">
      <c r="A60" s="2"/>
      <c r="B60" s="1" t="s">
        <v>1672</v>
      </c>
      <c r="C60" s="1379"/>
      <c r="D60" s="1162"/>
      <c r="E60" s="1218"/>
      <c r="F60" s="1218"/>
      <c r="G60" s="239"/>
      <c r="H60" s="50" t="s">
        <v>1567</v>
      </c>
      <c r="I60" s="108"/>
      <c r="J60" s="240"/>
      <c r="K60" s="105"/>
      <c r="L60" s="1128"/>
      <c r="M60" s="202"/>
      <c r="N60" s="66"/>
      <c r="O60" s="66"/>
    </row>
    <row r="61" spans="1:15" s="9" customFormat="1" ht="26.25" hidden="1" customHeight="1">
      <c r="A61" s="2" t="s">
        <v>163</v>
      </c>
      <c r="B61" s="1"/>
      <c r="C61" s="1379"/>
      <c r="D61" s="1162"/>
      <c r="E61" s="1218"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1218" t="str">
        <f>INDEX(PT_DIFFERENTIATION_VDET,MATCH(A61,PT_DIFFERENTIATION_VTAR_ID,0))</f>
        <v/>
      </c>
      <c r="G61" s="37"/>
      <c r="H61" s="984"/>
      <c r="I61" s="1011"/>
      <c r="J61" s="227"/>
      <c r="K61" s="793" t="s">
        <v>294</v>
      </c>
      <c r="L61" s="1129"/>
      <c r="M61" s="202"/>
      <c r="N61" s="66"/>
      <c r="O61" s="66"/>
    </row>
    <row r="62" spans="1:15" s="9" customFormat="1" ht="18.75" hidden="1" customHeight="1">
      <c r="A62" s="2"/>
      <c r="B62" s="1" t="s">
        <v>1672</v>
      </c>
      <c r="C62" s="1379"/>
      <c r="D62" s="1162"/>
      <c r="E62" s="1218"/>
      <c r="F62" s="1218"/>
      <c r="G62" s="239"/>
      <c r="H62" s="50" t="s">
        <v>1567</v>
      </c>
      <c r="I62" s="108"/>
      <c r="J62" s="240"/>
      <c r="K62" s="105"/>
      <c r="L62" s="207"/>
      <c r="M62" s="202"/>
      <c r="N62" s="66"/>
      <c r="O62" s="66"/>
    </row>
    <row r="63" spans="1:15" s="9" customFormat="1" ht="18.75" hidden="1" customHeight="1">
      <c r="A63" s="2" t="s">
        <v>169</v>
      </c>
      <c r="B63" s="1"/>
      <c r="C63" s="1379"/>
      <c r="D63" s="1162"/>
      <c r="E63" s="1218"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1218" t="str">
        <f>INDEX(PT_DIFFERENTIATION_VDET,MATCH(A63,PT_DIFFERENTIATION_VTAR_ID,0))</f>
        <v/>
      </c>
      <c r="G63" s="37"/>
      <c r="H63" s="984"/>
      <c r="I63" s="1011"/>
      <c r="J63" s="227"/>
      <c r="K63" s="793" t="s">
        <v>294</v>
      </c>
      <c r="L63" s="207"/>
      <c r="M63" s="202"/>
      <c r="N63" s="66"/>
      <c r="O63" s="66"/>
    </row>
    <row r="64" spans="1:15" s="9" customFormat="1" ht="18.75" hidden="1" customHeight="1">
      <c r="A64" s="2"/>
      <c r="B64" s="1" t="s">
        <v>1672</v>
      </c>
      <c r="C64" s="1379"/>
      <c r="D64" s="1162"/>
      <c r="E64" s="1218"/>
      <c r="F64" s="1218"/>
      <c r="G64" s="239"/>
      <c r="H64" s="50" t="s">
        <v>1567</v>
      </c>
      <c r="I64" s="108"/>
      <c r="J64" s="240"/>
      <c r="K64" s="105"/>
      <c r="L64" s="207"/>
      <c r="M64" s="202"/>
      <c r="N64" s="66"/>
      <c r="O64" s="66"/>
    </row>
    <row r="65" spans="1:15" s="9" customFormat="1" ht="41.25" hidden="1" customHeight="1">
      <c r="A65" s="2" t="s">
        <v>175</v>
      </c>
      <c r="B65" s="1"/>
      <c r="C65" s="1379"/>
      <c r="D65" s="1162"/>
      <c r="E65" s="1218"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1218" t="str">
        <f>INDEX(PT_DIFFERENTIATION_VDET,MATCH(A65,PT_DIFFERENTIATION_VTAR_ID,0))</f>
        <v/>
      </c>
      <c r="G65" s="37"/>
      <c r="H65" s="984"/>
      <c r="I65" s="1011"/>
      <c r="J65" s="227"/>
      <c r="K65" s="793" t="s">
        <v>294</v>
      </c>
      <c r="L65" s="207"/>
      <c r="M65" s="202"/>
      <c r="N65" s="66"/>
      <c r="O65" s="66"/>
    </row>
    <row r="66" spans="1:15" s="9" customFormat="1" ht="18.75" hidden="1" customHeight="1">
      <c r="A66" s="2"/>
      <c r="B66" s="1" t="s">
        <v>1672</v>
      </c>
      <c r="C66" s="1379"/>
      <c r="D66" s="1162"/>
      <c r="E66" s="1218"/>
      <c r="F66" s="1218"/>
      <c r="G66" s="239"/>
      <c r="H66" s="50" t="s">
        <v>1567</v>
      </c>
      <c r="I66" s="108"/>
      <c r="J66" s="240"/>
      <c r="K66" s="105"/>
      <c r="L66" s="207"/>
      <c r="M66" s="202"/>
      <c r="N66" s="66"/>
      <c r="O66" s="66"/>
    </row>
    <row r="67" spans="1:15" s="9" customFormat="1" ht="18.75" hidden="1" customHeight="1">
      <c r="A67" s="2" t="s">
        <v>181</v>
      </c>
      <c r="B67" s="1"/>
      <c r="C67" s="1379"/>
      <c r="D67" s="1162"/>
      <c r="E67" s="1218" t="str">
        <f>INDEX(PT_DIFFERENTIATION_VTAR,MATCH(A67,PT_DIFFERENTIATION_VTAR_ID,0))</f>
        <v>Тарифы на услуги по передаче тепловой энергии</v>
      </c>
      <c r="F67" s="1218" t="str">
        <f>INDEX(PT_DIFFERENTIATION_VDET,MATCH(A67,PT_DIFFERENTIATION_VTAR_ID,0))</f>
        <v/>
      </c>
      <c r="G67" s="37"/>
      <c r="H67" s="984"/>
      <c r="I67" s="1011"/>
      <c r="J67" s="227"/>
      <c r="K67" s="793" t="s">
        <v>294</v>
      </c>
      <c r="L67" s="207"/>
      <c r="M67" s="202"/>
      <c r="N67" s="66"/>
      <c r="O67" s="66"/>
    </row>
    <row r="68" spans="1:15" s="9" customFormat="1" ht="18.75" hidden="1" customHeight="1">
      <c r="A68" s="2"/>
      <c r="B68" s="1" t="s">
        <v>1672</v>
      </c>
      <c r="C68" s="1379"/>
      <c r="D68" s="1162"/>
      <c r="E68" s="1218"/>
      <c r="F68" s="1218"/>
      <c r="G68" s="239"/>
      <c r="H68" s="50" t="s">
        <v>1567</v>
      </c>
      <c r="I68" s="108"/>
      <c r="J68" s="240"/>
      <c r="K68" s="105"/>
      <c r="L68" s="207"/>
      <c r="M68" s="202"/>
      <c r="N68" s="66"/>
      <c r="O68" s="66"/>
    </row>
    <row r="69" spans="1:15" s="9" customFormat="1" ht="18.75" hidden="1" customHeight="1">
      <c r="A69" s="2" t="s">
        <v>187</v>
      </c>
      <c r="B69" s="1"/>
      <c r="C69" s="1379"/>
      <c r="D69" s="1162"/>
      <c r="E69" s="1218" t="str">
        <f>INDEX(PT_DIFFERENTIATION_VTAR,MATCH(A69,PT_DIFFERENTIATION_VTAR_ID,0))</f>
        <v>Тарифы на услуги по передаче теплоносителя</v>
      </c>
      <c r="F69" s="1218" t="str">
        <f>INDEX(PT_DIFFERENTIATION_VDET,MATCH(A69,PT_DIFFERENTIATION_VTAR_ID,0))</f>
        <v/>
      </c>
      <c r="G69" s="37"/>
      <c r="H69" s="984"/>
      <c r="I69" s="1011"/>
      <c r="J69" s="227"/>
      <c r="K69" s="793" t="s">
        <v>294</v>
      </c>
      <c r="L69" s="207"/>
      <c r="M69" s="202"/>
      <c r="N69" s="66"/>
      <c r="O69" s="66"/>
    </row>
    <row r="70" spans="1:15" s="9" customFormat="1" ht="18.75" hidden="1" customHeight="1">
      <c r="A70" s="2"/>
      <c r="B70" s="1" t="s">
        <v>1672</v>
      </c>
      <c r="C70" s="1379"/>
      <c r="D70" s="1162"/>
      <c r="E70" s="1218"/>
      <c r="F70" s="1218"/>
      <c r="G70" s="239"/>
      <c r="H70" s="50" t="s">
        <v>1567</v>
      </c>
      <c r="I70" s="108"/>
      <c r="J70" s="240"/>
      <c r="K70" s="105"/>
      <c r="L70" s="207"/>
      <c r="M70" s="202"/>
      <c r="N70" s="66"/>
      <c r="O70" s="66"/>
    </row>
    <row r="71" spans="1:15" s="9" customFormat="1" ht="18.75" hidden="1" customHeight="1">
      <c r="A71" s="2" t="s">
        <v>193</v>
      </c>
      <c r="B71" s="1"/>
      <c r="C71" s="1379"/>
      <c r="D71" s="1162"/>
      <c r="E71" s="1218" t="str">
        <f>INDEX(PT_DIFFERENTIATION_VTAR,MATCH(A71,PT_DIFFERENTIATION_VTAR_ID,0))</f>
        <v>Плата за услуги по поддержанию резервной тепловой мощности при отсутствии потребления тепловой энергии</v>
      </c>
      <c r="F71" s="1218" t="str">
        <f>INDEX(PT_DIFFERENTIATION_VDET,MATCH(A71,PT_DIFFERENTIATION_VTAR_ID,0))</f>
        <v/>
      </c>
      <c r="G71" s="37"/>
      <c r="H71" s="984"/>
      <c r="I71" s="1011"/>
      <c r="J71" s="227"/>
      <c r="K71" s="793" t="s">
        <v>294</v>
      </c>
      <c r="L71" s="207"/>
      <c r="M71" s="202"/>
      <c r="N71" s="66"/>
      <c r="O71" s="66"/>
    </row>
    <row r="72" spans="1:15" s="9" customFormat="1" ht="18.75" hidden="1" customHeight="1">
      <c r="A72" s="2"/>
      <c r="B72" s="1" t="s">
        <v>1672</v>
      </c>
      <c r="C72" s="1379"/>
      <c r="D72" s="1162"/>
      <c r="E72" s="1218"/>
      <c r="F72" s="1218"/>
      <c r="G72" s="239"/>
      <c r="H72" s="50" t="s">
        <v>1567</v>
      </c>
      <c r="I72" s="108"/>
      <c r="J72" s="240"/>
      <c r="K72" s="105"/>
      <c r="L72" s="207"/>
      <c r="M72" s="202"/>
      <c r="N72" s="66"/>
      <c r="O72" s="66"/>
    </row>
    <row r="73" spans="1:15" s="9" customFormat="1" ht="18.75" hidden="1" customHeight="1">
      <c r="A73" s="2" t="s">
        <v>199</v>
      </c>
      <c r="B73" s="1"/>
      <c r="C73" s="1379"/>
      <c r="D73" s="1162"/>
      <c r="E73" s="1218" t="str">
        <f>INDEX(PT_DIFFERENTIATION_VTAR,MATCH(A73,PT_DIFFERENTIATION_VTAR_ID,0))</f>
        <v>Плата за подключение (технологическое присоединение) к системе теплоснабжения</v>
      </c>
      <c r="F73" s="1218" t="str">
        <f>INDEX(PT_DIFFERENTIATION_VDET,MATCH(A73,PT_DIFFERENTIATION_VTAR_ID,0))</f>
        <v/>
      </c>
      <c r="G73" s="37"/>
      <c r="H73" s="984"/>
      <c r="I73" s="1011"/>
      <c r="J73" s="227"/>
      <c r="K73" s="793" t="s">
        <v>294</v>
      </c>
      <c r="L73" s="207"/>
      <c r="M73" s="202"/>
      <c r="N73" s="66"/>
      <c r="O73" s="66"/>
    </row>
    <row r="74" spans="1:15" s="9" customFormat="1" ht="18.75" hidden="1" customHeight="1">
      <c r="A74" s="2"/>
      <c r="B74" s="1" t="s">
        <v>1672</v>
      </c>
      <c r="C74" s="1379"/>
      <c r="D74" s="1162"/>
      <c r="E74" s="1218"/>
      <c r="F74" s="1218"/>
      <c r="G74" s="239"/>
      <c r="H74" s="50" t="s">
        <v>1567</v>
      </c>
      <c r="I74" s="108"/>
      <c r="J74" s="240"/>
      <c r="K74" s="105"/>
      <c r="L74" s="207"/>
      <c r="M74" s="202"/>
      <c r="N74" s="66"/>
      <c r="O74" s="66"/>
    </row>
    <row r="75" spans="1:15" s="9" customFormat="1" ht="18.75" hidden="1" customHeight="1">
      <c r="A75" s="2" t="s">
        <v>213</v>
      </c>
      <c r="B75" s="1"/>
      <c r="C75" s="1379"/>
      <c r="D75" s="1162"/>
      <c r="E75" s="1218" t="str">
        <f>INDEX(PT_DIFFERENTIATION_VTAR,MATCH(A75,PT_DIFFERENTIATION_VTAR_ID,0))</f>
        <v>Тариф на питьевую воду (питьевое водоснабжение)</v>
      </c>
      <c r="F75" s="1218" t="str">
        <f>INDEX(PT_DIFFERENTIATION_VDET,MATCH(A75,PT_DIFFERENTIATION_VTAR_ID,0))</f>
        <v/>
      </c>
      <c r="G75" s="37"/>
      <c r="H75" s="984"/>
      <c r="I75" s="1011"/>
      <c r="J75" s="227"/>
      <c r="K75" s="793" t="s">
        <v>294</v>
      </c>
      <c r="L75" s="207"/>
      <c r="M75" s="202"/>
      <c r="N75" s="66"/>
      <c r="O75" s="66"/>
    </row>
    <row r="76" spans="1:15" s="9" customFormat="1" ht="18.75" hidden="1" customHeight="1">
      <c r="A76" s="2"/>
      <c r="B76" s="1" t="s">
        <v>1672</v>
      </c>
      <c r="C76" s="1379"/>
      <c r="D76" s="1162"/>
      <c r="E76" s="1218"/>
      <c r="F76" s="1218"/>
      <c r="G76" s="239"/>
      <c r="H76" s="50" t="s">
        <v>1567</v>
      </c>
      <c r="I76" s="108"/>
      <c r="J76" s="240"/>
      <c r="K76" s="105"/>
      <c r="L76" s="207"/>
      <c r="M76" s="202"/>
      <c r="N76" s="66"/>
      <c r="O76" s="66"/>
    </row>
    <row r="77" spans="1:15" s="9" customFormat="1" ht="18.75" hidden="1" customHeight="1">
      <c r="A77" s="2" t="s">
        <v>218</v>
      </c>
      <c r="B77" s="1"/>
      <c r="C77" s="1379"/>
      <c r="D77" s="1162"/>
      <c r="E77" s="1218" t="str">
        <f>INDEX(PT_DIFFERENTIATION_VTAR,MATCH(A77,PT_DIFFERENTIATION_VTAR_ID,0))</f>
        <v>Тариф на техническую воду</v>
      </c>
      <c r="F77" s="1218" t="str">
        <f>INDEX(PT_DIFFERENTIATION_VDET,MATCH(A77,PT_DIFFERENTIATION_VTAR_ID,0))</f>
        <v/>
      </c>
      <c r="G77" s="37"/>
      <c r="H77" s="984"/>
      <c r="I77" s="1011"/>
      <c r="J77" s="227"/>
      <c r="K77" s="793" t="s">
        <v>294</v>
      </c>
      <c r="L77" s="207"/>
      <c r="M77" s="202"/>
      <c r="N77" s="66"/>
      <c r="O77" s="66"/>
    </row>
    <row r="78" spans="1:15" s="9" customFormat="1" ht="18.75" hidden="1" customHeight="1">
      <c r="A78" s="2"/>
      <c r="B78" s="1" t="s">
        <v>1672</v>
      </c>
      <c r="C78" s="1379"/>
      <c r="D78" s="1162"/>
      <c r="E78" s="1218"/>
      <c r="F78" s="1218"/>
      <c r="G78" s="239"/>
      <c r="H78" s="50" t="s">
        <v>1567</v>
      </c>
      <c r="I78" s="108"/>
      <c r="J78" s="240"/>
      <c r="K78" s="105"/>
      <c r="L78" s="207"/>
      <c r="M78" s="202"/>
      <c r="N78" s="66"/>
      <c r="O78" s="66"/>
    </row>
    <row r="79" spans="1:15" s="9" customFormat="1" ht="18.75" hidden="1" customHeight="1">
      <c r="A79" s="2" t="s">
        <v>223</v>
      </c>
      <c r="B79" s="1"/>
      <c r="C79" s="1379"/>
      <c r="D79" s="1162"/>
      <c r="E79" s="1218" t="str">
        <f>INDEX(PT_DIFFERENTIATION_VTAR,MATCH(A79,PT_DIFFERENTIATION_VTAR_ID,0))</f>
        <v>Тариф на транспортировку воды</v>
      </c>
      <c r="F79" s="1218" t="str">
        <f>INDEX(PT_DIFFERENTIATION_VDET,MATCH(A79,PT_DIFFERENTIATION_VTAR_ID,0))</f>
        <v/>
      </c>
      <c r="G79" s="37"/>
      <c r="H79" s="984"/>
      <c r="I79" s="1011"/>
      <c r="J79" s="227"/>
      <c r="K79" s="793" t="s">
        <v>294</v>
      </c>
      <c r="L79" s="207"/>
      <c r="M79" s="202"/>
      <c r="N79" s="66"/>
      <c r="O79" s="66"/>
    </row>
    <row r="80" spans="1:15" s="9" customFormat="1" ht="18.75" hidden="1" customHeight="1">
      <c r="A80" s="2"/>
      <c r="B80" s="1" t="s">
        <v>1672</v>
      </c>
      <c r="C80" s="1379"/>
      <c r="D80" s="1162"/>
      <c r="E80" s="1218"/>
      <c r="F80" s="1218"/>
      <c r="G80" s="239"/>
      <c r="H80" s="50" t="s">
        <v>1567</v>
      </c>
      <c r="I80" s="108"/>
      <c r="J80" s="240"/>
      <c r="K80" s="105"/>
      <c r="L80" s="207"/>
      <c r="M80" s="202"/>
      <c r="N80" s="66"/>
      <c r="O80" s="66"/>
    </row>
    <row r="81" spans="1:15" s="9" customFormat="1" ht="18.75" hidden="1" customHeight="1">
      <c r="A81" s="2" t="s">
        <v>228</v>
      </c>
      <c r="B81" s="1"/>
      <c r="C81" s="1379"/>
      <c r="D81" s="1162"/>
      <c r="E81" s="1218" t="str">
        <f>INDEX(PT_DIFFERENTIATION_VTAR,MATCH(A81,PT_DIFFERENTIATION_VTAR_ID,0))</f>
        <v>Тариф на подвоз воды</v>
      </c>
      <c r="F81" s="1218" t="str">
        <f>INDEX(PT_DIFFERENTIATION_VDET,MATCH(A81,PT_DIFFERENTIATION_VTAR_ID,0))</f>
        <v/>
      </c>
      <c r="G81" s="37"/>
      <c r="H81" s="984"/>
      <c r="I81" s="1011"/>
      <c r="J81" s="227"/>
      <c r="K81" s="793" t="s">
        <v>294</v>
      </c>
      <c r="L81" s="207"/>
      <c r="M81" s="202"/>
      <c r="N81" s="66"/>
      <c r="O81" s="66"/>
    </row>
    <row r="82" spans="1:15" s="9" customFormat="1" ht="18.75" hidden="1" customHeight="1">
      <c r="A82" s="2"/>
      <c r="B82" s="1" t="s">
        <v>1672</v>
      </c>
      <c r="C82" s="1379"/>
      <c r="D82" s="1162"/>
      <c r="E82" s="1218"/>
      <c r="F82" s="1218"/>
      <c r="G82" s="239"/>
      <c r="H82" s="50" t="s">
        <v>1567</v>
      </c>
      <c r="I82" s="108"/>
      <c r="J82" s="240"/>
      <c r="K82" s="105"/>
      <c r="L82" s="207"/>
      <c r="M82" s="202"/>
      <c r="N82" s="66"/>
      <c r="O82" s="66"/>
    </row>
    <row r="83" spans="1:15" s="9" customFormat="1" ht="18.75" hidden="1" customHeight="1">
      <c r="A83" s="2" t="s">
        <v>233</v>
      </c>
      <c r="B83" s="1"/>
      <c r="C83" s="1379"/>
      <c r="D83" s="1162"/>
      <c r="E83" s="1218" t="str">
        <f>INDEX(PT_DIFFERENTIATION_VTAR,MATCH(A83,PT_DIFFERENTIATION_VTAR_ID,0))</f>
        <v>Тариф на подключение (технологическое присоединение) к централизованной системе холодного водоснабжения</v>
      </c>
      <c r="F83" s="1218" t="str">
        <f>INDEX(PT_DIFFERENTIATION_VDET,MATCH(A83,PT_DIFFERENTIATION_VTAR_ID,0))</f>
        <v/>
      </c>
      <c r="G83" s="37"/>
      <c r="H83" s="984"/>
      <c r="I83" s="1011"/>
      <c r="J83" s="227"/>
      <c r="K83" s="793" t="s">
        <v>294</v>
      </c>
      <c r="L83" s="207"/>
      <c r="M83" s="202"/>
      <c r="N83" s="66"/>
      <c r="O83" s="66"/>
    </row>
    <row r="84" spans="1:15" s="9" customFormat="1" ht="18.75" hidden="1" customHeight="1">
      <c r="A84" s="2"/>
      <c r="B84" s="1" t="s">
        <v>1672</v>
      </c>
      <c r="C84" s="1379"/>
      <c r="D84" s="1162"/>
      <c r="E84" s="1218"/>
      <c r="F84" s="1218"/>
      <c r="G84" s="239"/>
      <c r="H84" s="50" t="s">
        <v>1567</v>
      </c>
      <c r="I84" s="108"/>
      <c r="J84" s="240"/>
      <c r="K84" s="105"/>
      <c r="L84" s="207"/>
      <c r="M84" s="202"/>
      <c r="N84" s="66"/>
      <c r="O84" s="66"/>
    </row>
    <row r="85" spans="1:15" s="9" customFormat="1" ht="18.75" hidden="1" customHeight="1">
      <c r="A85" s="2" t="s">
        <v>238</v>
      </c>
      <c r="B85" s="1"/>
      <c r="C85" s="1379"/>
      <c r="D85" s="1162"/>
      <c r="E85" s="1218" t="str">
        <f>INDEX(PT_DIFFERENTIATION_VTAR,MATCH(A85,PT_DIFFERENTIATION_VTAR_ID,0))</f>
        <v>Тариф на горячую воду (горячее водоснабжение)</v>
      </c>
      <c r="F85" s="1218" t="str">
        <f>INDEX(PT_DIFFERENTIATION_VDET,MATCH(A85,PT_DIFFERENTIATION_VTAR_ID,0))</f>
        <v/>
      </c>
      <c r="G85" s="37"/>
      <c r="H85" s="984"/>
      <c r="I85" s="1011"/>
      <c r="J85" s="227"/>
      <c r="K85" s="793" t="s">
        <v>294</v>
      </c>
      <c r="L85" s="207"/>
      <c r="M85" s="202"/>
      <c r="N85" s="66"/>
      <c r="O85" s="66"/>
    </row>
    <row r="86" spans="1:15" s="9" customFormat="1" ht="18.75" hidden="1" customHeight="1">
      <c r="A86" s="2"/>
      <c r="B86" s="1" t="s">
        <v>1672</v>
      </c>
      <c r="C86" s="1379"/>
      <c r="D86" s="1162"/>
      <c r="E86" s="1218"/>
      <c r="F86" s="1218"/>
      <c r="G86" s="239"/>
      <c r="H86" s="50" t="s">
        <v>1567</v>
      </c>
      <c r="I86" s="108"/>
      <c r="J86" s="240"/>
      <c r="K86" s="105"/>
      <c r="L86" s="207"/>
      <c r="M86" s="202"/>
      <c r="N86" s="66"/>
      <c r="O86" s="66"/>
    </row>
    <row r="87" spans="1:15" s="9" customFormat="1" ht="18.75" hidden="1" customHeight="1">
      <c r="A87" s="2" t="s">
        <v>243</v>
      </c>
      <c r="B87" s="1"/>
      <c r="C87" s="1379"/>
      <c r="D87" s="1162"/>
      <c r="E87" s="1218" t="str">
        <f>INDEX(PT_DIFFERENTIATION_VTAR,MATCH(A87,PT_DIFFERENTIATION_VTAR_ID,0))</f>
        <v>Тариф на транспортировку горячей воды</v>
      </c>
      <c r="F87" s="1218" t="str">
        <f>INDEX(PT_DIFFERENTIATION_VDET,MATCH(A87,PT_DIFFERENTIATION_VTAR_ID,0))</f>
        <v/>
      </c>
      <c r="G87" s="37"/>
      <c r="H87" s="984"/>
      <c r="I87" s="1011"/>
      <c r="J87" s="227"/>
      <c r="K87" s="793" t="s">
        <v>294</v>
      </c>
      <c r="L87" s="207"/>
      <c r="M87" s="202"/>
      <c r="N87" s="66"/>
      <c r="O87" s="66"/>
    </row>
    <row r="88" spans="1:15" s="9" customFormat="1" ht="18.75" hidden="1" customHeight="1">
      <c r="A88" s="2"/>
      <c r="B88" s="1" t="s">
        <v>1672</v>
      </c>
      <c r="C88" s="1379"/>
      <c r="D88" s="1162"/>
      <c r="E88" s="1218"/>
      <c r="F88" s="1218"/>
      <c r="G88" s="239"/>
      <c r="H88" s="50" t="s">
        <v>1567</v>
      </c>
      <c r="I88" s="108"/>
      <c r="J88" s="240"/>
      <c r="K88" s="105"/>
      <c r="L88" s="207"/>
      <c r="M88" s="202"/>
      <c r="N88" s="66"/>
      <c r="O88" s="66"/>
    </row>
    <row r="89" spans="1:15" s="9" customFormat="1" ht="18.75" hidden="1" customHeight="1">
      <c r="A89" s="2" t="s">
        <v>248</v>
      </c>
      <c r="B89" s="1"/>
      <c r="C89" s="1379"/>
      <c r="D89" s="1162"/>
      <c r="E89" s="1218" t="str">
        <f>INDEX(PT_DIFFERENTIATION_VTAR,MATCH(A89,PT_DIFFERENTIATION_VTAR_ID,0))</f>
        <v>Тариф на подключение (технологическое присоединение) к централизованной системе горячего водоснабжения</v>
      </c>
      <c r="F89" s="1218" t="str">
        <f>INDEX(PT_DIFFERENTIATION_VDET,MATCH(A89,PT_DIFFERENTIATION_VTAR_ID,0))</f>
        <v/>
      </c>
      <c r="G89" s="37"/>
      <c r="H89" s="984"/>
      <c r="I89" s="1011"/>
      <c r="J89" s="227"/>
      <c r="K89" s="793" t="s">
        <v>294</v>
      </c>
      <c r="L89" s="207"/>
      <c r="M89" s="202"/>
      <c r="N89" s="66"/>
      <c r="O89" s="66"/>
    </row>
    <row r="90" spans="1:15" s="9" customFormat="1" ht="18.75" hidden="1" customHeight="1">
      <c r="A90" s="2"/>
      <c r="B90" s="1" t="s">
        <v>1672</v>
      </c>
      <c r="C90" s="1379"/>
      <c r="D90" s="1162"/>
      <c r="E90" s="1218"/>
      <c r="F90" s="1218"/>
      <c r="G90" s="239"/>
      <c r="H90" s="50" t="s">
        <v>1567</v>
      </c>
      <c r="I90" s="108"/>
      <c r="J90" s="240"/>
      <c r="K90" s="105"/>
      <c r="L90" s="207"/>
      <c r="M90" s="202"/>
      <c r="N90" s="66"/>
      <c r="O90" s="66"/>
    </row>
    <row r="91" spans="1:15" s="9" customFormat="1" ht="18.75" hidden="1" customHeight="1">
      <c r="A91" s="2" t="s">
        <v>253</v>
      </c>
      <c r="B91" s="1"/>
      <c r="C91" s="1379"/>
      <c r="D91" s="1162"/>
      <c r="E91" s="1218" t="str">
        <f>INDEX(PT_DIFFERENTIATION_VTAR,MATCH(A91,PT_DIFFERENTIATION_VTAR_ID,0))</f>
        <v>Тариф на водоотведение</v>
      </c>
      <c r="F91" s="1218" t="str">
        <f>INDEX(PT_DIFFERENTIATION_VDET,MATCH(A91,PT_DIFFERENTIATION_VTAR_ID,0))</f>
        <v/>
      </c>
      <c r="G91" s="37"/>
      <c r="H91" s="984"/>
      <c r="I91" s="1011"/>
      <c r="J91" s="227"/>
      <c r="K91" s="793" t="s">
        <v>294</v>
      </c>
      <c r="L91" s="207"/>
      <c r="M91" s="202"/>
      <c r="N91" s="66"/>
      <c r="O91" s="66"/>
    </row>
    <row r="92" spans="1:15" s="9" customFormat="1" ht="18.75" hidden="1" customHeight="1">
      <c r="A92" s="2"/>
      <c r="B92" s="1" t="s">
        <v>1672</v>
      </c>
      <c r="C92" s="1379"/>
      <c r="D92" s="1162"/>
      <c r="E92" s="1218"/>
      <c r="F92" s="1218"/>
      <c r="G92" s="239"/>
      <c r="H92" s="50" t="s">
        <v>1567</v>
      </c>
      <c r="I92" s="108"/>
      <c r="J92" s="240"/>
      <c r="K92" s="105"/>
      <c r="L92" s="207"/>
      <c r="M92" s="202"/>
      <c r="N92" s="66"/>
      <c r="O92" s="66"/>
    </row>
    <row r="93" spans="1:15" s="9" customFormat="1" ht="18.75" hidden="1" customHeight="1">
      <c r="A93" s="2" t="s">
        <v>258</v>
      </c>
      <c r="B93" s="1"/>
      <c r="C93" s="1379"/>
      <c r="D93" s="1162"/>
      <c r="E93" s="1218" t="str">
        <f>INDEX(PT_DIFFERENTIATION_VTAR,MATCH(A93,PT_DIFFERENTIATION_VTAR_ID,0))</f>
        <v>Тариф на транспортировку сточных вод</v>
      </c>
      <c r="F93" s="1218" t="str">
        <f>INDEX(PT_DIFFERENTIATION_VDET,MATCH(A93,PT_DIFFERENTIATION_VTAR_ID,0))</f>
        <v/>
      </c>
      <c r="G93" s="37"/>
      <c r="H93" s="984"/>
      <c r="I93" s="1011"/>
      <c r="J93" s="227"/>
      <c r="K93" s="793" t="s">
        <v>294</v>
      </c>
      <c r="L93" s="207"/>
      <c r="M93" s="202"/>
      <c r="N93" s="66"/>
      <c r="O93" s="66"/>
    </row>
    <row r="94" spans="1:15" s="9" customFormat="1" ht="18.75" hidden="1" customHeight="1">
      <c r="A94" s="2"/>
      <c r="B94" s="1" t="s">
        <v>1672</v>
      </c>
      <c r="C94" s="1379"/>
      <c r="D94" s="1162"/>
      <c r="E94" s="1218"/>
      <c r="F94" s="1218"/>
      <c r="G94" s="239"/>
      <c r="H94" s="50" t="s">
        <v>1567</v>
      </c>
      <c r="I94" s="108"/>
      <c r="J94" s="240"/>
      <c r="K94" s="105"/>
      <c r="L94" s="207"/>
      <c r="M94" s="202"/>
      <c r="N94" s="66"/>
      <c r="O94" s="66"/>
    </row>
    <row r="95" spans="1:15" s="9" customFormat="1" ht="18.75" hidden="1" customHeight="1">
      <c r="A95" s="2" t="s">
        <v>263</v>
      </c>
      <c r="B95" s="1"/>
      <c r="C95" s="1379"/>
      <c r="D95" s="1162"/>
      <c r="E95" s="1218" t="str">
        <f>INDEX(PT_DIFFERENTIATION_VTAR,MATCH(A95,PT_DIFFERENTIATION_VTAR_ID,0))</f>
        <v>Тариф на подключение (технологическое присоединение) к централизованной системе водоотведения</v>
      </c>
      <c r="F95" s="1218" t="str">
        <f>INDEX(PT_DIFFERENTIATION_VDET,MATCH(A95,PT_DIFFERENTIATION_VTAR_ID,0))</f>
        <v/>
      </c>
      <c r="G95" s="37"/>
      <c r="H95" s="984"/>
      <c r="I95" s="1011"/>
      <c r="J95" s="227"/>
      <c r="K95" s="793" t="s">
        <v>294</v>
      </c>
      <c r="L95" s="207"/>
      <c r="M95" s="202"/>
      <c r="N95" s="66"/>
      <c r="O95" s="66"/>
    </row>
    <row r="96" spans="1:15" s="9" customFormat="1" ht="18.75" hidden="1" customHeight="1">
      <c r="A96" s="2"/>
      <c r="B96" s="1" t="s">
        <v>1672</v>
      </c>
      <c r="C96" s="1379"/>
      <c r="D96" s="1162"/>
      <c r="E96" s="1218"/>
      <c r="F96" s="1218"/>
      <c r="G96" s="239"/>
      <c r="H96" s="50" t="s">
        <v>1567</v>
      </c>
      <c r="I96" s="108"/>
      <c r="J96" s="240"/>
      <c r="K96" s="105"/>
      <c r="L96" s="207"/>
      <c r="M96" s="202"/>
      <c r="N96" s="66"/>
      <c r="O96" s="66"/>
    </row>
    <row r="97" spans="1:15" ht="18.75" customHeight="1">
      <c r="A97" s="2"/>
      <c r="C97" s="27"/>
      <c r="D97" s="61" t="s">
        <v>91</v>
      </c>
      <c r="E97" s="1369" t="str">
        <f>"Годовой объем "&amp;IF(TEMPLATE_SPHERE="HEAT","полезного отпуска тепловой энергии (теплоносителя)","потребителям воды")</f>
        <v>Годовой объем потребителям воды</v>
      </c>
      <c r="F97" s="1369"/>
      <c r="G97" s="1369"/>
      <c r="H97" s="1369"/>
      <c r="I97" s="1369"/>
      <c r="J97" s="1369"/>
      <c r="K97" s="1369"/>
      <c r="L97" s="111"/>
      <c r="M97" s="202"/>
    </row>
    <row r="98" spans="1:15" s="9" customFormat="1" ht="56.25" hidden="1" customHeight="1">
      <c r="A98" s="2" t="s">
        <v>157</v>
      </c>
      <c r="B98" s="1"/>
      <c r="C98" s="1379"/>
      <c r="D98" s="1162"/>
      <c r="E98" s="1218"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1218" t="str">
        <f>INDEX(PT_DIFFERENTIATION_VDET,MATCH(A98,PT_DIFFERENTIATION_VTAR_ID,0))</f>
        <v/>
      </c>
      <c r="G98" s="37"/>
      <c r="H98" s="984"/>
      <c r="I98" s="1011"/>
      <c r="J98" s="227"/>
      <c r="K98" s="793" t="s">
        <v>294</v>
      </c>
      <c r="L98" s="112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202"/>
      <c r="N98" s="66"/>
      <c r="O98" s="66"/>
    </row>
    <row r="99" spans="1:15" s="9" customFormat="1" ht="18.75" hidden="1" customHeight="1">
      <c r="A99" s="2"/>
      <c r="B99" s="1" t="s">
        <v>1672</v>
      </c>
      <c r="C99" s="1379"/>
      <c r="D99" s="1162"/>
      <c r="E99" s="1218"/>
      <c r="F99" s="1218"/>
      <c r="G99" s="239"/>
      <c r="H99" s="50" t="s">
        <v>1567</v>
      </c>
      <c r="I99" s="108"/>
      <c r="J99" s="240"/>
      <c r="K99" s="105"/>
      <c r="L99" s="1128"/>
      <c r="M99" s="202"/>
      <c r="N99" s="66"/>
      <c r="O99" s="66"/>
    </row>
    <row r="100" spans="1:15" s="9" customFormat="1" ht="26.25" hidden="1" customHeight="1">
      <c r="A100" s="2" t="s">
        <v>163</v>
      </c>
      <c r="B100" s="1"/>
      <c r="C100" s="1379"/>
      <c r="D100" s="1162"/>
      <c r="E100" s="1218"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1218" t="str">
        <f>INDEX(PT_DIFFERENTIATION_VDET,MATCH(A100,PT_DIFFERENTIATION_VTAR_ID,0))</f>
        <v/>
      </c>
      <c r="G100" s="37"/>
      <c r="H100" s="984"/>
      <c r="I100" s="1011"/>
      <c r="J100" s="227"/>
      <c r="K100" s="793" t="s">
        <v>294</v>
      </c>
      <c r="L100" s="1129"/>
      <c r="M100" s="202"/>
      <c r="N100" s="66"/>
      <c r="O100" s="66"/>
    </row>
    <row r="101" spans="1:15" s="9" customFormat="1" ht="18.75" hidden="1" customHeight="1">
      <c r="A101" s="2"/>
      <c r="B101" s="1" t="s">
        <v>1672</v>
      </c>
      <c r="C101" s="1379"/>
      <c r="D101" s="1162"/>
      <c r="E101" s="1218"/>
      <c r="F101" s="1218"/>
      <c r="G101" s="239"/>
      <c r="H101" s="50" t="s">
        <v>1567</v>
      </c>
      <c r="I101" s="108"/>
      <c r="J101" s="240"/>
      <c r="K101" s="105"/>
      <c r="L101" s="207"/>
      <c r="M101" s="202"/>
      <c r="N101" s="66"/>
      <c r="O101" s="66"/>
    </row>
    <row r="102" spans="1:15" s="9" customFormat="1" ht="18.75" hidden="1" customHeight="1">
      <c r="A102" s="2" t="s">
        <v>169</v>
      </c>
      <c r="B102" s="1"/>
      <c r="C102" s="1379"/>
      <c r="D102" s="1162"/>
      <c r="E102" s="1218"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1218" t="str">
        <f>INDEX(PT_DIFFERENTIATION_VDET,MATCH(A102,PT_DIFFERENTIATION_VTAR_ID,0))</f>
        <v/>
      </c>
      <c r="G102" s="37"/>
      <c r="H102" s="984"/>
      <c r="I102" s="1011"/>
      <c r="J102" s="227"/>
      <c r="K102" s="793" t="s">
        <v>294</v>
      </c>
      <c r="L102" s="207"/>
      <c r="M102" s="202"/>
      <c r="N102" s="66"/>
      <c r="O102" s="66"/>
    </row>
    <row r="103" spans="1:15" s="9" customFormat="1" ht="18.75" hidden="1" customHeight="1">
      <c r="A103" s="2"/>
      <c r="B103" s="1" t="s">
        <v>1672</v>
      </c>
      <c r="C103" s="1379"/>
      <c r="D103" s="1162"/>
      <c r="E103" s="1218"/>
      <c r="F103" s="1218"/>
      <c r="G103" s="239"/>
      <c r="H103" s="50" t="s">
        <v>1567</v>
      </c>
      <c r="I103" s="108"/>
      <c r="J103" s="240"/>
      <c r="K103" s="105"/>
      <c r="L103" s="207"/>
      <c r="M103" s="202"/>
      <c r="N103" s="66"/>
      <c r="O103" s="66"/>
    </row>
    <row r="104" spans="1:15" s="9" customFormat="1" ht="41.25" hidden="1" customHeight="1">
      <c r="A104" s="2" t="s">
        <v>175</v>
      </c>
      <c r="B104" s="1"/>
      <c r="C104" s="1379"/>
      <c r="D104" s="1162"/>
      <c r="E104" s="1218"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1218" t="str">
        <f>INDEX(PT_DIFFERENTIATION_VDET,MATCH(A104,PT_DIFFERENTIATION_VTAR_ID,0))</f>
        <v/>
      </c>
      <c r="G104" s="37"/>
      <c r="H104" s="984"/>
      <c r="I104" s="1011"/>
      <c r="J104" s="227"/>
      <c r="K104" s="793" t="s">
        <v>294</v>
      </c>
      <c r="L104" s="207"/>
      <c r="M104" s="202"/>
      <c r="N104" s="66"/>
      <c r="O104" s="66"/>
    </row>
    <row r="105" spans="1:15" s="9" customFormat="1" ht="18.75" hidden="1" customHeight="1">
      <c r="A105" s="2"/>
      <c r="B105" s="1" t="s">
        <v>1672</v>
      </c>
      <c r="C105" s="1379"/>
      <c r="D105" s="1162"/>
      <c r="E105" s="1218"/>
      <c r="F105" s="1218"/>
      <c r="G105" s="239"/>
      <c r="H105" s="50" t="s">
        <v>1567</v>
      </c>
      <c r="I105" s="108"/>
      <c r="J105" s="240"/>
      <c r="K105" s="105"/>
      <c r="L105" s="207"/>
      <c r="M105" s="202"/>
      <c r="N105" s="66"/>
      <c r="O105" s="66"/>
    </row>
    <row r="106" spans="1:15" s="9" customFormat="1" ht="18.75" hidden="1" customHeight="1">
      <c r="A106" s="2" t="s">
        <v>181</v>
      </c>
      <c r="B106" s="1"/>
      <c r="C106" s="1379"/>
      <c r="D106" s="1162"/>
      <c r="E106" s="1218" t="str">
        <f>INDEX(PT_DIFFERENTIATION_VTAR,MATCH(A106,PT_DIFFERENTIATION_VTAR_ID,0))</f>
        <v>Тарифы на услуги по передаче тепловой энергии</v>
      </c>
      <c r="F106" s="1218" t="str">
        <f>INDEX(PT_DIFFERENTIATION_VDET,MATCH(A106,PT_DIFFERENTIATION_VTAR_ID,0))</f>
        <v/>
      </c>
      <c r="G106" s="37"/>
      <c r="H106" s="984"/>
      <c r="I106" s="1011"/>
      <c r="J106" s="227"/>
      <c r="K106" s="793" t="s">
        <v>294</v>
      </c>
      <c r="L106" s="207"/>
      <c r="M106" s="202"/>
      <c r="N106" s="66"/>
      <c r="O106" s="66"/>
    </row>
    <row r="107" spans="1:15" s="9" customFormat="1" ht="18.75" hidden="1" customHeight="1">
      <c r="A107" s="2"/>
      <c r="B107" s="1" t="s">
        <v>1672</v>
      </c>
      <c r="C107" s="1379"/>
      <c r="D107" s="1162"/>
      <c r="E107" s="1218"/>
      <c r="F107" s="1218"/>
      <c r="G107" s="239"/>
      <c r="H107" s="50" t="s">
        <v>1567</v>
      </c>
      <c r="I107" s="108"/>
      <c r="J107" s="240"/>
      <c r="K107" s="105"/>
      <c r="L107" s="207"/>
      <c r="M107" s="202"/>
      <c r="N107" s="66"/>
      <c r="O107" s="66"/>
    </row>
    <row r="108" spans="1:15" s="9" customFormat="1" ht="18.75" hidden="1" customHeight="1">
      <c r="A108" s="2" t="s">
        <v>187</v>
      </c>
      <c r="B108" s="1"/>
      <c r="C108" s="1379"/>
      <c r="D108" s="1162"/>
      <c r="E108" s="1218" t="str">
        <f>INDEX(PT_DIFFERENTIATION_VTAR,MATCH(A108,PT_DIFFERENTIATION_VTAR_ID,0))</f>
        <v>Тарифы на услуги по передаче теплоносителя</v>
      </c>
      <c r="F108" s="1218" t="str">
        <f>INDEX(PT_DIFFERENTIATION_VDET,MATCH(A108,PT_DIFFERENTIATION_VTAR_ID,0))</f>
        <v/>
      </c>
      <c r="G108" s="37"/>
      <c r="H108" s="984"/>
      <c r="I108" s="1011"/>
      <c r="J108" s="227"/>
      <c r="K108" s="793" t="s">
        <v>294</v>
      </c>
      <c r="L108" s="207"/>
      <c r="M108" s="202"/>
      <c r="N108" s="66"/>
      <c r="O108" s="66"/>
    </row>
    <row r="109" spans="1:15" s="9" customFormat="1" ht="18.75" hidden="1" customHeight="1">
      <c r="A109" s="2"/>
      <c r="B109" s="1" t="s">
        <v>1672</v>
      </c>
      <c r="C109" s="1379"/>
      <c r="D109" s="1162"/>
      <c r="E109" s="1218"/>
      <c r="F109" s="1218"/>
      <c r="G109" s="239"/>
      <c r="H109" s="50" t="s">
        <v>1567</v>
      </c>
      <c r="I109" s="108"/>
      <c r="J109" s="240"/>
      <c r="K109" s="105"/>
      <c r="L109" s="207"/>
      <c r="M109" s="202"/>
      <c r="N109" s="66"/>
      <c r="O109" s="66"/>
    </row>
    <row r="110" spans="1:15" s="9" customFormat="1" ht="18.75" hidden="1" customHeight="1">
      <c r="A110" s="2" t="s">
        <v>193</v>
      </c>
      <c r="B110" s="1"/>
      <c r="C110" s="1379"/>
      <c r="D110" s="1162"/>
      <c r="E110" s="1218" t="str">
        <f>INDEX(PT_DIFFERENTIATION_VTAR,MATCH(A110,PT_DIFFERENTIATION_VTAR_ID,0))</f>
        <v>Плата за услуги по поддержанию резервной тепловой мощности при отсутствии потребления тепловой энергии</v>
      </c>
      <c r="F110" s="1218" t="str">
        <f>INDEX(PT_DIFFERENTIATION_VDET,MATCH(A110,PT_DIFFERENTIATION_VTAR_ID,0))</f>
        <v/>
      </c>
      <c r="G110" s="37"/>
      <c r="H110" s="984"/>
      <c r="I110" s="1011"/>
      <c r="J110" s="227"/>
      <c r="K110" s="793" t="s">
        <v>294</v>
      </c>
      <c r="L110" s="207"/>
      <c r="M110" s="202"/>
      <c r="N110" s="66"/>
      <c r="O110" s="66"/>
    </row>
    <row r="111" spans="1:15" s="9" customFormat="1" ht="18.75" hidden="1" customHeight="1">
      <c r="A111" s="2"/>
      <c r="B111" s="1" t="s">
        <v>1672</v>
      </c>
      <c r="C111" s="1379"/>
      <c r="D111" s="1162"/>
      <c r="E111" s="1218"/>
      <c r="F111" s="1218"/>
      <c r="G111" s="239"/>
      <c r="H111" s="50" t="s">
        <v>1567</v>
      </c>
      <c r="I111" s="108"/>
      <c r="J111" s="240"/>
      <c r="K111" s="105"/>
      <c r="L111" s="207"/>
      <c r="M111" s="202"/>
      <c r="N111" s="66"/>
      <c r="O111" s="66"/>
    </row>
    <row r="112" spans="1:15" s="9" customFormat="1" ht="18.75" hidden="1" customHeight="1">
      <c r="A112" s="2" t="s">
        <v>199</v>
      </c>
      <c r="B112" s="1"/>
      <c r="C112" s="1379"/>
      <c r="D112" s="1162"/>
      <c r="E112" s="1218" t="str">
        <f>INDEX(PT_DIFFERENTIATION_VTAR,MATCH(A112,PT_DIFFERENTIATION_VTAR_ID,0))</f>
        <v>Плата за подключение (технологическое присоединение) к системе теплоснабжения</v>
      </c>
      <c r="F112" s="1218" t="str">
        <f>INDEX(PT_DIFFERENTIATION_VDET,MATCH(A112,PT_DIFFERENTIATION_VTAR_ID,0))</f>
        <v/>
      </c>
      <c r="G112" s="37"/>
      <c r="H112" s="984"/>
      <c r="I112" s="1011"/>
      <c r="J112" s="227"/>
      <c r="K112" s="793" t="s">
        <v>294</v>
      </c>
      <c r="L112" s="207"/>
      <c r="M112" s="202"/>
      <c r="N112" s="66"/>
      <c r="O112" s="66"/>
    </row>
    <row r="113" spans="1:15" s="9" customFormat="1" ht="18.75" hidden="1" customHeight="1">
      <c r="A113" s="2"/>
      <c r="B113" s="1" t="s">
        <v>1672</v>
      </c>
      <c r="C113" s="1379"/>
      <c r="D113" s="1162"/>
      <c r="E113" s="1218"/>
      <c r="F113" s="1218"/>
      <c r="G113" s="239"/>
      <c r="H113" s="50" t="s">
        <v>1567</v>
      </c>
      <c r="I113" s="108"/>
      <c r="J113" s="240"/>
      <c r="K113" s="105"/>
      <c r="L113" s="207"/>
      <c r="M113" s="202"/>
      <c r="N113" s="66"/>
      <c r="O113" s="66"/>
    </row>
    <row r="114" spans="1:15" s="9" customFormat="1" ht="18.75" hidden="1" customHeight="1">
      <c r="A114" s="2" t="s">
        <v>213</v>
      </c>
      <c r="B114" s="1"/>
      <c r="C114" s="1379"/>
      <c r="D114" s="1162"/>
      <c r="E114" s="1218" t="str">
        <f>INDEX(PT_DIFFERENTIATION_VTAR,MATCH(A114,PT_DIFFERENTIATION_VTAR_ID,0))</f>
        <v>Тариф на питьевую воду (питьевое водоснабжение)</v>
      </c>
      <c r="F114" s="1218" t="str">
        <f>INDEX(PT_DIFFERENTIATION_VDET,MATCH(A114,PT_DIFFERENTIATION_VTAR_ID,0))</f>
        <v/>
      </c>
      <c r="G114" s="37"/>
      <c r="H114" s="984"/>
      <c r="I114" s="1011"/>
      <c r="J114" s="227"/>
      <c r="K114" s="793" t="s">
        <v>294</v>
      </c>
      <c r="L114" s="207"/>
      <c r="M114" s="202"/>
      <c r="N114" s="66"/>
      <c r="O114" s="66"/>
    </row>
    <row r="115" spans="1:15" s="9" customFormat="1" ht="18.75" hidden="1" customHeight="1">
      <c r="A115" s="2"/>
      <c r="B115" s="1" t="s">
        <v>1672</v>
      </c>
      <c r="C115" s="1379"/>
      <c r="D115" s="1162"/>
      <c r="E115" s="1218"/>
      <c r="F115" s="1218"/>
      <c r="G115" s="239"/>
      <c r="H115" s="50" t="s">
        <v>1567</v>
      </c>
      <c r="I115" s="108"/>
      <c r="J115" s="240"/>
      <c r="K115" s="105"/>
      <c r="L115" s="207"/>
      <c r="M115" s="202"/>
      <c r="N115" s="66"/>
      <c r="O115" s="66"/>
    </row>
    <row r="116" spans="1:15" s="9" customFormat="1" ht="18.75" hidden="1" customHeight="1">
      <c r="A116" s="2" t="s">
        <v>218</v>
      </c>
      <c r="B116" s="1"/>
      <c r="C116" s="1379"/>
      <c r="D116" s="1162"/>
      <c r="E116" s="1218" t="str">
        <f>INDEX(PT_DIFFERENTIATION_VTAR,MATCH(A116,PT_DIFFERENTIATION_VTAR_ID,0))</f>
        <v>Тариф на техническую воду</v>
      </c>
      <c r="F116" s="1218" t="str">
        <f>INDEX(PT_DIFFERENTIATION_VDET,MATCH(A116,PT_DIFFERENTIATION_VTAR_ID,0))</f>
        <v/>
      </c>
      <c r="G116" s="37"/>
      <c r="H116" s="984"/>
      <c r="I116" s="1011"/>
      <c r="J116" s="227"/>
      <c r="K116" s="793" t="s">
        <v>294</v>
      </c>
      <c r="L116" s="207"/>
      <c r="M116" s="202"/>
      <c r="N116" s="66"/>
      <c r="O116" s="66"/>
    </row>
    <row r="117" spans="1:15" s="9" customFormat="1" ht="18.75" hidden="1" customHeight="1">
      <c r="A117" s="2"/>
      <c r="B117" s="1" t="s">
        <v>1672</v>
      </c>
      <c r="C117" s="1379"/>
      <c r="D117" s="1162"/>
      <c r="E117" s="1218"/>
      <c r="F117" s="1218"/>
      <c r="G117" s="239"/>
      <c r="H117" s="50" t="s">
        <v>1567</v>
      </c>
      <c r="I117" s="108"/>
      <c r="J117" s="240"/>
      <c r="K117" s="105"/>
      <c r="L117" s="207"/>
      <c r="M117" s="202"/>
      <c r="N117" s="66"/>
      <c r="O117" s="66"/>
    </row>
    <row r="118" spans="1:15" s="9" customFormat="1" ht="18.75" hidden="1" customHeight="1">
      <c r="A118" s="2" t="s">
        <v>223</v>
      </c>
      <c r="B118" s="1"/>
      <c r="C118" s="1379"/>
      <c r="D118" s="1162"/>
      <c r="E118" s="1218" t="str">
        <f>INDEX(PT_DIFFERENTIATION_VTAR,MATCH(A118,PT_DIFFERENTIATION_VTAR_ID,0))</f>
        <v>Тариф на транспортировку воды</v>
      </c>
      <c r="F118" s="1218" t="str">
        <f>INDEX(PT_DIFFERENTIATION_VDET,MATCH(A118,PT_DIFFERENTIATION_VTAR_ID,0))</f>
        <v/>
      </c>
      <c r="G118" s="37"/>
      <c r="H118" s="984"/>
      <c r="I118" s="1011"/>
      <c r="J118" s="227"/>
      <c r="K118" s="793" t="s">
        <v>294</v>
      </c>
      <c r="L118" s="207"/>
      <c r="M118" s="202"/>
      <c r="N118" s="66"/>
      <c r="O118" s="66"/>
    </row>
    <row r="119" spans="1:15" s="9" customFormat="1" ht="18.75" hidden="1" customHeight="1">
      <c r="A119" s="2"/>
      <c r="B119" s="1" t="s">
        <v>1672</v>
      </c>
      <c r="C119" s="1379"/>
      <c r="D119" s="1162"/>
      <c r="E119" s="1218"/>
      <c r="F119" s="1218"/>
      <c r="G119" s="239"/>
      <c r="H119" s="50" t="s">
        <v>1567</v>
      </c>
      <c r="I119" s="108"/>
      <c r="J119" s="240"/>
      <c r="K119" s="105"/>
      <c r="L119" s="207"/>
      <c r="M119" s="202"/>
      <c r="N119" s="66"/>
      <c r="O119" s="66"/>
    </row>
    <row r="120" spans="1:15" s="9" customFormat="1" ht="18.75" hidden="1" customHeight="1">
      <c r="A120" s="2" t="s">
        <v>228</v>
      </c>
      <c r="B120" s="1"/>
      <c r="C120" s="1379"/>
      <c r="D120" s="1162"/>
      <c r="E120" s="1218" t="str">
        <f>INDEX(PT_DIFFERENTIATION_VTAR,MATCH(A120,PT_DIFFERENTIATION_VTAR_ID,0))</f>
        <v>Тариф на подвоз воды</v>
      </c>
      <c r="F120" s="1218" t="str">
        <f>INDEX(PT_DIFFERENTIATION_VDET,MATCH(A120,PT_DIFFERENTIATION_VTAR_ID,0))</f>
        <v/>
      </c>
      <c r="G120" s="37"/>
      <c r="H120" s="984"/>
      <c r="I120" s="1011"/>
      <c r="J120" s="227"/>
      <c r="K120" s="793" t="s">
        <v>294</v>
      </c>
      <c r="L120" s="207"/>
      <c r="M120" s="202"/>
      <c r="N120" s="66"/>
      <c r="O120" s="66"/>
    </row>
    <row r="121" spans="1:15" s="9" customFormat="1" ht="18.75" hidden="1" customHeight="1">
      <c r="A121" s="2"/>
      <c r="B121" s="1" t="s">
        <v>1672</v>
      </c>
      <c r="C121" s="1379"/>
      <c r="D121" s="1162"/>
      <c r="E121" s="1218"/>
      <c r="F121" s="1218"/>
      <c r="G121" s="239"/>
      <c r="H121" s="50" t="s">
        <v>1567</v>
      </c>
      <c r="I121" s="108"/>
      <c r="J121" s="240"/>
      <c r="K121" s="105"/>
      <c r="L121" s="207"/>
      <c r="M121" s="202"/>
      <c r="N121" s="66"/>
      <c r="O121" s="66"/>
    </row>
    <row r="122" spans="1:15" s="9" customFormat="1" ht="18.75" hidden="1" customHeight="1">
      <c r="A122" s="2" t="s">
        <v>233</v>
      </c>
      <c r="B122" s="1"/>
      <c r="C122" s="1379"/>
      <c r="D122" s="1162"/>
      <c r="E122" s="1218"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1218" t="str">
        <f>INDEX(PT_DIFFERENTIATION_VDET,MATCH(A122,PT_DIFFERENTIATION_VTAR_ID,0))</f>
        <v/>
      </c>
      <c r="G122" s="37"/>
      <c r="H122" s="984"/>
      <c r="I122" s="1011"/>
      <c r="J122" s="227"/>
      <c r="K122" s="793" t="s">
        <v>294</v>
      </c>
      <c r="L122" s="207"/>
      <c r="M122" s="202"/>
      <c r="N122" s="66"/>
      <c r="O122" s="66"/>
    </row>
    <row r="123" spans="1:15" s="9" customFormat="1" ht="18.75" hidden="1" customHeight="1">
      <c r="A123" s="2"/>
      <c r="B123" s="1" t="s">
        <v>1672</v>
      </c>
      <c r="C123" s="1379"/>
      <c r="D123" s="1162"/>
      <c r="E123" s="1218"/>
      <c r="F123" s="1218"/>
      <c r="G123" s="239"/>
      <c r="H123" s="50" t="s">
        <v>1567</v>
      </c>
      <c r="I123" s="108"/>
      <c r="J123" s="240"/>
      <c r="K123" s="105"/>
      <c r="L123" s="207"/>
      <c r="M123" s="202"/>
      <c r="N123" s="66"/>
      <c r="O123" s="66"/>
    </row>
    <row r="124" spans="1:15" s="9" customFormat="1" ht="18.75" hidden="1" customHeight="1">
      <c r="A124" s="2" t="s">
        <v>238</v>
      </c>
      <c r="B124" s="1"/>
      <c r="C124" s="1379"/>
      <c r="D124" s="1162"/>
      <c r="E124" s="1218" t="str">
        <f>INDEX(PT_DIFFERENTIATION_VTAR,MATCH(A124,PT_DIFFERENTIATION_VTAR_ID,0))</f>
        <v>Тариф на горячую воду (горячее водоснабжение)</v>
      </c>
      <c r="F124" s="1218" t="str">
        <f>INDEX(PT_DIFFERENTIATION_VDET,MATCH(A124,PT_DIFFERENTIATION_VTAR_ID,0))</f>
        <v/>
      </c>
      <c r="G124" s="37"/>
      <c r="H124" s="984"/>
      <c r="I124" s="1011"/>
      <c r="J124" s="227"/>
      <c r="K124" s="793" t="s">
        <v>294</v>
      </c>
      <c r="L124" s="207"/>
      <c r="M124" s="202"/>
      <c r="N124" s="66"/>
      <c r="O124" s="66"/>
    </row>
    <row r="125" spans="1:15" s="9" customFormat="1" ht="18.75" hidden="1" customHeight="1">
      <c r="A125" s="2"/>
      <c r="B125" s="1" t="s">
        <v>1672</v>
      </c>
      <c r="C125" s="1379"/>
      <c r="D125" s="1162"/>
      <c r="E125" s="1218"/>
      <c r="F125" s="1218"/>
      <c r="G125" s="239"/>
      <c r="H125" s="50" t="s">
        <v>1567</v>
      </c>
      <c r="I125" s="108"/>
      <c r="J125" s="240"/>
      <c r="K125" s="105"/>
      <c r="L125" s="207"/>
      <c r="M125" s="202"/>
      <c r="N125" s="66"/>
      <c r="O125" s="66"/>
    </row>
    <row r="126" spans="1:15" s="9" customFormat="1" ht="18.75" hidden="1" customHeight="1">
      <c r="A126" s="2" t="s">
        <v>243</v>
      </c>
      <c r="B126" s="1"/>
      <c r="C126" s="1379"/>
      <c r="D126" s="1162"/>
      <c r="E126" s="1218" t="str">
        <f>INDEX(PT_DIFFERENTIATION_VTAR,MATCH(A126,PT_DIFFERENTIATION_VTAR_ID,0))</f>
        <v>Тариф на транспортировку горячей воды</v>
      </c>
      <c r="F126" s="1218" t="str">
        <f>INDEX(PT_DIFFERENTIATION_VDET,MATCH(A126,PT_DIFFERENTIATION_VTAR_ID,0))</f>
        <v/>
      </c>
      <c r="G126" s="37"/>
      <c r="H126" s="984"/>
      <c r="I126" s="1011"/>
      <c r="J126" s="227"/>
      <c r="K126" s="793" t="s">
        <v>294</v>
      </c>
      <c r="L126" s="207"/>
      <c r="M126" s="202"/>
      <c r="N126" s="66"/>
      <c r="O126" s="66"/>
    </row>
    <row r="127" spans="1:15" s="9" customFormat="1" ht="18.75" hidden="1" customHeight="1">
      <c r="A127" s="2"/>
      <c r="B127" s="1" t="s">
        <v>1672</v>
      </c>
      <c r="C127" s="1379"/>
      <c r="D127" s="1162"/>
      <c r="E127" s="1218"/>
      <c r="F127" s="1218"/>
      <c r="G127" s="239"/>
      <c r="H127" s="50" t="s">
        <v>1567</v>
      </c>
      <c r="I127" s="108"/>
      <c r="J127" s="240"/>
      <c r="K127" s="105"/>
      <c r="L127" s="207"/>
      <c r="M127" s="202"/>
      <c r="N127" s="66"/>
      <c r="O127" s="66"/>
    </row>
    <row r="128" spans="1:15" s="9" customFormat="1" ht="18.75" hidden="1" customHeight="1">
      <c r="A128" s="2" t="s">
        <v>248</v>
      </c>
      <c r="B128" s="1"/>
      <c r="C128" s="1379"/>
      <c r="D128" s="1162"/>
      <c r="E128" s="1218" t="str">
        <f>INDEX(PT_DIFFERENTIATION_VTAR,MATCH(A128,PT_DIFFERENTIATION_VTAR_ID,0))</f>
        <v>Тариф на подключение (технологическое присоединение) к централизованной системе горячего водоснабжения</v>
      </c>
      <c r="F128" s="1218" t="str">
        <f>INDEX(PT_DIFFERENTIATION_VDET,MATCH(A128,PT_DIFFERENTIATION_VTAR_ID,0))</f>
        <v/>
      </c>
      <c r="G128" s="37"/>
      <c r="H128" s="984"/>
      <c r="I128" s="1011"/>
      <c r="J128" s="227"/>
      <c r="K128" s="793" t="s">
        <v>294</v>
      </c>
      <c r="L128" s="207"/>
      <c r="M128" s="202"/>
      <c r="N128" s="66"/>
      <c r="O128" s="66"/>
    </row>
    <row r="129" spans="1:15" s="9" customFormat="1" ht="18.75" hidden="1" customHeight="1">
      <c r="A129" s="2"/>
      <c r="B129" s="1" t="s">
        <v>1672</v>
      </c>
      <c r="C129" s="1379"/>
      <c r="D129" s="1162"/>
      <c r="E129" s="1218"/>
      <c r="F129" s="1218"/>
      <c r="G129" s="239"/>
      <c r="H129" s="50" t="s">
        <v>1567</v>
      </c>
      <c r="I129" s="108"/>
      <c r="J129" s="240"/>
      <c r="K129" s="105"/>
      <c r="L129" s="207"/>
      <c r="M129" s="202"/>
      <c r="N129" s="66"/>
      <c r="O129" s="66"/>
    </row>
    <row r="130" spans="1:15" s="9" customFormat="1" ht="18.75" hidden="1" customHeight="1">
      <c r="A130" s="2" t="s">
        <v>253</v>
      </c>
      <c r="B130" s="1"/>
      <c r="C130" s="1379"/>
      <c r="D130" s="1162"/>
      <c r="E130" s="1218" t="str">
        <f>INDEX(PT_DIFFERENTIATION_VTAR,MATCH(A130,PT_DIFFERENTIATION_VTAR_ID,0))</f>
        <v>Тариф на водоотведение</v>
      </c>
      <c r="F130" s="1218" t="str">
        <f>INDEX(PT_DIFFERENTIATION_VDET,MATCH(A130,PT_DIFFERENTIATION_VTAR_ID,0))</f>
        <v/>
      </c>
      <c r="G130" s="37"/>
      <c r="H130" s="984"/>
      <c r="I130" s="1011"/>
      <c r="J130" s="227"/>
      <c r="K130" s="793" t="s">
        <v>294</v>
      </c>
      <c r="L130" s="207"/>
      <c r="M130" s="202"/>
      <c r="N130" s="66"/>
      <c r="O130" s="66"/>
    </row>
    <row r="131" spans="1:15" s="9" customFormat="1" ht="18.75" hidden="1" customHeight="1">
      <c r="A131" s="2"/>
      <c r="B131" s="1" t="s">
        <v>1672</v>
      </c>
      <c r="C131" s="1379"/>
      <c r="D131" s="1162"/>
      <c r="E131" s="1218"/>
      <c r="F131" s="1218"/>
      <c r="G131" s="239"/>
      <c r="H131" s="50" t="s">
        <v>1567</v>
      </c>
      <c r="I131" s="108"/>
      <c r="J131" s="240"/>
      <c r="K131" s="105"/>
      <c r="L131" s="207"/>
      <c r="M131" s="202"/>
      <c r="N131" s="66"/>
      <c r="O131" s="66"/>
    </row>
    <row r="132" spans="1:15" s="9" customFormat="1" ht="18.75" hidden="1" customHeight="1">
      <c r="A132" s="2" t="s">
        <v>258</v>
      </c>
      <c r="B132" s="1"/>
      <c r="C132" s="1379"/>
      <c r="D132" s="1162"/>
      <c r="E132" s="1218" t="str">
        <f>INDEX(PT_DIFFERENTIATION_VTAR,MATCH(A132,PT_DIFFERENTIATION_VTAR_ID,0))</f>
        <v>Тариф на транспортировку сточных вод</v>
      </c>
      <c r="F132" s="1218" t="str">
        <f>INDEX(PT_DIFFERENTIATION_VDET,MATCH(A132,PT_DIFFERENTIATION_VTAR_ID,0))</f>
        <v/>
      </c>
      <c r="G132" s="37"/>
      <c r="H132" s="984"/>
      <c r="I132" s="1011"/>
      <c r="J132" s="227"/>
      <c r="K132" s="793" t="s">
        <v>294</v>
      </c>
      <c r="L132" s="207"/>
      <c r="M132" s="202"/>
      <c r="N132" s="66"/>
      <c r="O132" s="66"/>
    </row>
    <row r="133" spans="1:15" s="9" customFormat="1" ht="18.75" hidden="1" customHeight="1">
      <c r="A133" s="2"/>
      <c r="B133" s="1" t="s">
        <v>1672</v>
      </c>
      <c r="C133" s="1379"/>
      <c r="D133" s="1162"/>
      <c r="E133" s="1218"/>
      <c r="F133" s="1218"/>
      <c r="G133" s="239"/>
      <c r="H133" s="50" t="s">
        <v>1567</v>
      </c>
      <c r="I133" s="108"/>
      <c r="J133" s="240"/>
      <c r="K133" s="105"/>
      <c r="L133" s="207"/>
      <c r="M133" s="202"/>
      <c r="N133" s="66"/>
      <c r="O133" s="66"/>
    </row>
    <row r="134" spans="1:15" s="9" customFormat="1" ht="18.75" hidden="1" customHeight="1">
      <c r="A134" s="2" t="s">
        <v>263</v>
      </c>
      <c r="B134" s="1"/>
      <c r="C134" s="1379"/>
      <c r="D134" s="1162"/>
      <c r="E134" s="1218" t="str">
        <f>INDEX(PT_DIFFERENTIATION_VTAR,MATCH(A134,PT_DIFFERENTIATION_VTAR_ID,0))</f>
        <v>Тариф на подключение (технологическое присоединение) к централизованной системе водоотведения</v>
      </c>
      <c r="F134" s="1218" t="str">
        <f>INDEX(PT_DIFFERENTIATION_VDET,MATCH(A134,PT_DIFFERENTIATION_VTAR_ID,0))</f>
        <v/>
      </c>
      <c r="G134" s="37"/>
      <c r="H134" s="984"/>
      <c r="I134" s="1011"/>
      <c r="J134" s="227"/>
      <c r="K134" s="793" t="s">
        <v>294</v>
      </c>
      <c r="L134" s="207"/>
      <c r="M134" s="202"/>
      <c r="N134" s="66"/>
      <c r="O134" s="66"/>
    </row>
    <row r="135" spans="1:15" s="9" customFormat="1" ht="18.75" hidden="1" customHeight="1">
      <c r="A135" s="2"/>
      <c r="B135" s="1" t="s">
        <v>1672</v>
      </c>
      <c r="C135" s="1379"/>
      <c r="D135" s="1162"/>
      <c r="E135" s="1218"/>
      <c r="F135" s="1218"/>
      <c r="G135" s="239"/>
      <c r="H135" s="50" t="s">
        <v>1567</v>
      </c>
      <c r="I135" s="108"/>
      <c r="J135" s="240"/>
      <c r="K135" s="105"/>
      <c r="L135" s="207"/>
      <c r="M135" s="202"/>
      <c r="N135" s="66"/>
      <c r="O135" s="66"/>
    </row>
    <row r="136" spans="1:15" ht="26.25" customHeight="1">
      <c r="A136" s="2"/>
      <c r="C136" s="27"/>
      <c r="D136" s="61" t="s">
        <v>112</v>
      </c>
      <c r="E136" s="1369"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1369"/>
      <c r="G136" s="1369"/>
      <c r="H136" s="1369"/>
      <c r="I136" s="1369"/>
      <c r="J136" s="1369"/>
      <c r="K136" s="1369"/>
      <c r="L136" s="111"/>
      <c r="M136" s="202"/>
    </row>
    <row r="137" spans="1:15" s="9" customFormat="1" ht="56.25" hidden="1" customHeight="1">
      <c r="A137" s="2" t="s">
        <v>157</v>
      </c>
      <c r="B137" s="1"/>
      <c r="C137" s="1379"/>
      <c r="D137" s="1162"/>
      <c r="E137" s="1218"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1218" t="str">
        <f>INDEX(PT_DIFFERENTIATION_VDET,MATCH(A137,PT_DIFFERENTIATION_VTAR_ID,0))</f>
        <v/>
      </c>
      <c r="G137" s="37"/>
      <c r="H137" s="984"/>
      <c r="I137" s="1011"/>
      <c r="J137" s="227"/>
      <c r="K137" s="793" t="s">
        <v>294</v>
      </c>
      <c r="L137" s="112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M137" s="202"/>
      <c r="N137" s="66"/>
      <c r="O137" s="66"/>
    </row>
    <row r="138" spans="1:15" s="9" customFormat="1" ht="18.75" hidden="1" customHeight="1">
      <c r="A138" s="2"/>
      <c r="B138" s="1" t="s">
        <v>1672</v>
      </c>
      <c r="C138" s="1379"/>
      <c r="D138" s="1162"/>
      <c r="E138" s="1218"/>
      <c r="F138" s="1218"/>
      <c r="G138" s="239"/>
      <c r="H138" s="50" t="s">
        <v>1567</v>
      </c>
      <c r="I138" s="108"/>
      <c r="J138" s="240"/>
      <c r="K138" s="105"/>
      <c r="L138" s="1128"/>
      <c r="M138" s="202"/>
      <c r="N138" s="66"/>
      <c r="O138" s="66"/>
    </row>
    <row r="139" spans="1:15" s="9" customFormat="1" ht="26.25" hidden="1" customHeight="1">
      <c r="A139" s="2" t="s">
        <v>163</v>
      </c>
      <c r="B139" s="1"/>
      <c r="C139" s="1379"/>
      <c r="D139" s="1162"/>
      <c r="E139" s="1218"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1218" t="str">
        <f>INDEX(PT_DIFFERENTIATION_VDET,MATCH(A139,PT_DIFFERENTIATION_VTAR_ID,0))</f>
        <v/>
      </c>
      <c r="G139" s="37"/>
      <c r="H139" s="984"/>
      <c r="I139" s="1011"/>
      <c r="J139" s="227"/>
      <c r="K139" s="793" t="s">
        <v>294</v>
      </c>
      <c r="L139" s="1129"/>
      <c r="M139" s="202"/>
      <c r="N139" s="66"/>
      <c r="O139" s="66"/>
    </row>
    <row r="140" spans="1:15" s="9" customFormat="1" ht="18.75" hidden="1" customHeight="1">
      <c r="A140" s="2"/>
      <c r="B140" s="1" t="s">
        <v>1672</v>
      </c>
      <c r="C140" s="1379"/>
      <c r="D140" s="1162"/>
      <c r="E140" s="1218"/>
      <c r="F140" s="1218"/>
      <c r="G140" s="239"/>
      <c r="H140" s="50" t="s">
        <v>1567</v>
      </c>
      <c r="I140" s="108"/>
      <c r="J140" s="240"/>
      <c r="K140" s="105"/>
      <c r="L140" s="207"/>
      <c r="M140" s="202"/>
      <c r="N140" s="66"/>
      <c r="O140" s="66"/>
    </row>
    <row r="141" spans="1:15" s="9" customFormat="1" ht="18.75" hidden="1" customHeight="1">
      <c r="A141" s="2" t="s">
        <v>169</v>
      </c>
      <c r="B141" s="1"/>
      <c r="C141" s="1379"/>
      <c r="D141" s="1162"/>
      <c r="E141" s="1218"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1218" t="str">
        <f>INDEX(PT_DIFFERENTIATION_VDET,MATCH(A141,PT_DIFFERENTIATION_VTAR_ID,0))</f>
        <v/>
      </c>
      <c r="G141" s="37"/>
      <c r="H141" s="984"/>
      <c r="I141" s="1011"/>
      <c r="J141" s="227"/>
      <c r="K141" s="793" t="s">
        <v>294</v>
      </c>
      <c r="L141" s="207"/>
      <c r="M141" s="202"/>
      <c r="N141" s="66"/>
      <c r="O141" s="66"/>
    </row>
    <row r="142" spans="1:15" s="9" customFormat="1" ht="18.75" hidden="1" customHeight="1">
      <c r="A142" s="2"/>
      <c r="B142" s="1" t="s">
        <v>1672</v>
      </c>
      <c r="C142" s="1379"/>
      <c r="D142" s="1162"/>
      <c r="E142" s="1218"/>
      <c r="F142" s="1218"/>
      <c r="G142" s="239"/>
      <c r="H142" s="50" t="s">
        <v>1567</v>
      </c>
      <c r="I142" s="108"/>
      <c r="J142" s="240"/>
      <c r="K142" s="105"/>
      <c r="L142" s="207"/>
      <c r="M142" s="202"/>
      <c r="N142" s="66"/>
      <c r="O142" s="66"/>
    </row>
    <row r="143" spans="1:15" s="9" customFormat="1" ht="40.5" hidden="1" customHeight="1">
      <c r="A143" s="2" t="s">
        <v>175</v>
      </c>
      <c r="B143" s="1"/>
      <c r="C143" s="1379"/>
      <c r="D143" s="1162"/>
      <c r="E143" s="1218"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1218" t="str">
        <f>INDEX(PT_DIFFERENTIATION_VDET,MATCH(A143,PT_DIFFERENTIATION_VTAR_ID,0))</f>
        <v/>
      </c>
      <c r="G143" s="37"/>
      <c r="H143" s="984"/>
      <c r="I143" s="1011"/>
      <c r="J143" s="227"/>
      <c r="K143" s="793" t="s">
        <v>294</v>
      </c>
      <c r="L143" s="207"/>
      <c r="M143" s="202"/>
      <c r="N143" s="66"/>
      <c r="O143" s="66"/>
    </row>
    <row r="144" spans="1:15" s="9" customFormat="1" ht="18.75" hidden="1" customHeight="1">
      <c r="A144" s="2"/>
      <c r="B144" s="1" t="s">
        <v>1672</v>
      </c>
      <c r="C144" s="1379"/>
      <c r="D144" s="1162"/>
      <c r="E144" s="1218"/>
      <c r="F144" s="1218"/>
      <c r="G144" s="239"/>
      <c r="H144" s="50" t="s">
        <v>1567</v>
      </c>
      <c r="I144" s="108"/>
      <c r="J144" s="240"/>
      <c r="K144" s="105"/>
      <c r="L144" s="207"/>
      <c r="M144" s="202"/>
      <c r="N144" s="66"/>
      <c r="O144" s="66"/>
    </row>
    <row r="145" spans="1:15" s="9" customFormat="1" ht="18.75" hidden="1" customHeight="1">
      <c r="A145" s="2" t="s">
        <v>181</v>
      </c>
      <c r="B145" s="1"/>
      <c r="C145" s="1379"/>
      <c r="D145" s="1162"/>
      <c r="E145" s="1218" t="str">
        <f>INDEX(PT_DIFFERENTIATION_VTAR,MATCH(A145,PT_DIFFERENTIATION_VTAR_ID,0))</f>
        <v>Тарифы на услуги по передаче тепловой энергии</v>
      </c>
      <c r="F145" s="1218" t="str">
        <f>INDEX(PT_DIFFERENTIATION_VDET,MATCH(A145,PT_DIFFERENTIATION_VTAR_ID,0))</f>
        <v/>
      </c>
      <c r="G145" s="37"/>
      <c r="H145" s="984"/>
      <c r="I145" s="1011"/>
      <c r="J145" s="227"/>
      <c r="K145" s="793" t="s">
        <v>294</v>
      </c>
      <c r="L145" s="207"/>
      <c r="M145" s="202"/>
      <c r="N145" s="66"/>
      <c r="O145" s="66"/>
    </row>
    <row r="146" spans="1:15" s="9" customFormat="1" ht="18.75" hidden="1" customHeight="1">
      <c r="A146" s="2"/>
      <c r="B146" s="1" t="s">
        <v>1672</v>
      </c>
      <c r="C146" s="1379"/>
      <c r="D146" s="1162"/>
      <c r="E146" s="1218"/>
      <c r="F146" s="1218"/>
      <c r="G146" s="239"/>
      <c r="H146" s="50" t="s">
        <v>1567</v>
      </c>
      <c r="I146" s="108"/>
      <c r="J146" s="240"/>
      <c r="K146" s="105"/>
      <c r="L146" s="207"/>
      <c r="M146" s="202"/>
      <c r="N146" s="66"/>
      <c r="O146" s="66"/>
    </row>
    <row r="147" spans="1:15" s="9" customFormat="1" ht="18.75" hidden="1" customHeight="1">
      <c r="A147" s="2" t="s">
        <v>187</v>
      </c>
      <c r="B147" s="1"/>
      <c r="C147" s="1379"/>
      <c r="D147" s="1162"/>
      <c r="E147" s="1218" t="str">
        <f>INDEX(PT_DIFFERENTIATION_VTAR,MATCH(A147,PT_DIFFERENTIATION_VTAR_ID,0))</f>
        <v>Тарифы на услуги по передаче теплоносителя</v>
      </c>
      <c r="F147" s="1218" t="str">
        <f>INDEX(PT_DIFFERENTIATION_VDET,MATCH(A147,PT_DIFFERENTIATION_VTAR_ID,0))</f>
        <v/>
      </c>
      <c r="G147" s="37"/>
      <c r="H147" s="984"/>
      <c r="I147" s="1011"/>
      <c r="J147" s="227"/>
      <c r="K147" s="793" t="s">
        <v>294</v>
      </c>
      <c r="L147" s="207"/>
      <c r="M147" s="202"/>
      <c r="N147" s="66"/>
      <c r="O147" s="66"/>
    </row>
    <row r="148" spans="1:15" s="9" customFormat="1" ht="18.75" hidden="1" customHeight="1">
      <c r="A148" s="2"/>
      <c r="B148" s="1" t="s">
        <v>1672</v>
      </c>
      <c r="C148" s="1379"/>
      <c r="D148" s="1162"/>
      <c r="E148" s="1218"/>
      <c r="F148" s="1218"/>
      <c r="G148" s="239"/>
      <c r="H148" s="50" t="s">
        <v>1567</v>
      </c>
      <c r="I148" s="108"/>
      <c r="J148" s="240"/>
      <c r="K148" s="105"/>
      <c r="L148" s="207"/>
      <c r="M148" s="202"/>
      <c r="N148" s="66"/>
      <c r="O148" s="66"/>
    </row>
    <row r="149" spans="1:15" s="9" customFormat="1" ht="18.75" hidden="1" customHeight="1">
      <c r="A149" s="2" t="s">
        <v>193</v>
      </c>
      <c r="B149" s="1"/>
      <c r="C149" s="1379"/>
      <c r="D149" s="1162"/>
      <c r="E149" s="1218" t="str">
        <f>INDEX(PT_DIFFERENTIATION_VTAR,MATCH(A149,PT_DIFFERENTIATION_VTAR_ID,0))</f>
        <v>Плата за услуги по поддержанию резервной тепловой мощности при отсутствии потребления тепловой энергии</v>
      </c>
      <c r="F149" s="1218" t="str">
        <f>INDEX(PT_DIFFERENTIATION_VDET,MATCH(A149,PT_DIFFERENTIATION_VTAR_ID,0))</f>
        <v/>
      </c>
      <c r="G149" s="37"/>
      <c r="H149" s="984"/>
      <c r="I149" s="1011"/>
      <c r="J149" s="227"/>
      <c r="K149" s="793" t="s">
        <v>294</v>
      </c>
      <c r="L149" s="207"/>
      <c r="M149" s="202"/>
      <c r="N149" s="66"/>
      <c r="O149" s="66"/>
    </row>
    <row r="150" spans="1:15" s="9" customFormat="1" ht="18.75" hidden="1" customHeight="1">
      <c r="A150" s="2"/>
      <c r="B150" s="1" t="s">
        <v>1672</v>
      </c>
      <c r="C150" s="1379"/>
      <c r="D150" s="1162"/>
      <c r="E150" s="1218"/>
      <c r="F150" s="1218"/>
      <c r="G150" s="239"/>
      <c r="H150" s="50" t="s">
        <v>1567</v>
      </c>
      <c r="I150" s="108"/>
      <c r="J150" s="240"/>
      <c r="K150" s="105"/>
      <c r="L150" s="207"/>
      <c r="M150" s="202"/>
      <c r="N150" s="66"/>
      <c r="O150" s="66"/>
    </row>
    <row r="151" spans="1:15" s="9" customFormat="1" ht="18.75" hidden="1" customHeight="1">
      <c r="A151" s="2" t="s">
        <v>199</v>
      </c>
      <c r="B151" s="1"/>
      <c r="C151" s="1379"/>
      <c r="D151" s="1162"/>
      <c r="E151" s="1218" t="str">
        <f>INDEX(PT_DIFFERENTIATION_VTAR,MATCH(A151,PT_DIFFERENTIATION_VTAR_ID,0))</f>
        <v>Плата за подключение (технологическое присоединение) к системе теплоснабжения</v>
      </c>
      <c r="F151" s="1218" t="str">
        <f>INDEX(PT_DIFFERENTIATION_VDET,MATCH(A151,PT_DIFFERENTIATION_VTAR_ID,0))</f>
        <v/>
      </c>
      <c r="G151" s="37"/>
      <c r="H151" s="984"/>
      <c r="I151" s="1011"/>
      <c r="J151" s="227"/>
      <c r="K151" s="793" t="s">
        <v>294</v>
      </c>
      <c r="L151" s="207"/>
      <c r="M151" s="202"/>
      <c r="N151" s="66"/>
      <c r="O151" s="66"/>
    </row>
    <row r="152" spans="1:15" s="9" customFormat="1" ht="18.75" hidden="1" customHeight="1">
      <c r="A152" s="2"/>
      <c r="B152" s="1" t="s">
        <v>1672</v>
      </c>
      <c r="C152" s="1379"/>
      <c r="D152" s="1162"/>
      <c r="E152" s="1218"/>
      <c r="F152" s="1218"/>
      <c r="G152" s="239"/>
      <c r="H152" s="50" t="s">
        <v>1567</v>
      </c>
      <c r="I152" s="108"/>
      <c r="J152" s="240"/>
      <c r="K152" s="105"/>
      <c r="L152" s="207"/>
      <c r="M152" s="202"/>
      <c r="N152" s="66"/>
      <c r="O152" s="66"/>
    </row>
    <row r="153" spans="1:15" s="9" customFormat="1" ht="18.75" hidden="1" customHeight="1">
      <c r="A153" s="2" t="s">
        <v>213</v>
      </c>
      <c r="B153" s="1"/>
      <c r="C153" s="1379"/>
      <c r="D153" s="1162"/>
      <c r="E153" s="1218" t="str">
        <f>INDEX(PT_DIFFERENTIATION_VTAR,MATCH(A153,PT_DIFFERENTIATION_VTAR_ID,0))</f>
        <v>Тариф на питьевую воду (питьевое водоснабжение)</v>
      </c>
      <c r="F153" s="1218" t="str">
        <f>INDEX(PT_DIFFERENTIATION_VDET,MATCH(A153,PT_DIFFERENTIATION_VTAR_ID,0))</f>
        <v/>
      </c>
      <c r="G153" s="37"/>
      <c r="H153" s="984"/>
      <c r="I153" s="1011"/>
      <c r="J153" s="227"/>
      <c r="K153" s="793" t="s">
        <v>294</v>
      </c>
      <c r="L153" s="207"/>
      <c r="M153" s="202"/>
      <c r="N153" s="66"/>
      <c r="O153" s="66"/>
    </row>
    <row r="154" spans="1:15" s="9" customFormat="1" ht="18.75" hidden="1" customHeight="1">
      <c r="A154" s="2"/>
      <c r="B154" s="1" t="s">
        <v>1672</v>
      </c>
      <c r="C154" s="1379"/>
      <c r="D154" s="1162"/>
      <c r="E154" s="1218"/>
      <c r="F154" s="1218"/>
      <c r="G154" s="239"/>
      <c r="H154" s="50" t="s">
        <v>1567</v>
      </c>
      <c r="I154" s="108"/>
      <c r="J154" s="240"/>
      <c r="K154" s="105"/>
      <c r="L154" s="207"/>
      <c r="M154" s="202"/>
      <c r="N154" s="66"/>
      <c r="O154" s="66"/>
    </row>
    <row r="155" spans="1:15" s="9" customFormat="1" ht="18.75" hidden="1" customHeight="1">
      <c r="A155" s="2" t="s">
        <v>218</v>
      </c>
      <c r="B155" s="1"/>
      <c r="C155" s="1379"/>
      <c r="D155" s="1162"/>
      <c r="E155" s="1218" t="str">
        <f>INDEX(PT_DIFFERENTIATION_VTAR,MATCH(A155,PT_DIFFERENTIATION_VTAR_ID,0))</f>
        <v>Тариф на техническую воду</v>
      </c>
      <c r="F155" s="1218" t="str">
        <f>INDEX(PT_DIFFERENTIATION_VDET,MATCH(A155,PT_DIFFERENTIATION_VTAR_ID,0))</f>
        <v/>
      </c>
      <c r="G155" s="37"/>
      <c r="H155" s="984"/>
      <c r="I155" s="1011"/>
      <c r="J155" s="227"/>
      <c r="K155" s="793" t="s">
        <v>294</v>
      </c>
      <c r="L155" s="207"/>
      <c r="M155" s="202"/>
      <c r="N155" s="66"/>
      <c r="O155" s="66"/>
    </row>
    <row r="156" spans="1:15" s="9" customFormat="1" ht="18.75" hidden="1" customHeight="1">
      <c r="A156" s="2"/>
      <c r="B156" s="1" t="s">
        <v>1672</v>
      </c>
      <c r="C156" s="1379"/>
      <c r="D156" s="1162"/>
      <c r="E156" s="1218"/>
      <c r="F156" s="1218"/>
      <c r="G156" s="239"/>
      <c r="H156" s="50" t="s">
        <v>1567</v>
      </c>
      <c r="I156" s="108"/>
      <c r="J156" s="240"/>
      <c r="K156" s="105"/>
      <c r="L156" s="207"/>
      <c r="M156" s="202"/>
      <c r="N156" s="66"/>
      <c r="O156" s="66"/>
    </row>
    <row r="157" spans="1:15" s="9" customFormat="1" ht="18.75" hidden="1" customHeight="1">
      <c r="A157" s="2" t="s">
        <v>223</v>
      </c>
      <c r="B157" s="1"/>
      <c r="C157" s="1379"/>
      <c r="D157" s="1162"/>
      <c r="E157" s="1218" t="str">
        <f>INDEX(PT_DIFFERENTIATION_VTAR,MATCH(A157,PT_DIFFERENTIATION_VTAR_ID,0))</f>
        <v>Тариф на транспортировку воды</v>
      </c>
      <c r="F157" s="1218" t="str">
        <f>INDEX(PT_DIFFERENTIATION_VDET,MATCH(A157,PT_DIFFERENTIATION_VTAR_ID,0))</f>
        <v/>
      </c>
      <c r="G157" s="37"/>
      <c r="H157" s="984"/>
      <c r="I157" s="1011"/>
      <c r="J157" s="227"/>
      <c r="K157" s="793" t="s">
        <v>294</v>
      </c>
      <c r="L157" s="207"/>
      <c r="M157" s="202"/>
      <c r="N157" s="66"/>
      <c r="O157" s="66"/>
    </row>
    <row r="158" spans="1:15" s="9" customFormat="1" ht="18.75" hidden="1" customHeight="1">
      <c r="A158" s="2"/>
      <c r="B158" s="1" t="s">
        <v>1672</v>
      </c>
      <c r="C158" s="1379"/>
      <c r="D158" s="1162"/>
      <c r="E158" s="1218"/>
      <c r="F158" s="1218"/>
      <c r="G158" s="239"/>
      <c r="H158" s="50" t="s">
        <v>1567</v>
      </c>
      <c r="I158" s="108"/>
      <c r="J158" s="240"/>
      <c r="K158" s="105"/>
      <c r="L158" s="207"/>
      <c r="M158" s="202"/>
      <c r="N158" s="66"/>
      <c r="O158" s="66"/>
    </row>
    <row r="159" spans="1:15" s="9" customFormat="1" ht="18.75" hidden="1" customHeight="1">
      <c r="A159" s="2" t="s">
        <v>228</v>
      </c>
      <c r="B159" s="1"/>
      <c r="C159" s="1379"/>
      <c r="D159" s="1162"/>
      <c r="E159" s="1218" t="str">
        <f>INDEX(PT_DIFFERENTIATION_VTAR,MATCH(A159,PT_DIFFERENTIATION_VTAR_ID,0))</f>
        <v>Тариф на подвоз воды</v>
      </c>
      <c r="F159" s="1218" t="str">
        <f>INDEX(PT_DIFFERENTIATION_VDET,MATCH(A159,PT_DIFFERENTIATION_VTAR_ID,0))</f>
        <v/>
      </c>
      <c r="G159" s="37"/>
      <c r="H159" s="984"/>
      <c r="I159" s="1011"/>
      <c r="J159" s="227"/>
      <c r="K159" s="793" t="s">
        <v>294</v>
      </c>
      <c r="L159" s="207"/>
      <c r="M159" s="202"/>
      <c r="N159" s="66"/>
      <c r="O159" s="66"/>
    </row>
    <row r="160" spans="1:15" s="9" customFormat="1" ht="18.75" hidden="1" customHeight="1">
      <c r="A160" s="2"/>
      <c r="B160" s="1" t="s">
        <v>1672</v>
      </c>
      <c r="C160" s="1379"/>
      <c r="D160" s="1162"/>
      <c r="E160" s="1218"/>
      <c r="F160" s="1218"/>
      <c r="G160" s="239"/>
      <c r="H160" s="50" t="s">
        <v>1567</v>
      </c>
      <c r="I160" s="108"/>
      <c r="J160" s="240"/>
      <c r="K160" s="105"/>
      <c r="L160" s="207"/>
      <c r="M160" s="202"/>
      <c r="N160" s="66"/>
      <c r="O160" s="66"/>
    </row>
    <row r="161" spans="1:15" s="9" customFormat="1" ht="18.75" hidden="1" customHeight="1">
      <c r="A161" s="2" t="s">
        <v>233</v>
      </c>
      <c r="B161" s="1"/>
      <c r="C161" s="1379"/>
      <c r="D161" s="1162"/>
      <c r="E161" s="1218"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1218" t="str">
        <f>INDEX(PT_DIFFERENTIATION_VDET,MATCH(A161,PT_DIFFERENTIATION_VTAR_ID,0))</f>
        <v/>
      </c>
      <c r="G161" s="37"/>
      <c r="H161" s="984"/>
      <c r="I161" s="1011"/>
      <c r="J161" s="227"/>
      <c r="K161" s="793" t="s">
        <v>294</v>
      </c>
      <c r="L161" s="207"/>
      <c r="M161" s="202"/>
      <c r="N161" s="66"/>
      <c r="O161" s="66"/>
    </row>
    <row r="162" spans="1:15" s="9" customFormat="1" ht="18.75" hidden="1" customHeight="1">
      <c r="A162" s="2"/>
      <c r="B162" s="1" t="s">
        <v>1672</v>
      </c>
      <c r="C162" s="1379"/>
      <c r="D162" s="1162"/>
      <c r="E162" s="1218"/>
      <c r="F162" s="1218"/>
      <c r="G162" s="239"/>
      <c r="H162" s="50" t="s">
        <v>1567</v>
      </c>
      <c r="I162" s="108"/>
      <c r="J162" s="240"/>
      <c r="K162" s="105"/>
      <c r="L162" s="207"/>
      <c r="M162" s="202"/>
      <c r="N162" s="66"/>
      <c r="O162" s="66"/>
    </row>
    <row r="163" spans="1:15" s="9" customFormat="1" ht="18.75" hidden="1" customHeight="1">
      <c r="A163" s="2" t="s">
        <v>238</v>
      </c>
      <c r="B163" s="1"/>
      <c r="C163" s="1379"/>
      <c r="D163" s="1162"/>
      <c r="E163" s="1218" t="str">
        <f>INDEX(PT_DIFFERENTIATION_VTAR,MATCH(A163,PT_DIFFERENTIATION_VTAR_ID,0))</f>
        <v>Тариф на горячую воду (горячее водоснабжение)</v>
      </c>
      <c r="F163" s="1218" t="str">
        <f>INDEX(PT_DIFFERENTIATION_VDET,MATCH(A163,PT_DIFFERENTIATION_VTAR_ID,0))</f>
        <v/>
      </c>
      <c r="G163" s="37"/>
      <c r="H163" s="984"/>
      <c r="I163" s="1011"/>
      <c r="J163" s="227"/>
      <c r="K163" s="793" t="s">
        <v>294</v>
      </c>
      <c r="L163" s="207"/>
      <c r="M163" s="202"/>
      <c r="N163" s="66"/>
      <c r="O163" s="66"/>
    </row>
    <row r="164" spans="1:15" s="9" customFormat="1" ht="18.75" hidden="1" customHeight="1">
      <c r="A164" s="2"/>
      <c r="B164" s="1" t="s">
        <v>1672</v>
      </c>
      <c r="C164" s="1379"/>
      <c r="D164" s="1162"/>
      <c r="E164" s="1218"/>
      <c r="F164" s="1218"/>
      <c r="G164" s="239"/>
      <c r="H164" s="50" t="s">
        <v>1567</v>
      </c>
      <c r="I164" s="108"/>
      <c r="J164" s="240"/>
      <c r="K164" s="105"/>
      <c r="L164" s="207"/>
      <c r="M164" s="202"/>
      <c r="N164" s="66"/>
      <c r="O164" s="66"/>
    </row>
    <row r="165" spans="1:15" s="9" customFormat="1" ht="18.75" hidden="1" customHeight="1">
      <c r="A165" s="2" t="s">
        <v>243</v>
      </c>
      <c r="B165" s="1"/>
      <c r="C165" s="1379"/>
      <c r="D165" s="1162"/>
      <c r="E165" s="1218" t="str">
        <f>INDEX(PT_DIFFERENTIATION_VTAR,MATCH(A165,PT_DIFFERENTIATION_VTAR_ID,0))</f>
        <v>Тариф на транспортировку горячей воды</v>
      </c>
      <c r="F165" s="1218" t="str">
        <f>INDEX(PT_DIFFERENTIATION_VDET,MATCH(A165,PT_DIFFERENTIATION_VTAR_ID,0))</f>
        <v/>
      </c>
      <c r="G165" s="37"/>
      <c r="H165" s="984"/>
      <c r="I165" s="1011"/>
      <c r="J165" s="227"/>
      <c r="K165" s="793" t="s">
        <v>294</v>
      </c>
      <c r="L165" s="207"/>
      <c r="M165" s="202"/>
      <c r="N165" s="66"/>
      <c r="O165" s="66"/>
    </row>
    <row r="166" spans="1:15" s="9" customFormat="1" ht="18.75" hidden="1" customHeight="1">
      <c r="A166" s="2"/>
      <c r="B166" s="1" t="s">
        <v>1672</v>
      </c>
      <c r="C166" s="1379"/>
      <c r="D166" s="1162"/>
      <c r="E166" s="1218"/>
      <c r="F166" s="1218"/>
      <c r="G166" s="239"/>
      <c r="H166" s="50" t="s">
        <v>1567</v>
      </c>
      <c r="I166" s="108"/>
      <c r="J166" s="240"/>
      <c r="K166" s="105"/>
      <c r="L166" s="207"/>
      <c r="M166" s="202"/>
      <c r="N166" s="66"/>
      <c r="O166" s="66"/>
    </row>
    <row r="167" spans="1:15" s="9" customFormat="1" ht="18.75" hidden="1" customHeight="1">
      <c r="A167" s="2" t="s">
        <v>248</v>
      </c>
      <c r="B167" s="1"/>
      <c r="C167" s="1379"/>
      <c r="D167" s="1162"/>
      <c r="E167" s="1218" t="str">
        <f>INDEX(PT_DIFFERENTIATION_VTAR,MATCH(A167,PT_DIFFERENTIATION_VTAR_ID,0))</f>
        <v>Тариф на подключение (технологическое присоединение) к централизованной системе горячего водоснабжения</v>
      </c>
      <c r="F167" s="1218" t="str">
        <f>INDEX(PT_DIFFERENTIATION_VDET,MATCH(A167,PT_DIFFERENTIATION_VTAR_ID,0))</f>
        <v/>
      </c>
      <c r="G167" s="37"/>
      <c r="H167" s="984"/>
      <c r="I167" s="1011"/>
      <c r="J167" s="227"/>
      <c r="K167" s="793" t="s">
        <v>294</v>
      </c>
      <c r="L167" s="207"/>
      <c r="M167" s="202"/>
      <c r="N167" s="66"/>
      <c r="O167" s="66"/>
    </row>
    <row r="168" spans="1:15" s="9" customFormat="1" ht="18.75" hidden="1" customHeight="1">
      <c r="A168" s="2"/>
      <c r="B168" s="1" t="s">
        <v>1672</v>
      </c>
      <c r="C168" s="1379"/>
      <c r="D168" s="1162"/>
      <c r="E168" s="1218"/>
      <c r="F168" s="1218"/>
      <c r="G168" s="239"/>
      <c r="H168" s="50" t="s">
        <v>1567</v>
      </c>
      <c r="I168" s="108"/>
      <c r="J168" s="240"/>
      <c r="K168" s="105"/>
      <c r="L168" s="207"/>
      <c r="M168" s="202"/>
      <c r="N168" s="66"/>
      <c r="O168" s="66"/>
    </row>
    <row r="169" spans="1:15" s="9" customFormat="1" ht="18.75" hidden="1" customHeight="1">
      <c r="A169" s="2" t="s">
        <v>253</v>
      </c>
      <c r="B169" s="1"/>
      <c r="C169" s="1379"/>
      <c r="D169" s="1162"/>
      <c r="E169" s="1218" t="str">
        <f>INDEX(PT_DIFFERENTIATION_VTAR,MATCH(A169,PT_DIFFERENTIATION_VTAR_ID,0))</f>
        <v>Тариф на водоотведение</v>
      </c>
      <c r="F169" s="1218" t="str">
        <f>INDEX(PT_DIFFERENTIATION_VDET,MATCH(A169,PT_DIFFERENTIATION_VTAR_ID,0))</f>
        <v/>
      </c>
      <c r="G169" s="37"/>
      <c r="H169" s="984"/>
      <c r="I169" s="1011"/>
      <c r="J169" s="227"/>
      <c r="K169" s="793" t="s">
        <v>294</v>
      </c>
      <c r="L169" s="207"/>
      <c r="M169" s="202"/>
      <c r="N169" s="66"/>
      <c r="O169" s="66"/>
    </row>
    <row r="170" spans="1:15" s="9" customFormat="1" ht="18.75" hidden="1" customHeight="1">
      <c r="A170" s="2"/>
      <c r="B170" s="1" t="s">
        <v>1672</v>
      </c>
      <c r="C170" s="1379"/>
      <c r="D170" s="1162"/>
      <c r="E170" s="1218"/>
      <c r="F170" s="1218"/>
      <c r="G170" s="239"/>
      <c r="H170" s="50" t="s">
        <v>1567</v>
      </c>
      <c r="I170" s="108"/>
      <c r="J170" s="240"/>
      <c r="K170" s="105"/>
      <c r="L170" s="207"/>
      <c r="M170" s="202"/>
      <c r="N170" s="66"/>
      <c r="O170" s="66"/>
    </row>
    <row r="171" spans="1:15" s="9" customFormat="1" ht="18.75" hidden="1" customHeight="1">
      <c r="A171" s="2" t="s">
        <v>258</v>
      </c>
      <c r="B171" s="1"/>
      <c r="C171" s="1379"/>
      <c r="D171" s="1162"/>
      <c r="E171" s="1218" t="str">
        <f>INDEX(PT_DIFFERENTIATION_VTAR,MATCH(A171,PT_DIFFERENTIATION_VTAR_ID,0))</f>
        <v>Тариф на транспортировку сточных вод</v>
      </c>
      <c r="F171" s="1218" t="str">
        <f>INDEX(PT_DIFFERENTIATION_VDET,MATCH(A171,PT_DIFFERENTIATION_VTAR_ID,0))</f>
        <v/>
      </c>
      <c r="G171" s="37"/>
      <c r="H171" s="984"/>
      <c r="I171" s="1011"/>
      <c r="J171" s="227"/>
      <c r="K171" s="793" t="s">
        <v>294</v>
      </c>
      <c r="L171" s="207"/>
      <c r="M171" s="202"/>
      <c r="N171" s="66"/>
      <c r="O171" s="66"/>
    </row>
    <row r="172" spans="1:15" s="9" customFormat="1" ht="18.75" hidden="1" customHeight="1">
      <c r="A172" s="2"/>
      <c r="B172" s="1" t="s">
        <v>1672</v>
      </c>
      <c r="C172" s="1379"/>
      <c r="D172" s="1162"/>
      <c r="E172" s="1218"/>
      <c r="F172" s="1218"/>
      <c r="G172" s="239"/>
      <c r="H172" s="50" t="s">
        <v>1567</v>
      </c>
      <c r="I172" s="108"/>
      <c r="J172" s="240"/>
      <c r="K172" s="105"/>
      <c r="L172" s="207"/>
      <c r="M172" s="202"/>
      <c r="N172" s="66"/>
      <c r="O172" s="66"/>
    </row>
    <row r="173" spans="1:15" s="9" customFormat="1" ht="18.75" hidden="1" customHeight="1">
      <c r="A173" s="2" t="s">
        <v>263</v>
      </c>
      <c r="B173" s="1"/>
      <c r="C173" s="1379"/>
      <c r="D173" s="1162"/>
      <c r="E173" s="1218" t="str">
        <f>INDEX(PT_DIFFERENTIATION_VTAR,MATCH(A173,PT_DIFFERENTIATION_VTAR_ID,0))</f>
        <v>Тариф на подключение (технологическое присоединение) к централизованной системе водоотведения</v>
      </c>
      <c r="F173" s="1218" t="str">
        <f>INDEX(PT_DIFFERENTIATION_VDET,MATCH(A173,PT_DIFFERENTIATION_VTAR_ID,0))</f>
        <v/>
      </c>
      <c r="G173" s="37"/>
      <c r="H173" s="984"/>
      <c r="I173" s="1011"/>
      <c r="J173" s="227"/>
      <c r="K173" s="793" t="s">
        <v>294</v>
      </c>
      <c r="L173" s="207"/>
      <c r="M173" s="202"/>
      <c r="N173" s="66"/>
      <c r="O173" s="66"/>
    </row>
    <row r="174" spans="1:15" s="9" customFormat="1" ht="18.75" hidden="1" customHeight="1">
      <c r="A174" s="2"/>
      <c r="B174" s="1" t="s">
        <v>1672</v>
      </c>
      <c r="C174" s="1379"/>
      <c r="D174" s="1162"/>
      <c r="E174" s="1218"/>
      <c r="F174" s="1218"/>
      <c r="G174" s="239"/>
      <c r="H174" s="50" t="s">
        <v>1567</v>
      </c>
      <c r="I174" s="108"/>
      <c r="J174" s="240"/>
      <c r="K174" s="105"/>
      <c r="L174" s="207"/>
      <c r="M174" s="202"/>
      <c r="N174" s="66"/>
      <c r="O174" s="66"/>
    </row>
    <row r="175" spans="1:15" ht="25.5" customHeight="1">
      <c r="A175" s="2"/>
      <c r="C175" s="27"/>
      <c r="D175" s="61" t="s">
        <v>92</v>
      </c>
      <c r="E175" s="1369"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1369"/>
      <c r="G175" s="1369"/>
      <c r="H175" s="1369"/>
      <c r="I175" s="1369"/>
      <c r="J175" s="1369"/>
      <c r="K175" s="1369"/>
      <c r="L175" s="111"/>
      <c r="M175" s="202"/>
    </row>
    <row r="176" spans="1:15" s="9" customFormat="1" ht="56.25" hidden="1" customHeight="1">
      <c r="A176" s="2" t="s">
        <v>157</v>
      </c>
      <c r="B176" s="1"/>
      <c r="C176" s="1379"/>
      <c r="D176" s="1162"/>
      <c r="E176" s="1218"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1218" t="str">
        <f>INDEX(PT_DIFFERENTIATION_VDET,MATCH(A176,PT_DIFFERENTIATION_VTAR_ID,0))</f>
        <v/>
      </c>
      <c r="G176" s="37"/>
      <c r="H176" s="984"/>
      <c r="I176" s="1011"/>
      <c r="J176" s="227"/>
      <c r="K176" s="793" t="s">
        <v>294</v>
      </c>
      <c r="L176" s="1127"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202"/>
      <c r="N176" s="66"/>
      <c r="O176" s="66"/>
    </row>
    <row r="177" spans="1:15" s="9" customFormat="1" ht="18.75" hidden="1" customHeight="1">
      <c r="A177" s="2"/>
      <c r="B177" s="1" t="s">
        <v>1672</v>
      </c>
      <c r="C177" s="1379"/>
      <c r="D177" s="1162"/>
      <c r="E177" s="1218"/>
      <c r="F177" s="1218"/>
      <c r="G177" s="239"/>
      <c r="H177" s="50" t="s">
        <v>1567</v>
      </c>
      <c r="I177" s="108"/>
      <c r="J177" s="240"/>
      <c r="K177" s="105"/>
      <c r="L177" s="1128"/>
      <c r="M177" s="202"/>
      <c r="N177" s="66"/>
      <c r="O177" s="66"/>
    </row>
    <row r="178" spans="1:15" s="9" customFormat="1" ht="26.25" hidden="1" customHeight="1">
      <c r="A178" s="2" t="s">
        <v>163</v>
      </c>
      <c r="B178" s="1"/>
      <c r="C178" s="1379"/>
      <c r="D178" s="1162"/>
      <c r="E178" s="1218"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1218" t="str">
        <f>INDEX(PT_DIFFERENTIATION_VDET,MATCH(A178,PT_DIFFERENTIATION_VTAR_ID,0))</f>
        <v/>
      </c>
      <c r="G178" s="37"/>
      <c r="H178" s="984"/>
      <c r="I178" s="1011"/>
      <c r="J178" s="227"/>
      <c r="K178" s="793" t="s">
        <v>294</v>
      </c>
      <c r="L178" s="1129"/>
      <c r="M178" s="202"/>
      <c r="N178" s="66"/>
      <c r="O178" s="66"/>
    </row>
    <row r="179" spans="1:15" s="9" customFormat="1" ht="18.75" hidden="1" customHeight="1">
      <c r="A179" s="2"/>
      <c r="B179" s="1" t="s">
        <v>1672</v>
      </c>
      <c r="C179" s="1379"/>
      <c r="D179" s="1162"/>
      <c r="E179" s="1218"/>
      <c r="F179" s="1218"/>
      <c r="G179" s="239"/>
      <c r="H179" s="50" t="s">
        <v>1567</v>
      </c>
      <c r="I179" s="108"/>
      <c r="J179" s="240"/>
      <c r="K179" s="105"/>
      <c r="L179" s="207"/>
      <c r="M179" s="202"/>
      <c r="N179" s="66"/>
      <c r="O179" s="66"/>
    </row>
    <row r="180" spans="1:15" s="9" customFormat="1" ht="18.75" hidden="1" customHeight="1">
      <c r="A180" s="2" t="s">
        <v>169</v>
      </c>
      <c r="B180" s="1"/>
      <c r="C180" s="1379"/>
      <c r="D180" s="1162"/>
      <c r="E180" s="1218"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1218" t="str">
        <f>INDEX(PT_DIFFERENTIATION_VDET,MATCH(A180,PT_DIFFERENTIATION_VTAR_ID,0))</f>
        <v/>
      </c>
      <c r="G180" s="37"/>
      <c r="H180" s="984"/>
      <c r="I180" s="1011"/>
      <c r="J180" s="227"/>
      <c r="K180" s="793" t="s">
        <v>294</v>
      </c>
      <c r="L180" s="207"/>
      <c r="M180" s="202"/>
      <c r="N180" s="66"/>
      <c r="O180" s="66"/>
    </row>
    <row r="181" spans="1:15" s="9" customFormat="1" ht="18.75" hidden="1" customHeight="1">
      <c r="A181" s="2"/>
      <c r="B181" s="1" t="s">
        <v>1672</v>
      </c>
      <c r="C181" s="1379"/>
      <c r="D181" s="1162"/>
      <c r="E181" s="1218"/>
      <c r="F181" s="1218"/>
      <c r="G181" s="239"/>
      <c r="H181" s="50" t="s">
        <v>1567</v>
      </c>
      <c r="I181" s="108"/>
      <c r="J181" s="240"/>
      <c r="K181" s="105"/>
      <c r="L181" s="207"/>
      <c r="M181" s="202"/>
      <c r="N181" s="66"/>
      <c r="O181" s="66"/>
    </row>
    <row r="182" spans="1:15" s="9" customFormat="1" ht="41.25" hidden="1" customHeight="1">
      <c r="A182" s="2" t="s">
        <v>175</v>
      </c>
      <c r="B182" s="1"/>
      <c r="C182" s="1379"/>
      <c r="D182" s="1162"/>
      <c r="E182" s="1218"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1218" t="str">
        <f>INDEX(PT_DIFFERENTIATION_VDET,MATCH(A182,PT_DIFFERENTIATION_VTAR_ID,0))</f>
        <v/>
      </c>
      <c r="G182" s="37"/>
      <c r="H182" s="984"/>
      <c r="I182" s="1011"/>
      <c r="J182" s="227"/>
      <c r="K182" s="793" t="s">
        <v>294</v>
      </c>
      <c r="L182" s="207"/>
      <c r="M182" s="202"/>
      <c r="N182" s="66"/>
      <c r="O182" s="66"/>
    </row>
    <row r="183" spans="1:15" s="9" customFormat="1" ht="18.75" hidden="1" customHeight="1">
      <c r="A183" s="2"/>
      <c r="B183" s="1" t="s">
        <v>1672</v>
      </c>
      <c r="C183" s="1379"/>
      <c r="D183" s="1162"/>
      <c r="E183" s="1218"/>
      <c r="F183" s="1218"/>
      <c r="G183" s="239"/>
      <c r="H183" s="50" t="s">
        <v>1567</v>
      </c>
      <c r="I183" s="108"/>
      <c r="J183" s="240"/>
      <c r="K183" s="105"/>
      <c r="L183" s="207"/>
      <c r="M183" s="202"/>
      <c r="N183" s="66"/>
      <c r="O183" s="66"/>
    </row>
    <row r="184" spans="1:15" s="9" customFormat="1" ht="18.75" hidden="1" customHeight="1">
      <c r="A184" s="2" t="s">
        <v>181</v>
      </c>
      <c r="B184" s="1"/>
      <c r="C184" s="1379"/>
      <c r="D184" s="1162"/>
      <c r="E184" s="1218" t="str">
        <f>INDEX(PT_DIFFERENTIATION_VTAR,MATCH(A184,PT_DIFFERENTIATION_VTAR_ID,0))</f>
        <v>Тарифы на услуги по передаче тепловой энергии</v>
      </c>
      <c r="F184" s="1218" t="str">
        <f>INDEX(PT_DIFFERENTIATION_VDET,MATCH(A184,PT_DIFFERENTIATION_VTAR_ID,0))</f>
        <v/>
      </c>
      <c r="G184" s="37"/>
      <c r="H184" s="984"/>
      <c r="I184" s="1011"/>
      <c r="J184" s="227"/>
      <c r="K184" s="793" t="s">
        <v>294</v>
      </c>
      <c r="L184" s="207"/>
      <c r="M184" s="202"/>
      <c r="N184" s="66"/>
      <c r="O184" s="66"/>
    </row>
    <row r="185" spans="1:15" s="9" customFormat="1" ht="18.75" hidden="1" customHeight="1">
      <c r="A185" s="2"/>
      <c r="B185" s="1" t="s">
        <v>1672</v>
      </c>
      <c r="C185" s="1379"/>
      <c r="D185" s="1162"/>
      <c r="E185" s="1218"/>
      <c r="F185" s="1218"/>
      <c r="G185" s="239"/>
      <c r="H185" s="50" t="s">
        <v>1567</v>
      </c>
      <c r="I185" s="108"/>
      <c r="J185" s="240"/>
      <c r="K185" s="105"/>
      <c r="L185" s="207"/>
      <c r="M185" s="202"/>
      <c r="N185" s="66"/>
      <c r="O185" s="66"/>
    </row>
    <row r="186" spans="1:15" s="9" customFormat="1" ht="18.75" hidden="1" customHeight="1">
      <c r="A186" s="2" t="s">
        <v>187</v>
      </c>
      <c r="B186" s="1"/>
      <c r="C186" s="1379"/>
      <c r="D186" s="1162"/>
      <c r="E186" s="1218" t="str">
        <f>INDEX(PT_DIFFERENTIATION_VTAR,MATCH(A186,PT_DIFFERENTIATION_VTAR_ID,0))</f>
        <v>Тарифы на услуги по передаче теплоносителя</v>
      </c>
      <c r="F186" s="1218" t="str">
        <f>INDEX(PT_DIFFERENTIATION_VDET,MATCH(A186,PT_DIFFERENTIATION_VTAR_ID,0))</f>
        <v/>
      </c>
      <c r="G186" s="37"/>
      <c r="H186" s="984"/>
      <c r="I186" s="1011"/>
      <c r="J186" s="227"/>
      <c r="K186" s="793" t="s">
        <v>294</v>
      </c>
      <c r="L186" s="207"/>
      <c r="M186" s="202"/>
      <c r="N186" s="66"/>
      <c r="O186" s="66"/>
    </row>
    <row r="187" spans="1:15" s="9" customFormat="1" ht="18.75" hidden="1" customHeight="1">
      <c r="A187" s="2"/>
      <c r="B187" s="1" t="s">
        <v>1672</v>
      </c>
      <c r="C187" s="1379"/>
      <c r="D187" s="1162"/>
      <c r="E187" s="1218"/>
      <c r="F187" s="1218"/>
      <c r="G187" s="239"/>
      <c r="H187" s="50" t="s">
        <v>1567</v>
      </c>
      <c r="I187" s="108"/>
      <c r="J187" s="240"/>
      <c r="K187" s="105"/>
      <c r="L187" s="207"/>
      <c r="M187" s="202"/>
      <c r="N187" s="66"/>
      <c r="O187" s="66"/>
    </row>
    <row r="188" spans="1:15" s="9" customFormat="1" ht="18.75" hidden="1" customHeight="1">
      <c r="A188" s="2" t="s">
        <v>193</v>
      </c>
      <c r="B188" s="1"/>
      <c r="C188" s="1379"/>
      <c r="D188" s="1162"/>
      <c r="E188" s="1218" t="str">
        <f>INDEX(PT_DIFFERENTIATION_VTAR,MATCH(A188,PT_DIFFERENTIATION_VTAR_ID,0))</f>
        <v>Плата за услуги по поддержанию резервной тепловой мощности при отсутствии потребления тепловой энергии</v>
      </c>
      <c r="F188" s="1218" t="str">
        <f>INDEX(PT_DIFFERENTIATION_VDET,MATCH(A188,PT_DIFFERENTIATION_VTAR_ID,0))</f>
        <v/>
      </c>
      <c r="G188" s="37"/>
      <c r="H188" s="984"/>
      <c r="I188" s="1011"/>
      <c r="J188" s="227"/>
      <c r="K188" s="793" t="s">
        <v>294</v>
      </c>
      <c r="L188" s="207"/>
      <c r="M188" s="202"/>
      <c r="N188" s="66"/>
      <c r="O188" s="66"/>
    </row>
    <row r="189" spans="1:15" s="9" customFormat="1" ht="18.75" hidden="1" customHeight="1">
      <c r="A189" s="2"/>
      <c r="B189" s="1" t="s">
        <v>1672</v>
      </c>
      <c r="C189" s="1379"/>
      <c r="D189" s="1162"/>
      <c r="E189" s="1218"/>
      <c r="F189" s="1218"/>
      <c r="G189" s="239"/>
      <c r="H189" s="50" t="s">
        <v>1567</v>
      </c>
      <c r="I189" s="108"/>
      <c r="J189" s="240"/>
      <c r="K189" s="105"/>
      <c r="L189" s="207"/>
      <c r="M189" s="202"/>
      <c r="N189" s="66"/>
      <c r="O189" s="66"/>
    </row>
    <row r="190" spans="1:15" s="9" customFormat="1" ht="18.75" hidden="1" customHeight="1">
      <c r="A190" s="2" t="s">
        <v>199</v>
      </c>
      <c r="B190" s="1"/>
      <c r="C190" s="1379"/>
      <c r="D190" s="1162"/>
      <c r="E190" s="1218" t="str">
        <f>INDEX(PT_DIFFERENTIATION_VTAR,MATCH(A190,PT_DIFFERENTIATION_VTAR_ID,0))</f>
        <v>Плата за подключение (технологическое присоединение) к системе теплоснабжения</v>
      </c>
      <c r="F190" s="1218" t="str">
        <f>INDEX(PT_DIFFERENTIATION_VDET,MATCH(A190,PT_DIFFERENTIATION_VTAR_ID,0))</f>
        <v/>
      </c>
      <c r="G190" s="37"/>
      <c r="H190" s="984"/>
      <c r="I190" s="1011"/>
      <c r="J190" s="227"/>
      <c r="K190" s="793" t="s">
        <v>294</v>
      </c>
      <c r="L190" s="207"/>
      <c r="M190" s="202"/>
      <c r="N190" s="66"/>
      <c r="O190" s="66"/>
    </row>
    <row r="191" spans="1:15" s="9" customFormat="1" ht="18.75" hidden="1" customHeight="1">
      <c r="A191" s="2"/>
      <c r="B191" s="1" t="s">
        <v>1672</v>
      </c>
      <c r="C191" s="1379"/>
      <c r="D191" s="1162"/>
      <c r="E191" s="1218"/>
      <c r="F191" s="1218"/>
      <c r="G191" s="239"/>
      <c r="H191" s="50" t="s">
        <v>1567</v>
      </c>
      <c r="I191" s="108"/>
      <c r="J191" s="240"/>
      <c r="K191" s="105"/>
      <c r="L191" s="207"/>
      <c r="M191" s="202"/>
      <c r="N191" s="66"/>
      <c r="O191" s="66"/>
    </row>
    <row r="192" spans="1:15" s="9" customFormat="1" ht="18.75" hidden="1" customHeight="1">
      <c r="A192" s="2" t="s">
        <v>213</v>
      </c>
      <c r="B192" s="1"/>
      <c r="C192" s="1379"/>
      <c r="D192" s="1162"/>
      <c r="E192" s="1218" t="str">
        <f>INDEX(PT_DIFFERENTIATION_VTAR,MATCH(A192,PT_DIFFERENTIATION_VTAR_ID,0))</f>
        <v>Тариф на питьевую воду (питьевое водоснабжение)</v>
      </c>
      <c r="F192" s="1218" t="str">
        <f>INDEX(PT_DIFFERENTIATION_VDET,MATCH(A192,PT_DIFFERENTIATION_VTAR_ID,0))</f>
        <v/>
      </c>
      <c r="G192" s="37"/>
      <c r="H192" s="984"/>
      <c r="I192" s="1011"/>
      <c r="J192" s="227"/>
      <c r="K192" s="793" t="s">
        <v>294</v>
      </c>
      <c r="L192" s="207"/>
      <c r="M192" s="202"/>
      <c r="N192" s="66"/>
      <c r="O192" s="66"/>
    </row>
    <row r="193" spans="1:15" s="9" customFormat="1" ht="18.75" hidden="1" customHeight="1">
      <c r="A193" s="2"/>
      <c r="B193" s="1" t="s">
        <v>1672</v>
      </c>
      <c r="C193" s="1379"/>
      <c r="D193" s="1162"/>
      <c r="E193" s="1218"/>
      <c r="F193" s="1218"/>
      <c r="G193" s="239"/>
      <c r="H193" s="50" t="s">
        <v>1567</v>
      </c>
      <c r="I193" s="108"/>
      <c r="J193" s="240"/>
      <c r="K193" s="105"/>
      <c r="L193" s="207"/>
      <c r="M193" s="202"/>
      <c r="N193" s="66"/>
      <c r="O193" s="66"/>
    </row>
    <row r="194" spans="1:15" s="9" customFormat="1" ht="18.75" hidden="1" customHeight="1">
      <c r="A194" s="2" t="s">
        <v>218</v>
      </c>
      <c r="B194" s="1"/>
      <c r="C194" s="1379"/>
      <c r="D194" s="1162"/>
      <c r="E194" s="1218" t="str">
        <f>INDEX(PT_DIFFERENTIATION_VTAR,MATCH(A194,PT_DIFFERENTIATION_VTAR_ID,0))</f>
        <v>Тариф на техническую воду</v>
      </c>
      <c r="F194" s="1218" t="str">
        <f>INDEX(PT_DIFFERENTIATION_VDET,MATCH(A194,PT_DIFFERENTIATION_VTAR_ID,0))</f>
        <v/>
      </c>
      <c r="G194" s="37"/>
      <c r="H194" s="984"/>
      <c r="I194" s="1011"/>
      <c r="J194" s="227"/>
      <c r="K194" s="793" t="s">
        <v>294</v>
      </c>
      <c r="L194" s="207"/>
      <c r="M194" s="202"/>
      <c r="N194" s="66"/>
      <c r="O194" s="66"/>
    </row>
    <row r="195" spans="1:15" s="9" customFormat="1" ht="18.75" hidden="1" customHeight="1">
      <c r="A195" s="2"/>
      <c r="B195" s="1" t="s">
        <v>1672</v>
      </c>
      <c r="C195" s="1379"/>
      <c r="D195" s="1162"/>
      <c r="E195" s="1218"/>
      <c r="F195" s="1218"/>
      <c r="G195" s="239"/>
      <c r="H195" s="50" t="s">
        <v>1567</v>
      </c>
      <c r="I195" s="108"/>
      <c r="J195" s="240"/>
      <c r="K195" s="105"/>
      <c r="L195" s="207"/>
      <c r="M195" s="202"/>
      <c r="N195" s="66"/>
      <c r="O195" s="66"/>
    </row>
    <row r="196" spans="1:15" s="9" customFormat="1" ht="18.75" hidden="1" customHeight="1">
      <c r="A196" s="2" t="s">
        <v>223</v>
      </c>
      <c r="B196" s="1"/>
      <c r="C196" s="1379"/>
      <c r="D196" s="1162"/>
      <c r="E196" s="1218" t="str">
        <f>INDEX(PT_DIFFERENTIATION_VTAR,MATCH(A196,PT_DIFFERENTIATION_VTAR_ID,0))</f>
        <v>Тариф на транспортировку воды</v>
      </c>
      <c r="F196" s="1218" t="str">
        <f>INDEX(PT_DIFFERENTIATION_VDET,MATCH(A196,PT_DIFFERENTIATION_VTAR_ID,0))</f>
        <v/>
      </c>
      <c r="G196" s="37"/>
      <c r="H196" s="984"/>
      <c r="I196" s="1011"/>
      <c r="J196" s="227"/>
      <c r="K196" s="793" t="s">
        <v>294</v>
      </c>
      <c r="L196" s="207"/>
      <c r="M196" s="202"/>
      <c r="N196" s="66"/>
      <c r="O196" s="66"/>
    </row>
    <row r="197" spans="1:15" s="9" customFormat="1" ht="18.75" hidden="1" customHeight="1">
      <c r="A197" s="2"/>
      <c r="B197" s="1" t="s">
        <v>1672</v>
      </c>
      <c r="C197" s="1379"/>
      <c r="D197" s="1162"/>
      <c r="E197" s="1218"/>
      <c r="F197" s="1218"/>
      <c r="G197" s="239"/>
      <c r="H197" s="50" t="s">
        <v>1567</v>
      </c>
      <c r="I197" s="108"/>
      <c r="J197" s="240"/>
      <c r="K197" s="105"/>
      <c r="L197" s="207"/>
      <c r="M197" s="202"/>
      <c r="N197" s="66"/>
      <c r="O197" s="66"/>
    </row>
    <row r="198" spans="1:15" s="9" customFormat="1" ht="18.75" hidden="1" customHeight="1">
      <c r="A198" s="2" t="s">
        <v>228</v>
      </c>
      <c r="B198" s="1"/>
      <c r="C198" s="1379"/>
      <c r="D198" s="1162"/>
      <c r="E198" s="1218" t="str">
        <f>INDEX(PT_DIFFERENTIATION_VTAR,MATCH(A198,PT_DIFFERENTIATION_VTAR_ID,0))</f>
        <v>Тариф на подвоз воды</v>
      </c>
      <c r="F198" s="1218" t="str">
        <f>INDEX(PT_DIFFERENTIATION_VDET,MATCH(A198,PT_DIFFERENTIATION_VTAR_ID,0))</f>
        <v/>
      </c>
      <c r="G198" s="37"/>
      <c r="H198" s="984"/>
      <c r="I198" s="1011"/>
      <c r="J198" s="227"/>
      <c r="K198" s="793" t="s">
        <v>294</v>
      </c>
      <c r="L198" s="207"/>
      <c r="M198" s="202"/>
      <c r="N198" s="66"/>
      <c r="O198" s="66"/>
    </row>
    <row r="199" spans="1:15" s="9" customFormat="1" ht="18.75" hidden="1" customHeight="1">
      <c r="A199" s="2"/>
      <c r="B199" s="1" t="s">
        <v>1672</v>
      </c>
      <c r="C199" s="1379"/>
      <c r="D199" s="1162"/>
      <c r="E199" s="1218"/>
      <c r="F199" s="1218"/>
      <c r="G199" s="239"/>
      <c r="H199" s="50" t="s">
        <v>1567</v>
      </c>
      <c r="I199" s="108"/>
      <c r="J199" s="240"/>
      <c r="K199" s="105"/>
      <c r="L199" s="207"/>
      <c r="M199" s="202"/>
      <c r="N199" s="66"/>
      <c r="O199" s="66"/>
    </row>
    <row r="200" spans="1:15" s="9" customFormat="1" ht="18.75" hidden="1" customHeight="1">
      <c r="A200" s="2" t="s">
        <v>233</v>
      </c>
      <c r="B200" s="1"/>
      <c r="C200" s="1379"/>
      <c r="D200" s="1162"/>
      <c r="E200" s="1218"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1218" t="str">
        <f>INDEX(PT_DIFFERENTIATION_VDET,MATCH(A200,PT_DIFFERENTIATION_VTAR_ID,0))</f>
        <v/>
      </c>
      <c r="G200" s="37"/>
      <c r="H200" s="984"/>
      <c r="I200" s="1011"/>
      <c r="J200" s="227"/>
      <c r="K200" s="793" t="s">
        <v>294</v>
      </c>
      <c r="L200" s="207"/>
      <c r="M200" s="202"/>
      <c r="N200" s="66"/>
      <c r="O200" s="66"/>
    </row>
    <row r="201" spans="1:15" s="9" customFormat="1" ht="18.75" hidden="1" customHeight="1">
      <c r="A201" s="2"/>
      <c r="B201" s="1" t="s">
        <v>1672</v>
      </c>
      <c r="C201" s="1379"/>
      <c r="D201" s="1162"/>
      <c r="E201" s="1218"/>
      <c r="F201" s="1218"/>
      <c r="G201" s="239"/>
      <c r="H201" s="50" t="s">
        <v>1567</v>
      </c>
      <c r="I201" s="108"/>
      <c r="J201" s="240"/>
      <c r="K201" s="105"/>
      <c r="L201" s="207"/>
      <c r="M201" s="202"/>
      <c r="N201" s="66"/>
      <c r="O201" s="66"/>
    </row>
    <row r="202" spans="1:15" s="9" customFormat="1" ht="18.75" hidden="1" customHeight="1">
      <c r="A202" s="2" t="s">
        <v>238</v>
      </c>
      <c r="B202" s="1"/>
      <c r="C202" s="1379"/>
      <c r="D202" s="1162"/>
      <c r="E202" s="1218" t="str">
        <f>INDEX(PT_DIFFERENTIATION_VTAR,MATCH(A202,PT_DIFFERENTIATION_VTAR_ID,0))</f>
        <v>Тариф на горячую воду (горячее водоснабжение)</v>
      </c>
      <c r="F202" s="1218" t="str">
        <f>INDEX(PT_DIFFERENTIATION_VDET,MATCH(A202,PT_DIFFERENTIATION_VTAR_ID,0))</f>
        <v/>
      </c>
      <c r="G202" s="37"/>
      <c r="H202" s="984"/>
      <c r="I202" s="1011"/>
      <c r="J202" s="227"/>
      <c r="K202" s="793" t="s">
        <v>294</v>
      </c>
      <c r="L202" s="207"/>
      <c r="M202" s="202"/>
      <c r="N202" s="66"/>
      <c r="O202" s="66"/>
    </row>
    <row r="203" spans="1:15" s="9" customFormat="1" ht="18.75" hidden="1" customHeight="1">
      <c r="A203" s="2"/>
      <c r="B203" s="1" t="s">
        <v>1672</v>
      </c>
      <c r="C203" s="1379"/>
      <c r="D203" s="1162"/>
      <c r="E203" s="1218"/>
      <c r="F203" s="1218"/>
      <c r="G203" s="239"/>
      <c r="H203" s="50" t="s">
        <v>1567</v>
      </c>
      <c r="I203" s="108"/>
      <c r="J203" s="240"/>
      <c r="K203" s="105"/>
      <c r="L203" s="207"/>
      <c r="M203" s="202"/>
      <c r="N203" s="66"/>
      <c r="O203" s="66"/>
    </row>
    <row r="204" spans="1:15" s="9" customFormat="1" ht="18.75" hidden="1" customHeight="1">
      <c r="A204" s="2" t="s">
        <v>243</v>
      </c>
      <c r="B204" s="1"/>
      <c r="C204" s="1379"/>
      <c r="D204" s="1162"/>
      <c r="E204" s="1218" t="str">
        <f>INDEX(PT_DIFFERENTIATION_VTAR,MATCH(A204,PT_DIFFERENTIATION_VTAR_ID,0))</f>
        <v>Тариф на транспортировку горячей воды</v>
      </c>
      <c r="F204" s="1218" t="str">
        <f>INDEX(PT_DIFFERENTIATION_VDET,MATCH(A204,PT_DIFFERENTIATION_VTAR_ID,0))</f>
        <v/>
      </c>
      <c r="G204" s="37"/>
      <c r="H204" s="984"/>
      <c r="I204" s="1011"/>
      <c r="J204" s="227"/>
      <c r="K204" s="793" t="s">
        <v>294</v>
      </c>
      <c r="L204" s="207"/>
      <c r="M204" s="202"/>
      <c r="N204" s="66"/>
      <c r="O204" s="66"/>
    </row>
    <row r="205" spans="1:15" s="9" customFormat="1" ht="18.75" hidden="1" customHeight="1">
      <c r="A205" s="2"/>
      <c r="B205" s="1" t="s">
        <v>1672</v>
      </c>
      <c r="C205" s="1379"/>
      <c r="D205" s="1162"/>
      <c r="E205" s="1218"/>
      <c r="F205" s="1218"/>
      <c r="G205" s="239"/>
      <c r="H205" s="50" t="s">
        <v>1567</v>
      </c>
      <c r="I205" s="108"/>
      <c r="J205" s="240"/>
      <c r="K205" s="105"/>
      <c r="L205" s="207"/>
      <c r="M205" s="202"/>
      <c r="N205" s="66"/>
      <c r="O205" s="66"/>
    </row>
    <row r="206" spans="1:15" s="9" customFormat="1" ht="18.75" hidden="1" customHeight="1">
      <c r="A206" s="2" t="s">
        <v>248</v>
      </c>
      <c r="B206" s="1"/>
      <c r="C206" s="1379"/>
      <c r="D206" s="1162"/>
      <c r="E206" s="1218" t="str">
        <f>INDEX(PT_DIFFERENTIATION_VTAR,MATCH(A206,PT_DIFFERENTIATION_VTAR_ID,0))</f>
        <v>Тариф на подключение (технологическое присоединение) к централизованной системе горячего водоснабжения</v>
      </c>
      <c r="F206" s="1218" t="str">
        <f>INDEX(PT_DIFFERENTIATION_VDET,MATCH(A206,PT_DIFFERENTIATION_VTAR_ID,0))</f>
        <v/>
      </c>
      <c r="G206" s="37"/>
      <c r="H206" s="984"/>
      <c r="I206" s="1011"/>
      <c r="J206" s="227"/>
      <c r="K206" s="793" t="s">
        <v>294</v>
      </c>
      <c r="L206" s="207"/>
      <c r="M206" s="202"/>
      <c r="N206" s="66"/>
      <c r="O206" s="66"/>
    </row>
    <row r="207" spans="1:15" s="9" customFormat="1" ht="18.75" hidden="1" customHeight="1">
      <c r="A207" s="2"/>
      <c r="B207" s="1" t="s">
        <v>1672</v>
      </c>
      <c r="C207" s="1379"/>
      <c r="D207" s="1162"/>
      <c r="E207" s="1218"/>
      <c r="F207" s="1218"/>
      <c r="G207" s="239"/>
      <c r="H207" s="50" t="s">
        <v>1567</v>
      </c>
      <c r="I207" s="108"/>
      <c r="J207" s="240"/>
      <c r="K207" s="105"/>
      <c r="L207" s="207"/>
      <c r="M207" s="202"/>
      <c r="N207" s="66"/>
      <c r="O207" s="66"/>
    </row>
    <row r="208" spans="1:15" s="9" customFormat="1" ht="18.75" hidden="1" customHeight="1">
      <c r="A208" s="2" t="s">
        <v>253</v>
      </c>
      <c r="B208" s="1"/>
      <c r="C208" s="1379"/>
      <c r="D208" s="1162"/>
      <c r="E208" s="1218" t="str">
        <f>INDEX(PT_DIFFERENTIATION_VTAR,MATCH(A208,PT_DIFFERENTIATION_VTAR_ID,0))</f>
        <v>Тариф на водоотведение</v>
      </c>
      <c r="F208" s="1218" t="str">
        <f>INDEX(PT_DIFFERENTIATION_VDET,MATCH(A208,PT_DIFFERENTIATION_VTAR_ID,0))</f>
        <v/>
      </c>
      <c r="G208" s="37"/>
      <c r="H208" s="984"/>
      <c r="I208" s="1011"/>
      <c r="J208" s="227"/>
      <c r="K208" s="793" t="s">
        <v>294</v>
      </c>
      <c r="L208" s="207"/>
      <c r="M208" s="202"/>
      <c r="N208" s="66"/>
      <c r="O208" s="66"/>
    </row>
    <row r="209" spans="1:15" s="9" customFormat="1" ht="18.75" hidden="1" customHeight="1">
      <c r="A209" s="2"/>
      <c r="B209" s="1" t="s">
        <v>1672</v>
      </c>
      <c r="C209" s="1379"/>
      <c r="D209" s="1162"/>
      <c r="E209" s="1218"/>
      <c r="F209" s="1218"/>
      <c r="G209" s="239"/>
      <c r="H209" s="50" t="s">
        <v>1567</v>
      </c>
      <c r="I209" s="108"/>
      <c r="J209" s="240"/>
      <c r="K209" s="105"/>
      <c r="L209" s="207"/>
      <c r="M209" s="202"/>
      <c r="N209" s="66"/>
      <c r="O209" s="66"/>
    </row>
    <row r="210" spans="1:15" s="9" customFormat="1" ht="18.75" hidden="1" customHeight="1">
      <c r="A210" s="2" t="s">
        <v>258</v>
      </c>
      <c r="B210" s="1"/>
      <c r="C210" s="1379"/>
      <c r="D210" s="1162"/>
      <c r="E210" s="1218" t="str">
        <f>INDEX(PT_DIFFERENTIATION_VTAR,MATCH(A210,PT_DIFFERENTIATION_VTAR_ID,0))</f>
        <v>Тариф на транспортировку сточных вод</v>
      </c>
      <c r="F210" s="1218" t="str">
        <f>INDEX(PT_DIFFERENTIATION_VDET,MATCH(A210,PT_DIFFERENTIATION_VTAR_ID,0))</f>
        <v/>
      </c>
      <c r="G210" s="37"/>
      <c r="H210" s="984"/>
      <c r="I210" s="1011"/>
      <c r="J210" s="227"/>
      <c r="K210" s="793" t="s">
        <v>294</v>
      </c>
      <c r="L210" s="207"/>
      <c r="M210" s="202"/>
      <c r="N210" s="66"/>
      <c r="O210" s="66"/>
    </row>
    <row r="211" spans="1:15" s="9" customFormat="1" ht="18.75" hidden="1" customHeight="1">
      <c r="A211" s="2"/>
      <c r="B211" s="1" t="s">
        <v>1672</v>
      </c>
      <c r="C211" s="1379"/>
      <c r="D211" s="1162"/>
      <c r="E211" s="1218"/>
      <c r="F211" s="1218"/>
      <c r="G211" s="239"/>
      <c r="H211" s="50" t="s">
        <v>1567</v>
      </c>
      <c r="I211" s="108"/>
      <c r="J211" s="240"/>
      <c r="K211" s="105"/>
      <c r="L211" s="207"/>
      <c r="M211" s="202"/>
      <c r="N211" s="66"/>
      <c r="O211" s="66"/>
    </row>
    <row r="212" spans="1:15" s="9" customFormat="1" ht="18.75" hidden="1" customHeight="1">
      <c r="A212" s="2" t="s">
        <v>263</v>
      </c>
      <c r="B212" s="1"/>
      <c r="C212" s="1379"/>
      <c r="D212" s="1162"/>
      <c r="E212" s="1218" t="str">
        <f>INDEX(PT_DIFFERENTIATION_VTAR,MATCH(A212,PT_DIFFERENTIATION_VTAR_ID,0))</f>
        <v>Тариф на подключение (технологическое присоединение) к централизованной системе водоотведения</v>
      </c>
      <c r="F212" s="1218" t="str">
        <f>INDEX(PT_DIFFERENTIATION_VDET,MATCH(A212,PT_DIFFERENTIATION_VTAR_ID,0))</f>
        <v/>
      </c>
      <c r="G212" s="37"/>
      <c r="H212" s="984"/>
      <c r="I212" s="1011"/>
      <c r="J212" s="227"/>
      <c r="K212" s="793" t="s">
        <v>294</v>
      </c>
      <c r="L212" s="207"/>
      <c r="M212" s="202"/>
      <c r="N212" s="66"/>
      <c r="O212" s="66"/>
    </row>
    <row r="213" spans="1:15" s="9" customFormat="1" ht="18.75" hidden="1" customHeight="1">
      <c r="A213" s="2"/>
      <c r="B213" s="1" t="s">
        <v>1672</v>
      </c>
      <c r="C213" s="1379"/>
      <c r="D213" s="1162"/>
      <c r="E213" s="1218"/>
      <c r="F213" s="1218"/>
      <c r="G213" s="239"/>
      <c r="H213" s="50" t="s">
        <v>1567</v>
      </c>
      <c r="I213" s="108"/>
      <c r="J213" s="240"/>
      <c r="K213" s="105"/>
      <c r="L213" s="207"/>
      <c r="M213" s="202"/>
      <c r="N213" s="66"/>
      <c r="O213" s="66"/>
    </row>
    <row r="214" spans="1:15" s="2" customFormat="1" ht="3" customHeight="1">
      <c r="D214" s="242"/>
      <c r="E214" s="242"/>
      <c r="F214" s="242"/>
      <c r="G214" s="242"/>
      <c r="H214" s="242"/>
      <c r="I214" s="242"/>
      <c r="J214" s="242"/>
      <c r="K214" s="242"/>
      <c r="L214" s="242"/>
      <c r="N214" s="101"/>
      <c r="O214" s="101"/>
    </row>
    <row r="215" spans="1:15" ht="24.75" customHeight="1">
      <c r="D215" s="106"/>
      <c r="E215" s="1284"/>
      <c r="F215" s="1284"/>
      <c r="G215" s="1284"/>
      <c r="H215" s="1284"/>
      <c r="I215" s="1284"/>
      <c r="J215" s="1284"/>
      <c r="K215" s="1284"/>
      <c r="L215" s="1284"/>
    </row>
  </sheetData>
  <sheetProtection formatColumns="0" formatRows="0" insertRows="0" deleteColumns="0" deleteRows="0" sort="0" autoFilter="0"/>
  <mergeCells count="406">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C28:C29"/>
    <mergeCell ref="D28:D29"/>
    <mergeCell ref="E28:E29"/>
    <mergeCell ref="F28:F29"/>
    <mergeCell ref="C30:C31"/>
    <mergeCell ref="D30:D31"/>
    <mergeCell ref="E30:E31"/>
    <mergeCell ref="F30:F31"/>
    <mergeCell ref="E17:K17"/>
    <mergeCell ref="F24:F25"/>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xr:uid="{00000000-0002-0000-2100-000000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xr:uid="{00000000-0002-0000-2100-000001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xr:uid="{00000000-0002-0000-2100-000002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xr:uid="{00000000-0002-0000-2100-000003000000}"/>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437583-04F4-87CC-016B-804E6151592B}">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1673</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1674</v>
      </c>
      <c r="AM4" s="66"/>
      <c r="AN4" s="66" t="str">
        <f t="shared" si="0"/>
        <v>Наименование централизованной системы холодного водоснабжения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14.25"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1681</v>
      </c>
      <c r="W38" s="1065" t="s">
        <v>493</v>
      </c>
      <c r="X38" s="1064"/>
      <c r="Y38" s="1065" t="s">
        <v>494</v>
      </c>
      <c r="Z38" s="1070"/>
      <c r="AA38" s="1064"/>
      <c r="AB38" s="1302"/>
      <c r="AC38" s="351" t="s">
        <v>1681</v>
      </c>
      <c r="AD38" s="1065" t="s">
        <v>493</v>
      </c>
      <c r="AE38" s="1064"/>
      <c r="AF38" s="1065" t="s">
        <v>494</v>
      </c>
      <c r="AG38" s="1070"/>
      <c r="AH38" s="1064"/>
      <c r="AI38" s="1302"/>
      <c r="AJ38" s="1305"/>
      <c r="AK38" s="1083"/>
    </row>
    <row r="39" spans="1:42" ht="33.7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1684</v>
      </c>
      <c r="W39" s="37" t="s">
        <v>1685</v>
      </c>
      <c r="X39" s="37" t="s">
        <v>1686</v>
      </c>
      <c r="Y39" s="37" t="s">
        <v>504</v>
      </c>
      <c r="Z39" s="1174" t="s">
        <v>505</v>
      </c>
      <c r="AA39" s="1188"/>
      <c r="AB39" s="1303"/>
      <c r="AC39" s="351" t="s">
        <v>1684</v>
      </c>
      <c r="AD39" s="37" t="s">
        <v>1685</v>
      </c>
      <c r="AE39" s="37" t="s">
        <v>1686</v>
      </c>
      <c r="AF39" s="37" t="s">
        <v>504</v>
      </c>
      <c r="AG39" s="1174" t="s">
        <v>505</v>
      </c>
      <c r="AH39" s="1188"/>
      <c r="AI39" s="1303"/>
      <c r="AJ39" s="1306"/>
      <c r="AK39" s="1083"/>
    </row>
    <row r="40" spans="1:42" s="209" customFormat="1" ht="11.25"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214</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214</v>
      </c>
      <c r="B42" s="798" t="s">
        <v>215</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214</v>
      </c>
      <c r="B43" s="798" t="s">
        <v>215</v>
      </c>
      <c r="C43" s="798" t="s">
        <v>216</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1673</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1674</v>
      </c>
      <c r="AM43" s="66"/>
      <c r="AN43" s="66" t="str">
        <f t="shared" si="1"/>
        <v>Наименование централизованной системы холодного водоснабжения</v>
      </c>
      <c r="AO43" s="66"/>
      <c r="AP43" s="66"/>
    </row>
    <row r="44" spans="1:42" ht="23.25" customHeight="1">
      <c r="A44" s="798" t="s">
        <v>214</v>
      </c>
      <c r="B44" s="798" t="s">
        <v>215</v>
      </c>
      <c r="C44" s="798" t="s">
        <v>216</v>
      </c>
      <c r="D44" s="798" t="s">
        <v>1687</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214</v>
      </c>
      <c r="B45" s="798" t="s">
        <v>215</v>
      </c>
      <c r="C45" s="798" t="s">
        <v>216</v>
      </c>
      <c r="D45" s="798" t="s">
        <v>1687</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214</v>
      </c>
      <c r="B46" s="798" t="s">
        <v>215</v>
      </c>
      <c r="C46" s="798" t="s">
        <v>216</v>
      </c>
      <c r="D46" s="798" t="s">
        <v>1687</v>
      </c>
      <c r="E46" s="1286"/>
      <c r="F46" s="1286"/>
      <c r="G46" s="1286"/>
      <c r="H46" s="1286"/>
      <c r="I46" s="1288"/>
      <c r="J46" s="1288"/>
      <c r="K46" s="1287" t="str">
        <f>J45&amp;".1"</f>
        <v>...1.1.1</v>
      </c>
      <c r="L46" s="799"/>
      <c r="P46" s="1204"/>
      <c r="Q46" s="1204"/>
      <c r="R46" s="215">
        <v>1</v>
      </c>
      <c r="S46" s="730" t="str">
        <f>$K46</f>
        <v>...1.1.1</v>
      </c>
      <c r="T46" s="841"/>
      <c r="U46" s="170"/>
      <c r="V46" s="378"/>
      <c r="W46" s="378"/>
      <c r="X46" s="797"/>
      <c r="Y46" s="1283"/>
      <c r="Z46" s="1282" t="s">
        <v>59</v>
      </c>
      <c r="AA46" s="1283"/>
      <c r="AB46" s="1282" t="s">
        <v>59</v>
      </c>
      <c r="AC46" s="317"/>
      <c r="AD46" s="317"/>
      <c r="AE46" s="757"/>
      <c r="AF46" s="1289"/>
      <c r="AG46" s="1093" t="s">
        <v>59</v>
      </c>
      <c r="AH46" s="1291"/>
      <c r="AI46" s="1093" t="s">
        <v>57</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214</v>
      </c>
      <c r="B47" s="798" t="s">
        <v>215</v>
      </c>
      <c r="C47" s="798" t="s">
        <v>216</v>
      </c>
      <c r="D47" s="798" t="s">
        <v>1687</v>
      </c>
      <c r="E47" s="1286"/>
      <c r="F47" s="1286"/>
      <c r="G47" s="1286"/>
      <c r="H47" s="1286"/>
      <c r="I47" s="1288"/>
      <c r="J47" s="1288"/>
      <c r="K47" s="1287"/>
      <c r="L47" s="799"/>
      <c r="P47" s="1204"/>
      <c r="Q47" s="1204"/>
      <c r="R47" s="215"/>
      <c r="S47" s="62"/>
      <c r="T47" s="170"/>
      <c r="U47" s="170"/>
      <c r="V47" s="378"/>
      <c r="W47" s="378"/>
      <c r="X47" s="198" t="str">
        <f>Y46&amp;"-"&amp;AA46</f>
        <v>-</v>
      </c>
      <c r="Y47" s="1282"/>
      <c r="Z47" s="1282"/>
      <c r="AA47" s="1282"/>
      <c r="AB47" s="1282"/>
      <c r="AC47" s="196"/>
      <c r="AD47" s="196"/>
      <c r="AE47" s="198" t="str">
        <f>AF46&amp;"-"&amp;AH46</f>
        <v>-</v>
      </c>
      <c r="AF47" s="1290"/>
      <c r="AG47" s="1093"/>
      <c r="AH47" s="1292"/>
      <c r="AI47" s="1093"/>
      <c r="AJ47" s="398"/>
      <c r="AK47" s="1391"/>
      <c r="AM47" s="66"/>
      <c r="AN47" s="66" t="str">
        <f t="shared" si="1"/>
        <v/>
      </c>
      <c r="AO47" s="66"/>
      <c r="AP47" s="66"/>
    </row>
    <row r="48" spans="1:42" ht="21" customHeight="1">
      <c r="A48" s="798" t="s">
        <v>214</v>
      </c>
      <c r="B48" s="798" t="s">
        <v>215</v>
      </c>
      <c r="C48" s="798" t="s">
        <v>216</v>
      </c>
      <c r="D48" s="798" t="s">
        <v>1687</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214</v>
      </c>
      <c r="B49" s="798" t="s">
        <v>215</v>
      </c>
      <c r="C49" s="798" t="s">
        <v>216</v>
      </c>
      <c r="D49" s="798" t="s">
        <v>1687</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214</v>
      </c>
      <c r="B50" s="798" t="s">
        <v>215</v>
      </c>
      <c r="C50" s="798" t="s">
        <v>216</v>
      </c>
      <c r="D50" s="798" t="s">
        <v>1687</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214</v>
      </c>
      <c r="B51" s="142" t="s">
        <v>215</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214</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1688</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1689</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22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22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22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22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22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xr:uid="{00000000-0002-0000-22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22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22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890C5-FC48-B7B6-E54F-B0526D920A25}">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1673</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1674</v>
      </c>
      <c r="AM4" s="66"/>
      <c r="AN4" s="66" t="str">
        <f t="shared" si="0"/>
        <v>Наименование централизованной системы холодного водоснабжения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1681</v>
      </c>
      <c r="W38" s="1065" t="s">
        <v>493</v>
      </c>
      <c r="X38" s="1064"/>
      <c r="Y38" s="1065" t="s">
        <v>494</v>
      </c>
      <c r="Z38" s="1070"/>
      <c r="AA38" s="1064"/>
      <c r="AB38" s="1302"/>
      <c r="AC38" s="351" t="s">
        <v>1681</v>
      </c>
      <c r="AD38" s="1065" t="s">
        <v>493</v>
      </c>
      <c r="AE38" s="1064"/>
      <c r="AF38" s="1065" t="s">
        <v>494</v>
      </c>
      <c r="AG38" s="1070"/>
      <c r="AH38" s="1064"/>
      <c r="AI38" s="1302"/>
      <c r="AJ38" s="1305"/>
      <c r="AK38" s="1083"/>
    </row>
    <row r="39" spans="1:42" ht="33.7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1684</v>
      </c>
      <c r="W39" s="37" t="s">
        <v>1685</v>
      </c>
      <c r="X39" s="37" t="s">
        <v>1686</v>
      </c>
      <c r="Y39" s="37" t="s">
        <v>504</v>
      </c>
      <c r="Z39" s="1174" t="s">
        <v>505</v>
      </c>
      <c r="AA39" s="1188"/>
      <c r="AB39" s="1303"/>
      <c r="AC39" s="351" t="s">
        <v>1684</v>
      </c>
      <c r="AD39" s="37" t="s">
        <v>1685</v>
      </c>
      <c r="AE39" s="37" t="s">
        <v>1686</v>
      </c>
      <c r="AF39" s="37" t="s">
        <v>504</v>
      </c>
      <c r="AG39" s="1174" t="s">
        <v>505</v>
      </c>
      <c r="AH39" s="1188"/>
      <c r="AI39" s="1303"/>
      <c r="AJ39" s="1306"/>
      <c r="AK39" s="1083"/>
    </row>
    <row r="40" spans="1:42" s="209" customFormat="1" ht="0"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219</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219</v>
      </c>
      <c r="B42" s="798" t="s">
        <v>220</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219</v>
      </c>
      <c r="B43" s="798" t="s">
        <v>220</v>
      </c>
      <c r="C43" s="798" t="s">
        <v>221</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1673</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1674</v>
      </c>
      <c r="AM43" s="66"/>
      <c r="AN43" s="66" t="str">
        <f t="shared" si="1"/>
        <v>Наименование централизованной системы холодного водоснабжения</v>
      </c>
      <c r="AO43" s="66"/>
      <c r="AP43" s="66"/>
    </row>
    <row r="44" spans="1:42" ht="23.25" customHeight="1">
      <c r="A44" s="798" t="s">
        <v>219</v>
      </c>
      <c r="B44" s="798" t="s">
        <v>220</v>
      </c>
      <c r="C44" s="798" t="s">
        <v>221</v>
      </c>
      <c r="D44" s="798" t="s">
        <v>1690</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219</v>
      </c>
      <c r="B45" s="798" t="s">
        <v>220</v>
      </c>
      <c r="C45" s="798" t="s">
        <v>221</v>
      </c>
      <c r="D45" s="798" t="s">
        <v>1690</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219</v>
      </c>
      <c r="B46" s="798" t="s">
        <v>220</v>
      </c>
      <c r="C46" s="798" t="s">
        <v>221</v>
      </c>
      <c r="D46" s="798" t="s">
        <v>1690</v>
      </c>
      <c r="E46" s="1286"/>
      <c r="F46" s="1286"/>
      <c r="G46" s="1286"/>
      <c r="H46" s="1286"/>
      <c r="I46" s="1288"/>
      <c r="J46" s="1288"/>
      <c r="K46" s="1287" t="str">
        <f>J45&amp;".1"</f>
        <v>...1.1.1</v>
      </c>
      <c r="L46" s="799"/>
      <c r="P46" s="1204"/>
      <c r="Q46" s="1204"/>
      <c r="R46" s="215">
        <v>1</v>
      </c>
      <c r="S46" s="730" t="str">
        <f>$K46</f>
        <v>...1.1.1</v>
      </c>
      <c r="T46" s="841"/>
      <c r="U46" s="170"/>
      <c r="V46" s="317"/>
      <c r="W46" s="317"/>
      <c r="X46" s="757"/>
      <c r="Y46" s="1289"/>
      <c r="Z46" s="1093" t="s">
        <v>59</v>
      </c>
      <c r="AA46" s="1289"/>
      <c r="AB46" s="1093" t="s">
        <v>59</v>
      </c>
      <c r="AC46" s="317"/>
      <c r="AD46" s="317"/>
      <c r="AE46" s="757"/>
      <c r="AF46" s="1289"/>
      <c r="AG46" s="1093" t="s">
        <v>59</v>
      </c>
      <c r="AH46" s="1291"/>
      <c r="AI46" s="1093" t="s">
        <v>59</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219</v>
      </c>
      <c r="B47" s="798" t="s">
        <v>220</v>
      </c>
      <c r="C47" s="798" t="s">
        <v>221</v>
      </c>
      <c r="D47" s="798" t="s">
        <v>1690</v>
      </c>
      <c r="E47" s="1286"/>
      <c r="F47" s="1286"/>
      <c r="G47" s="1286"/>
      <c r="H47" s="1286"/>
      <c r="I47" s="1288"/>
      <c r="J47" s="1288"/>
      <c r="K47" s="1287"/>
      <c r="L47" s="799"/>
      <c r="P47" s="1204"/>
      <c r="Q47" s="1204"/>
      <c r="R47" s="215"/>
      <c r="S47" s="62"/>
      <c r="T47" s="170"/>
      <c r="U47" s="170"/>
      <c r="V47" s="196"/>
      <c r="W47" s="196"/>
      <c r="X47" s="198" t="str">
        <f>Y46&amp;"-"&amp;AA46</f>
        <v>-</v>
      </c>
      <c r="Y47" s="1290"/>
      <c r="Z47" s="1093"/>
      <c r="AA47" s="1290"/>
      <c r="AB47" s="1093"/>
      <c r="AC47" s="196"/>
      <c r="AD47" s="196"/>
      <c r="AE47" s="198" t="str">
        <f>AF46&amp;"-"&amp;AH46</f>
        <v>-</v>
      </c>
      <c r="AF47" s="1290"/>
      <c r="AG47" s="1093"/>
      <c r="AH47" s="1292"/>
      <c r="AI47" s="1093"/>
      <c r="AJ47" s="398"/>
      <c r="AK47" s="1391"/>
      <c r="AM47" s="66"/>
      <c r="AN47" s="66" t="str">
        <f t="shared" si="1"/>
        <v/>
      </c>
      <c r="AO47" s="66"/>
      <c r="AP47" s="66"/>
    </row>
    <row r="48" spans="1:42" ht="21" customHeight="1">
      <c r="A48" s="798" t="s">
        <v>219</v>
      </c>
      <c r="B48" s="798" t="s">
        <v>220</v>
      </c>
      <c r="C48" s="798" t="s">
        <v>221</v>
      </c>
      <c r="D48" s="798" t="s">
        <v>1690</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219</v>
      </c>
      <c r="B49" s="798" t="s">
        <v>220</v>
      </c>
      <c r="C49" s="798" t="s">
        <v>221</v>
      </c>
      <c r="D49" s="798" t="s">
        <v>1690</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219</v>
      </c>
      <c r="B50" s="798" t="s">
        <v>220</v>
      </c>
      <c r="C50" s="798" t="s">
        <v>221</v>
      </c>
      <c r="D50" s="798" t="s">
        <v>1690</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219</v>
      </c>
      <c r="B51" s="142" t="s">
        <v>220</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219</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1688</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1689</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2300-000000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2300-000001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2300-000002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2300-000003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2300-000004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2300-000005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2300-000006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23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6502E-3C8F-D2CB-F4E8-E7C3F5E8DC27}">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1673</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1674</v>
      </c>
      <c r="AM4" s="66"/>
      <c r="AN4" s="66" t="str">
        <f t="shared" si="0"/>
        <v>Наименование централизованной системы холодного водоснабжения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1681</v>
      </c>
      <c r="W38" s="1065" t="s">
        <v>493</v>
      </c>
      <c r="X38" s="1064"/>
      <c r="Y38" s="1065" t="s">
        <v>494</v>
      </c>
      <c r="Z38" s="1070"/>
      <c r="AA38" s="1064"/>
      <c r="AB38" s="1302"/>
      <c r="AC38" s="351" t="s">
        <v>1681</v>
      </c>
      <c r="AD38" s="1065" t="s">
        <v>493</v>
      </c>
      <c r="AE38" s="1064"/>
      <c r="AF38" s="1065" t="s">
        <v>494</v>
      </c>
      <c r="AG38" s="1070"/>
      <c r="AH38" s="1064"/>
      <c r="AI38" s="1302"/>
      <c r="AJ38" s="1305"/>
      <c r="AK38" s="1083"/>
    </row>
    <row r="39" spans="1:42" ht="33.7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1684</v>
      </c>
      <c r="W39" s="37" t="s">
        <v>1685</v>
      </c>
      <c r="X39" s="37" t="s">
        <v>1686</v>
      </c>
      <c r="Y39" s="37" t="s">
        <v>504</v>
      </c>
      <c r="Z39" s="1174" t="s">
        <v>505</v>
      </c>
      <c r="AA39" s="1188"/>
      <c r="AB39" s="1303"/>
      <c r="AC39" s="351" t="s">
        <v>1684</v>
      </c>
      <c r="AD39" s="37" t="s">
        <v>1685</v>
      </c>
      <c r="AE39" s="37" t="s">
        <v>1686</v>
      </c>
      <c r="AF39" s="37" t="s">
        <v>504</v>
      </c>
      <c r="AG39" s="1174" t="s">
        <v>505</v>
      </c>
      <c r="AH39" s="1188"/>
      <c r="AI39" s="1303"/>
      <c r="AJ39" s="1306"/>
      <c r="AK39" s="1083"/>
    </row>
    <row r="40" spans="1:42" s="209" customFormat="1" ht="0"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224</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224</v>
      </c>
      <c r="B42" s="798" t="s">
        <v>225</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224</v>
      </c>
      <c r="B43" s="798" t="s">
        <v>225</v>
      </c>
      <c r="C43" s="798" t="s">
        <v>226</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1673</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1674</v>
      </c>
      <c r="AM43" s="66"/>
      <c r="AN43" s="66" t="str">
        <f t="shared" si="1"/>
        <v>Наименование централизованной системы холодного водоснабжения</v>
      </c>
      <c r="AO43" s="66"/>
      <c r="AP43" s="66"/>
    </row>
    <row r="44" spans="1:42" ht="23.25" customHeight="1">
      <c r="A44" s="798" t="s">
        <v>224</v>
      </c>
      <c r="B44" s="798" t="s">
        <v>225</v>
      </c>
      <c r="C44" s="798" t="s">
        <v>226</v>
      </c>
      <c r="D44" s="798" t="s">
        <v>1691</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224</v>
      </c>
      <c r="B45" s="798" t="s">
        <v>225</v>
      </c>
      <c r="C45" s="798" t="s">
        <v>226</v>
      </c>
      <c r="D45" s="798" t="s">
        <v>1691</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224</v>
      </c>
      <c r="B46" s="798" t="s">
        <v>225</v>
      </c>
      <c r="C46" s="798" t="s">
        <v>226</v>
      </c>
      <c r="D46" s="798" t="s">
        <v>1691</v>
      </c>
      <c r="E46" s="1286"/>
      <c r="F46" s="1286"/>
      <c r="G46" s="1286"/>
      <c r="H46" s="1286"/>
      <c r="I46" s="1288"/>
      <c r="J46" s="1288"/>
      <c r="K46" s="1287" t="str">
        <f>J45&amp;".1"</f>
        <v>...1.1.1</v>
      </c>
      <c r="L46" s="799"/>
      <c r="P46" s="1204"/>
      <c r="Q46" s="1204"/>
      <c r="R46" s="215">
        <v>1</v>
      </c>
      <c r="S46" s="730" t="str">
        <f>$K46</f>
        <v>...1.1.1</v>
      </c>
      <c r="T46" s="841"/>
      <c r="U46" s="170"/>
      <c r="V46" s="317"/>
      <c r="W46" s="317"/>
      <c r="X46" s="757"/>
      <c r="Y46" s="1289"/>
      <c r="Z46" s="1093" t="s">
        <v>59</v>
      </c>
      <c r="AA46" s="1289"/>
      <c r="AB46" s="1093" t="s">
        <v>59</v>
      </c>
      <c r="AC46" s="317"/>
      <c r="AD46" s="317"/>
      <c r="AE46" s="757"/>
      <c r="AF46" s="1289"/>
      <c r="AG46" s="1093" t="s">
        <v>59</v>
      </c>
      <c r="AH46" s="1291"/>
      <c r="AI46" s="1093" t="s">
        <v>59</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224</v>
      </c>
      <c r="B47" s="798" t="s">
        <v>225</v>
      </c>
      <c r="C47" s="798" t="s">
        <v>226</v>
      </c>
      <c r="D47" s="798" t="s">
        <v>1691</v>
      </c>
      <c r="E47" s="1286"/>
      <c r="F47" s="1286"/>
      <c r="G47" s="1286"/>
      <c r="H47" s="1286"/>
      <c r="I47" s="1288"/>
      <c r="J47" s="1288"/>
      <c r="K47" s="1287"/>
      <c r="L47" s="799"/>
      <c r="P47" s="1204"/>
      <c r="Q47" s="1204"/>
      <c r="R47" s="215"/>
      <c r="S47" s="62"/>
      <c r="T47" s="170"/>
      <c r="U47" s="170"/>
      <c r="V47" s="196"/>
      <c r="W47" s="196"/>
      <c r="X47" s="198" t="str">
        <f>Y46&amp;"-"&amp;AA46</f>
        <v>-</v>
      </c>
      <c r="Y47" s="1290"/>
      <c r="Z47" s="1093"/>
      <c r="AA47" s="1290"/>
      <c r="AB47" s="1093"/>
      <c r="AC47" s="196"/>
      <c r="AD47" s="196"/>
      <c r="AE47" s="198" t="str">
        <f>AF46&amp;"-"&amp;AH46</f>
        <v>-</v>
      </c>
      <c r="AF47" s="1290"/>
      <c r="AG47" s="1093"/>
      <c r="AH47" s="1292"/>
      <c r="AI47" s="1093"/>
      <c r="AJ47" s="398"/>
      <c r="AK47" s="1391"/>
      <c r="AM47" s="66"/>
      <c r="AN47" s="66" t="str">
        <f t="shared" si="1"/>
        <v/>
      </c>
      <c r="AO47" s="66"/>
      <c r="AP47" s="66"/>
    </row>
    <row r="48" spans="1:42" ht="21" customHeight="1">
      <c r="A48" s="798" t="s">
        <v>224</v>
      </c>
      <c r="B48" s="798" t="s">
        <v>225</v>
      </c>
      <c r="C48" s="798" t="s">
        <v>226</v>
      </c>
      <c r="D48" s="798" t="s">
        <v>1691</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224</v>
      </c>
      <c r="B49" s="798" t="s">
        <v>225</v>
      </c>
      <c r="C49" s="798" t="s">
        <v>226</v>
      </c>
      <c r="D49" s="798" t="s">
        <v>1691</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224</v>
      </c>
      <c r="B50" s="798" t="s">
        <v>225</v>
      </c>
      <c r="C50" s="798" t="s">
        <v>226</v>
      </c>
      <c r="D50" s="798" t="s">
        <v>1691</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224</v>
      </c>
      <c r="B51" s="142" t="s">
        <v>225</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224</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1688</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1689</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24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24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24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24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24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24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24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24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32B3A7-B496-2DA2-62F9-D1B1CE8F11F7}">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1673</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1674</v>
      </c>
      <c r="AM4" s="66"/>
      <c r="AN4" s="66" t="str">
        <f t="shared" si="0"/>
        <v>Наименование централизованной системы холодного водоснабжения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1681</v>
      </c>
      <c r="W38" s="1065" t="s">
        <v>493</v>
      </c>
      <c r="X38" s="1064"/>
      <c r="Y38" s="1065" t="s">
        <v>494</v>
      </c>
      <c r="Z38" s="1070"/>
      <c r="AA38" s="1064"/>
      <c r="AB38" s="1302"/>
      <c r="AC38" s="351" t="s">
        <v>1681</v>
      </c>
      <c r="AD38" s="1065" t="s">
        <v>493</v>
      </c>
      <c r="AE38" s="1064"/>
      <c r="AF38" s="1065" t="s">
        <v>494</v>
      </c>
      <c r="AG38" s="1070"/>
      <c r="AH38" s="1064"/>
      <c r="AI38" s="1302"/>
      <c r="AJ38" s="1305"/>
      <c r="AK38" s="1083"/>
    </row>
    <row r="39" spans="1:42" ht="33.7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1684</v>
      </c>
      <c r="W39" s="37" t="s">
        <v>1685</v>
      </c>
      <c r="X39" s="37" t="s">
        <v>1686</v>
      </c>
      <c r="Y39" s="37" t="s">
        <v>504</v>
      </c>
      <c r="Z39" s="1174" t="s">
        <v>505</v>
      </c>
      <c r="AA39" s="1188"/>
      <c r="AB39" s="1303"/>
      <c r="AC39" s="351" t="s">
        <v>1684</v>
      </c>
      <c r="AD39" s="37" t="s">
        <v>1685</v>
      </c>
      <c r="AE39" s="37" t="s">
        <v>1686</v>
      </c>
      <c r="AF39" s="37" t="s">
        <v>504</v>
      </c>
      <c r="AG39" s="1174" t="s">
        <v>505</v>
      </c>
      <c r="AH39" s="1188"/>
      <c r="AI39" s="1303"/>
      <c r="AJ39" s="1306"/>
      <c r="AK39" s="1083"/>
    </row>
    <row r="40" spans="1:42" s="209" customFormat="1" ht="0"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229</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229</v>
      </c>
      <c r="B42" s="798" t="s">
        <v>230</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229</v>
      </c>
      <c r="B43" s="798" t="s">
        <v>230</v>
      </c>
      <c r="C43" s="798" t="s">
        <v>231</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1673</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1674</v>
      </c>
      <c r="AM43" s="66"/>
      <c r="AN43" s="66" t="str">
        <f t="shared" si="1"/>
        <v>Наименование централизованной системы холодного водоснабжения</v>
      </c>
      <c r="AO43" s="66"/>
      <c r="AP43" s="66"/>
    </row>
    <row r="44" spans="1:42" ht="23.25" customHeight="1">
      <c r="A44" s="798" t="s">
        <v>229</v>
      </c>
      <c r="B44" s="798" t="s">
        <v>230</v>
      </c>
      <c r="C44" s="798" t="s">
        <v>231</v>
      </c>
      <c r="D44" s="798" t="s">
        <v>1692</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229</v>
      </c>
      <c r="B45" s="798" t="s">
        <v>230</v>
      </c>
      <c r="C45" s="798" t="s">
        <v>231</v>
      </c>
      <c r="D45" s="798" t="s">
        <v>1692</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229</v>
      </c>
      <c r="B46" s="798" t="s">
        <v>230</v>
      </c>
      <c r="C46" s="798" t="s">
        <v>231</v>
      </c>
      <c r="D46" s="798" t="s">
        <v>1692</v>
      </c>
      <c r="E46" s="1286"/>
      <c r="F46" s="1286"/>
      <c r="G46" s="1286"/>
      <c r="H46" s="1286"/>
      <c r="I46" s="1288"/>
      <c r="J46" s="1288"/>
      <c r="K46" s="1287" t="str">
        <f>J45&amp;".1"</f>
        <v>...1.1.1</v>
      </c>
      <c r="L46" s="799"/>
      <c r="P46" s="1204"/>
      <c r="Q46" s="1204"/>
      <c r="R46" s="215">
        <v>1</v>
      </c>
      <c r="S46" s="730" t="str">
        <f>$K46</f>
        <v>...1.1.1</v>
      </c>
      <c r="T46" s="841"/>
      <c r="U46" s="170"/>
      <c r="V46" s="317"/>
      <c r="W46" s="317"/>
      <c r="X46" s="757"/>
      <c r="Y46" s="1289"/>
      <c r="Z46" s="1093" t="s">
        <v>59</v>
      </c>
      <c r="AA46" s="1289"/>
      <c r="AB46" s="1093" t="s">
        <v>59</v>
      </c>
      <c r="AC46" s="317"/>
      <c r="AD46" s="317"/>
      <c r="AE46" s="757"/>
      <c r="AF46" s="1289"/>
      <c r="AG46" s="1093" t="s">
        <v>59</v>
      </c>
      <c r="AH46" s="1291"/>
      <c r="AI46" s="1093" t="s">
        <v>59</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229</v>
      </c>
      <c r="B47" s="798" t="s">
        <v>230</v>
      </c>
      <c r="C47" s="798" t="s">
        <v>231</v>
      </c>
      <c r="D47" s="798" t="s">
        <v>1692</v>
      </c>
      <c r="E47" s="1286"/>
      <c r="F47" s="1286"/>
      <c r="G47" s="1286"/>
      <c r="H47" s="1286"/>
      <c r="I47" s="1288"/>
      <c r="J47" s="1288"/>
      <c r="K47" s="1287"/>
      <c r="L47" s="799"/>
      <c r="P47" s="1204"/>
      <c r="Q47" s="1204"/>
      <c r="R47" s="215"/>
      <c r="S47" s="62"/>
      <c r="T47" s="170"/>
      <c r="U47" s="170"/>
      <c r="V47" s="196"/>
      <c r="W47" s="196"/>
      <c r="X47" s="198" t="str">
        <f>Y46&amp;"-"&amp;AA46</f>
        <v>-</v>
      </c>
      <c r="Y47" s="1290"/>
      <c r="Z47" s="1093"/>
      <c r="AA47" s="1290"/>
      <c r="AB47" s="1093"/>
      <c r="AC47" s="196"/>
      <c r="AD47" s="196"/>
      <c r="AE47" s="198" t="str">
        <f>AF46&amp;"-"&amp;AH46</f>
        <v>-</v>
      </c>
      <c r="AF47" s="1290"/>
      <c r="AG47" s="1093"/>
      <c r="AH47" s="1292"/>
      <c r="AI47" s="1093"/>
      <c r="AJ47" s="398"/>
      <c r="AK47" s="1391"/>
      <c r="AM47" s="66"/>
      <c r="AN47" s="66" t="str">
        <f t="shared" si="1"/>
        <v/>
      </c>
      <c r="AO47" s="66"/>
      <c r="AP47" s="66"/>
    </row>
    <row r="48" spans="1:42" ht="21" customHeight="1">
      <c r="A48" s="798" t="s">
        <v>229</v>
      </c>
      <c r="B48" s="798" t="s">
        <v>230</v>
      </c>
      <c r="C48" s="798" t="s">
        <v>231</v>
      </c>
      <c r="D48" s="798" t="s">
        <v>1692</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229</v>
      </c>
      <c r="B49" s="798" t="s">
        <v>230</v>
      </c>
      <c r="C49" s="798" t="s">
        <v>231</v>
      </c>
      <c r="D49" s="798" t="s">
        <v>1692</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229</v>
      </c>
      <c r="B50" s="798" t="s">
        <v>230</v>
      </c>
      <c r="C50" s="798" t="s">
        <v>231</v>
      </c>
      <c r="D50" s="798" t="s">
        <v>1692</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229</v>
      </c>
      <c r="B51" s="142" t="s">
        <v>230</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229</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1688</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1689</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25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25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25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25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25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25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25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25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1372E8-8EEF-63FE-9A9D-FBE7AE04CCED}">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522" hidden="1" customWidth="1"/>
    <col min="17" max="17" width="3.7109375" style="801" hidden="1" customWidth="1"/>
    <col min="18" max="18" width="3.7109375" style="28" customWidth="1"/>
    <col min="19" max="19" width="12.7109375" style="353"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8"/>
      <c r="B2" s="798"/>
      <c r="C2" s="798"/>
      <c r="D2" s="798"/>
      <c r="E2" s="1285">
        <v>1</v>
      </c>
      <c r="F2" s="798"/>
      <c r="G2" s="798"/>
      <c r="H2" s="798"/>
      <c r="I2" s="798"/>
      <c r="J2" s="798"/>
      <c r="K2" s="798"/>
      <c r="L2" s="799"/>
      <c r="M2" s="435"/>
      <c r="N2" s="435"/>
      <c r="O2" s="435"/>
      <c r="Q2" s="59"/>
      <c r="R2" s="213"/>
      <c r="S2" s="730" t="e">
        <f>INDEX(PT_DIFFERENTIATION_NUM_NTAR,MATCH(A2,PT_DIFFERENTIATION_NTAR_ID,0))</f>
        <v>#N/A</v>
      </c>
      <c r="T2" s="64" t="s">
        <v>125</v>
      </c>
      <c r="U2" s="170"/>
      <c r="V2" s="1280"/>
      <c r="W2" s="1280"/>
      <c r="X2" s="1280"/>
      <c r="Y2" s="1280"/>
      <c r="Z2" s="1280"/>
      <c r="AA2" s="1280"/>
      <c r="AB2" s="1280"/>
      <c r="AC2" s="1281"/>
      <c r="AD2" s="1279" t="e">
        <f>INDEX(PT_DIFFERENTIATION_NTAR,MATCH(A2,PT_DIFFERENTIATION_NTAR_ID,0))</f>
        <v>#N/A</v>
      </c>
      <c r="AE2" s="1280"/>
      <c r="AF2" s="1280"/>
      <c r="AG2" s="1280"/>
      <c r="AH2" s="1280"/>
      <c r="AI2" s="1280"/>
      <c r="AJ2" s="1280"/>
      <c r="AK2" s="1280"/>
      <c r="AL2" s="1280"/>
      <c r="AM2" s="1280"/>
      <c r="AN2" s="1280"/>
      <c r="AO2" s="1280"/>
      <c r="AP2" s="1280"/>
      <c r="AQ2" s="1280"/>
      <c r="AR2" s="1280"/>
      <c r="AS2" s="1280"/>
      <c r="AT2" s="1280"/>
      <c r="AU2" s="1280"/>
      <c r="AV2" s="1280"/>
      <c r="AW2" s="1280"/>
      <c r="AX2" s="1280"/>
      <c r="AY2" s="1280"/>
      <c r="AZ2" s="1280"/>
      <c r="BA2" s="1280"/>
      <c r="BB2" s="1281"/>
      <c r="BC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8"/>
      <c r="B3" s="798"/>
      <c r="C3" s="798"/>
      <c r="D3" s="798"/>
      <c r="E3" s="1286"/>
      <c r="F3" s="1285">
        <v>1</v>
      </c>
      <c r="G3" s="798"/>
      <c r="H3" s="798"/>
      <c r="I3" s="798"/>
      <c r="J3" s="798"/>
      <c r="K3" s="798"/>
      <c r="L3" s="799"/>
      <c r="M3" s="435"/>
      <c r="N3" s="435"/>
      <c r="O3" s="435"/>
      <c r="P3" s="312"/>
      <c r="Q3" s="831"/>
      <c r="R3" s="211"/>
      <c r="S3" s="730" t="e">
        <f>INDEX(PT_DIFFERENTIATION_NUM_TER,MATCH(B3,PT_DIFFERENTIATION_TER_ID,0))</f>
        <v>#N/A</v>
      </c>
      <c r="T3" s="178" t="s">
        <v>458</v>
      </c>
      <c r="U3" s="170"/>
      <c r="V3" s="1280"/>
      <c r="W3" s="1280"/>
      <c r="X3" s="1280"/>
      <c r="Y3" s="1280"/>
      <c r="Z3" s="1280"/>
      <c r="AA3" s="1280"/>
      <c r="AB3" s="1280"/>
      <c r="AC3" s="1281"/>
      <c r="AD3" s="1279" t="e">
        <f>INDEX(PT_DIFFERENTIATION_TER,MATCH(B3,PT_DIFFERENTIATION_TER_ID,0))</f>
        <v>#N/A</v>
      </c>
      <c r="AE3" s="1280"/>
      <c r="AF3" s="1280"/>
      <c r="AG3" s="1280"/>
      <c r="AH3" s="1280"/>
      <c r="AI3" s="1280"/>
      <c r="AJ3" s="1280"/>
      <c r="AK3" s="1280"/>
      <c r="AL3" s="1280"/>
      <c r="AM3" s="1280"/>
      <c r="AN3" s="1280"/>
      <c r="AO3" s="1280"/>
      <c r="AP3" s="1280"/>
      <c r="AQ3" s="1280"/>
      <c r="AR3" s="1280"/>
      <c r="AS3" s="1280"/>
      <c r="AT3" s="1280"/>
      <c r="AU3" s="1280"/>
      <c r="AV3" s="1280"/>
      <c r="AW3" s="1280"/>
      <c r="AX3" s="1280"/>
      <c r="AY3" s="1280"/>
      <c r="AZ3" s="1280"/>
      <c r="BA3" s="1280"/>
      <c r="BB3" s="1281"/>
      <c r="BC3" s="758" t="s">
        <v>459</v>
      </c>
      <c r="BE3" s="66"/>
      <c r="BF3" s="66" t="str">
        <f t="shared" si="0"/>
        <v>Территория действия тарифа</v>
      </c>
      <c r="BG3" s="66"/>
      <c r="BH3" s="66"/>
    </row>
    <row r="4" spans="1:60" ht="42" hidden="1" customHeight="1">
      <c r="A4" s="798"/>
      <c r="B4" s="798"/>
      <c r="C4" s="798"/>
      <c r="D4" s="798"/>
      <c r="E4" s="1286"/>
      <c r="F4" s="1286"/>
      <c r="G4" s="1285">
        <v>1</v>
      </c>
      <c r="H4" s="798"/>
      <c r="I4" s="798"/>
      <c r="J4" s="798"/>
      <c r="K4" s="798"/>
      <c r="L4" s="799"/>
      <c r="M4" s="435"/>
      <c r="N4" s="435"/>
      <c r="O4" s="435"/>
      <c r="P4" s="128"/>
      <c r="Q4" s="831"/>
      <c r="R4" s="211"/>
      <c r="S4" s="730" t="e">
        <f>INDEX(PT_DIFFERENTIATION_NUM_CS,MATCH(C4,PT_DIFFERENTIATION_CS_ID,0))</f>
        <v>#N/A</v>
      </c>
      <c r="T4" s="179" t="s">
        <v>1673</v>
      </c>
      <c r="U4" s="170"/>
      <c r="V4" s="1280"/>
      <c r="W4" s="1280"/>
      <c r="X4" s="1280"/>
      <c r="Y4" s="1280"/>
      <c r="Z4" s="1280"/>
      <c r="AA4" s="1280"/>
      <c r="AB4" s="1280"/>
      <c r="AC4" s="1281"/>
      <c r="AD4" s="1279" t="e">
        <f>INDEX(PT_DIFFERENTIATION_CS,MATCH(C4,PT_DIFFERENTIATION_CS_ID,0))</f>
        <v>#N/A</v>
      </c>
      <c r="AE4" s="1280"/>
      <c r="AF4" s="1280"/>
      <c r="AG4" s="1280"/>
      <c r="AH4" s="1280"/>
      <c r="AI4" s="1280"/>
      <c r="AJ4" s="1280"/>
      <c r="AK4" s="1280"/>
      <c r="AL4" s="1280"/>
      <c r="AM4" s="1280"/>
      <c r="AN4" s="1280"/>
      <c r="AO4" s="1280"/>
      <c r="AP4" s="1280"/>
      <c r="AQ4" s="1280"/>
      <c r="AR4" s="1280"/>
      <c r="AS4" s="1280"/>
      <c r="AT4" s="1280"/>
      <c r="AU4" s="1280"/>
      <c r="AV4" s="1280"/>
      <c r="AW4" s="1280"/>
      <c r="AX4" s="1280"/>
      <c r="AY4" s="1280"/>
      <c r="AZ4" s="1280"/>
      <c r="BA4" s="1280"/>
      <c r="BB4" s="1281"/>
      <c r="BC4" s="758" t="s">
        <v>1674</v>
      </c>
      <c r="BE4" s="66"/>
      <c r="BF4" s="66" t="str">
        <f t="shared" si="0"/>
        <v>Наименование централизованной системы холодного водоснабжения</v>
      </c>
      <c r="BG4" s="66"/>
      <c r="BH4" s="66"/>
    </row>
    <row r="5" spans="1:60" s="65" customFormat="1" ht="14.25" hidden="1" customHeight="1">
      <c r="A5" s="142"/>
      <c r="B5" s="142"/>
      <c r="C5" s="142"/>
      <c r="D5" s="142"/>
      <c r="E5" s="1286"/>
      <c r="F5" s="1286"/>
      <c r="G5" s="1286"/>
      <c r="H5" s="1285">
        <v>1</v>
      </c>
      <c r="I5" s="142"/>
      <c r="J5" s="142"/>
      <c r="K5" s="142"/>
      <c r="L5" s="357"/>
      <c r="M5" s="304"/>
      <c r="N5" s="304"/>
      <c r="O5" s="304"/>
      <c r="P5" s="849"/>
      <c r="Q5" s="850"/>
      <c r="R5" s="215"/>
      <c r="S5" s="373"/>
      <c r="T5" s="851"/>
      <c r="U5" s="809"/>
      <c r="V5" s="1315"/>
      <c r="W5" s="1315"/>
      <c r="X5" s="1315"/>
      <c r="Y5" s="1315"/>
      <c r="Z5" s="1315"/>
      <c r="AA5" s="1315"/>
      <c r="AB5" s="1315"/>
      <c r="AC5" s="1316"/>
      <c r="AD5" s="1314"/>
      <c r="AE5" s="1315"/>
      <c r="AF5" s="1315"/>
      <c r="AG5" s="1315"/>
      <c r="AH5" s="1315"/>
      <c r="AI5" s="1315"/>
      <c r="AJ5" s="1315"/>
      <c r="AK5" s="1315"/>
      <c r="AL5" s="1315"/>
      <c r="AM5" s="1315"/>
      <c r="AN5" s="1315"/>
      <c r="AO5" s="1315"/>
      <c r="AP5" s="1315"/>
      <c r="AQ5" s="1315"/>
      <c r="AR5" s="1315"/>
      <c r="AS5" s="1315"/>
      <c r="AT5" s="1315"/>
      <c r="AU5" s="1315"/>
      <c r="AV5" s="1315"/>
      <c r="AW5" s="1315"/>
      <c r="AX5" s="1315"/>
      <c r="AY5" s="1315"/>
      <c r="AZ5" s="1315"/>
      <c r="BA5" s="1315"/>
      <c r="BB5" s="1316"/>
      <c r="BC5" s="810" t="s">
        <v>463</v>
      </c>
      <c r="BE5" s="66"/>
      <c r="BF5" s="66" t="str">
        <f t="shared" si="0"/>
        <v/>
      </c>
      <c r="BG5" s="66"/>
      <c r="BH5" s="66"/>
    </row>
    <row r="6" spans="1:60" s="65" customFormat="1" ht="14.25" hidden="1" customHeight="1">
      <c r="A6" s="142"/>
      <c r="B6" s="142"/>
      <c r="C6" s="142"/>
      <c r="D6" s="142"/>
      <c r="E6" s="1286"/>
      <c r="F6" s="1286"/>
      <c r="G6" s="1286"/>
      <c r="H6" s="1286"/>
      <c r="I6" s="1287" t="str">
        <f>S5&amp;".1"</f>
        <v>.1</v>
      </c>
      <c r="J6" s="142"/>
      <c r="K6" s="142"/>
      <c r="L6" s="357" t="s">
        <v>464</v>
      </c>
      <c r="M6" s="228"/>
      <c r="N6" s="228"/>
      <c r="O6" s="228"/>
      <c r="P6" s="1204">
        <v>1</v>
      </c>
      <c r="Q6" s="119"/>
      <c r="R6" s="214"/>
      <c r="S6" s="373"/>
      <c r="T6" s="808"/>
      <c r="U6" s="809"/>
      <c r="V6" s="1315"/>
      <c r="W6" s="1315"/>
      <c r="X6" s="1315"/>
      <c r="Y6" s="1315"/>
      <c r="Z6" s="1315"/>
      <c r="AA6" s="1315"/>
      <c r="AB6" s="1315"/>
      <c r="AC6" s="1316"/>
      <c r="AD6" s="1314"/>
      <c r="AE6" s="1315"/>
      <c r="AF6" s="1315"/>
      <c r="AG6" s="1315"/>
      <c r="AH6" s="1315"/>
      <c r="AI6" s="1315"/>
      <c r="AJ6" s="1315"/>
      <c r="AK6" s="1315"/>
      <c r="AL6" s="1315"/>
      <c r="AM6" s="1315"/>
      <c r="AN6" s="1315"/>
      <c r="AO6" s="1315"/>
      <c r="AP6" s="1315"/>
      <c r="AQ6" s="1315"/>
      <c r="AR6" s="1315"/>
      <c r="AS6" s="1315"/>
      <c r="AT6" s="1315"/>
      <c r="AU6" s="1315"/>
      <c r="AV6" s="1315"/>
      <c r="AW6" s="1315"/>
      <c r="AX6" s="1315"/>
      <c r="AY6" s="1315"/>
      <c r="AZ6" s="1315"/>
      <c r="BA6" s="1315"/>
      <c r="BB6" s="1316"/>
      <c r="BC6" s="810"/>
      <c r="BE6" s="66"/>
      <c r="BF6" s="66" t="str">
        <f t="shared" si="0"/>
        <v/>
      </c>
      <c r="BG6" s="66"/>
      <c r="BH6" s="66"/>
    </row>
    <row r="7" spans="1:60" s="65" customFormat="1" ht="14.25" hidden="1" customHeight="1">
      <c r="A7" s="142"/>
      <c r="B7" s="142"/>
      <c r="C7" s="142"/>
      <c r="D7" s="142"/>
      <c r="E7" s="1286"/>
      <c r="F7" s="1286"/>
      <c r="G7" s="1286"/>
      <c r="H7" s="1286"/>
      <c r="I7" s="1288"/>
      <c r="J7" s="1287" t="str">
        <f>S5&amp;".1"</f>
        <v>.1</v>
      </c>
      <c r="K7" s="142"/>
      <c r="L7" s="357"/>
      <c r="M7" s="228"/>
      <c r="N7" s="228"/>
      <c r="O7" s="228"/>
      <c r="P7" s="1204"/>
      <c r="Q7" s="1204">
        <v>1</v>
      </c>
      <c r="R7" s="215"/>
      <c r="S7" s="373"/>
      <c r="T7" s="823"/>
      <c r="U7" s="809"/>
      <c r="V7" s="1315"/>
      <c r="W7" s="1315"/>
      <c r="X7" s="1315"/>
      <c r="Y7" s="1315"/>
      <c r="Z7" s="1315"/>
      <c r="AA7" s="1315"/>
      <c r="AB7" s="1315"/>
      <c r="AC7" s="1316"/>
      <c r="AD7" s="1314"/>
      <c r="AE7" s="1315"/>
      <c r="AF7" s="1315"/>
      <c r="AG7" s="1315"/>
      <c r="AH7" s="1315"/>
      <c r="AI7" s="1315"/>
      <c r="AJ7" s="1315"/>
      <c r="AK7" s="1315"/>
      <c r="AL7" s="1315"/>
      <c r="AM7" s="1315"/>
      <c r="AN7" s="1315"/>
      <c r="AO7" s="1315"/>
      <c r="AP7" s="1315"/>
      <c r="AQ7" s="1315"/>
      <c r="AR7" s="1315"/>
      <c r="AS7" s="1315"/>
      <c r="AT7" s="1315"/>
      <c r="AU7" s="1315"/>
      <c r="AV7" s="1315"/>
      <c r="AW7" s="1315"/>
      <c r="AX7" s="1315"/>
      <c r="AY7" s="1315"/>
      <c r="AZ7" s="1315"/>
      <c r="BA7" s="1315"/>
      <c r="BB7" s="1316"/>
      <c r="BC7" s="810"/>
      <c r="BE7" s="66"/>
      <c r="BF7" s="66" t="str">
        <f t="shared" si="0"/>
        <v/>
      </c>
      <c r="BG7" s="66"/>
      <c r="BH7" s="66"/>
    </row>
    <row r="8" spans="1:60" ht="11.25" hidden="1" customHeight="1">
      <c r="A8" s="798"/>
      <c r="B8" s="798"/>
      <c r="C8" s="798"/>
      <c r="D8" s="798"/>
      <c r="E8" s="1286"/>
      <c r="F8" s="1286"/>
      <c r="G8" s="1286"/>
      <c r="H8" s="1286"/>
      <c r="I8" s="1288"/>
      <c r="J8" s="1288"/>
      <c r="K8" s="1287" t="e">
        <f>S4&amp;".1"</f>
        <v>#N/A</v>
      </c>
      <c r="L8" s="799"/>
      <c r="P8" s="1204"/>
      <c r="Q8" s="1204"/>
      <c r="R8" s="1338">
        <v>1</v>
      </c>
      <c r="S8" s="1335" t="e">
        <f>$K8</f>
        <v>#N/A</v>
      </c>
      <c r="T8" s="1394"/>
      <c r="U8" s="170"/>
      <c r="V8" s="317"/>
      <c r="W8" s="757"/>
      <c r="X8" s="317"/>
      <c r="Y8" s="757"/>
      <c r="Z8" s="979"/>
      <c r="AA8" s="308" t="s">
        <v>59</v>
      </c>
      <c r="AB8" s="979"/>
      <c r="AC8" s="308" t="s">
        <v>59</v>
      </c>
      <c r="AD8" s="1150" t="s">
        <v>59</v>
      </c>
      <c r="AE8" s="1331"/>
      <c r="AF8" s="1163">
        <v>1</v>
      </c>
      <c r="AG8" s="1393"/>
      <c r="AH8" s="1093" t="s">
        <v>59</v>
      </c>
      <c r="AI8" s="1331"/>
      <c r="AJ8" s="1163">
        <v>1</v>
      </c>
      <c r="AK8" s="1392" t="s">
        <v>18</v>
      </c>
      <c r="AL8" s="1093" t="s">
        <v>59</v>
      </c>
      <c r="AM8" s="1138"/>
      <c r="AN8" s="1163">
        <v>1</v>
      </c>
      <c r="AO8" s="1397"/>
      <c r="AP8" s="1398" t="s">
        <v>59</v>
      </c>
      <c r="AQ8" s="181"/>
      <c r="AR8" s="280">
        <v>1</v>
      </c>
      <c r="AS8" s="116" t="s">
        <v>18</v>
      </c>
      <c r="AT8" s="317"/>
      <c r="AU8" s="757"/>
      <c r="AV8" s="317"/>
      <c r="AW8" s="757"/>
      <c r="AX8" s="979"/>
      <c r="AY8" s="308" t="s">
        <v>59</v>
      </c>
      <c r="AZ8" s="979"/>
      <c r="BA8" s="308" t="s">
        <v>59</v>
      </c>
      <c r="BB8" s="795"/>
      <c r="BC8" s="1307" t="s">
        <v>1693</v>
      </c>
      <c r="BE8" s="66"/>
      <c r="BF8" s="66" t="str">
        <f t="shared" si="0"/>
        <v/>
      </c>
      <c r="BG8" s="66"/>
      <c r="BH8" s="66"/>
    </row>
    <row r="9" spans="1:60" ht="11.25" hidden="1" customHeight="1">
      <c r="A9" s="798"/>
      <c r="B9" s="798"/>
      <c r="C9" s="798"/>
      <c r="D9" s="798"/>
      <c r="E9" s="1286"/>
      <c r="F9" s="1286"/>
      <c r="G9" s="1286"/>
      <c r="H9" s="1286"/>
      <c r="I9" s="1288"/>
      <c r="J9" s="1288"/>
      <c r="K9" s="1287"/>
      <c r="L9" s="799"/>
      <c r="P9" s="1204"/>
      <c r="Q9" s="1204"/>
      <c r="R9" s="1338"/>
      <c r="S9" s="1336"/>
      <c r="T9" s="1395"/>
      <c r="U9" s="170"/>
      <c r="V9" s="818"/>
      <c r="W9" s="848"/>
      <c r="X9" s="818"/>
      <c r="Y9" s="848"/>
      <c r="Z9" s="818"/>
      <c r="AA9" s="818"/>
      <c r="AB9" s="818"/>
      <c r="AC9" s="818"/>
      <c r="AD9" s="1151"/>
      <c r="AE9" s="1331"/>
      <c r="AF9" s="1163"/>
      <c r="AG9" s="1393"/>
      <c r="AH9" s="1093"/>
      <c r="AI9" s="1331"/>
      <c r="AJ9" s="1163"/>
      <c r="AK9" s="1392"/>
      <c r="AL9" s="1093"/>
      <c r="AM9" s="1143"/>
      <c r="AN9" s="1163"/>
      <c r="AO9" s="1397"/>
      <c r="AP9" s="1399"/>
      <c r="AQ9" s="186"/>
      <c r="AR9" s="50"/>
      <c r="AS9" s="50" t="s">
        <v>1694</v>
      </c>
      <c r="AT9" s="818"/>
      <c r="AU9" s="848"/>
      <c r="AV9" s="818"/>
      <c r="AW9" s="848"/>
      <c r="AX9" s="818"/>
      <c r="AY9" s="818"/>
      <c r="AZ9" s="818"/>
      <c r="BA9" s="818"/>
      <c r="BB9" s="822"/>
      <c r="BC9" s="1308"/>
      <c r="BE9" s="66"/>
      <c r="BF9" s="66"/>
      <c r="BG9" s="66"/>
      <c r="BH9" s="66"/>
    </row>
    <row r="10" spans="1:60" ht="11.25" hidden="1" customHeight="1">
      <c r="A10" s="798"/>
      <c r="B10" s="798"/>
      <c r="C10" s="798"/>
      <c r="D10" s="798"/>
      <c r="E10" s="1286"/>
      <c r="F10" s="1286"/>
      <c r="G10" s="1286"/>
      <c r="H10" s="1286"/>
      <c r="I10" s="1288"/>
      <c r="J10" s="1288"/>
      <c r="K10" s="1287"/>
      <c r="L10" s="799"/>
      <c r="P10" s="1204"/>
      <c r="Q10" s="1204"/>
      <c r="R10" s="1338"/>
      <c r="S10" s="1336"/>
      <c r="T10" s="1395"/>
      <c r="U10" s="170"/>
      <c r="V10" s="818"/>
      <c r="W10" s="848"/>
      <c r="X10" s="818"/>
      <c r="Y10" s="848"/>
      <c r="Z10" s="818"/>
      <c r="AA10" s="818"/>
      <c r="AB10" s="818"/>
      <c r="AC10" s="818"/>
      <c r="AD10" s="1151"/>
      <c r="AE10" s="1331"/>
      <c r="AF10" s="1163"/>
      <c r="AG10" s="1393"/>
      <c r="AH10" s="1093"/>
      <c r="AI10" s="1331"/>
      <c r="AJ10" s="1163"/>
      <c r="AK10" s="1392"/>
      <c r="AL10" s="1093"/>
      <c r="AM10" s="186"/>
      <c r="AN10" s="852"/>
      <c r="AO10" s="852" t="s">
        <v>1695</v>
      </c>
      <c r="AP10" s="50"/>
      <c r="AQ10" s="50"/>
      <c r="AR10" s="50"/>
      <c r="AS10" s="818"/>
      <c r="AT10" s="818"/>
      <c r="AU10" s="848"/>
      <c r="AV10" s="818"/>
      <c r="AW10" s="848"/>
      <c r="AX10" s="818"/>
      <c r="AY10" s="818"/>
      <c r="AZ10" s="818"/>
      <c r="BA10" s="818"/>
      <c r="BB10" s="822"/>
      <c r="BC10" s="1308"/>
      <c r="BE10" s="66"/>
      <c r="BF10" s="66"/>
      <c r="BG10" s="66"/>
      <c r="BH10" s="66"/>
    </row>
    <row r="11" spans="1:60" ht="11.25" hidden="1" customHeight="1">
      <c r="A11" s="798"/>
      <c r="B11" s="798"/>
      <c r="C11" s="798"/>
      <c r="D11" s="798"/>
      <c r="E11" s="1286"/>
      <c r="F11" s="1286"/>
      <c r="G11" s="1286"/>
      <c r="H11" s="1286"/>
      <c r="I11" s="1288"/>
      <c r="J11" s="1288"/>
      <c r="K11" s="1287"/>
      <c r="L11" s="799"/>
      <c r="P11" s="1204"/>
      <c r="Q11" s="1204"/>
      <c r="R11" s="1338"/>
      <c r="S11" s="1336"/>
      <c r="T11" s="1395"/>
      <c r="U11" s="170"/>
      <c r="V11" s="818"/>
      <c r="W11" s="848"/>
      <c r="X11" s="818"/>
      <c r="Y11" s="848"/>
      <c r="Z11" s="818"/>
      <c r="AA11" s="818"/>
      <c r="AB11" s="818"/>
      <c r="AC11" s="818"/>
      <c r="AD11" s="1151"/>
      <c r="AE11" s="1331"/>
      <c r="AF11" s="1163"/>
      <c r="AG11" s="1393"/>
      <c r="AH11" s="1093"/>
      <c r="AI11" s="168"/>
      <c r="AJ11" s="107"/>
      <c r="AK11" s="183" t="s">
        <v>1696</v>
      </c>
      <c r="AL11" s="818"/>
      <c r="AM11" s="818"/>
      <c r="AN11" s="818"/>
      <c r="AO11" s="818"/>
      <c r="AP11" s="818"/>
      <c r="AQ11" s="818"/>
      <c r="AR11" s="818"/>
      <c r="AS11" s="818"/>
      <c r="AT11" s="818"/>
      <c r="AU11" s="848"/>
      <c r="AV11" s="818"/>
      <c r="AW11" s="848"/>
      <c r="AX11" s="818"/>
      <c r="AY11" s="818"/>
      <c r="AZ11" s="818"/>
      <c r="BA11" s="818"/>
      <c r="BB11" s="822"/>
      <c r="BC11" s="1308"/>
      <c r="BE11" s="66"/>
      <c r="BF11" s="66"/>
      <c r="BG11" s="66"/>
      <c r="BH11" s="66"/>
    </row>
    <row r="12" spans="1:60" ht="11.25" hidden="1" customHeight="1">
      <c r="A12" s="798"/>
      <c r="B12" s="798"/>
      <c r="C12" s="798"/>
      <c r="D12" s="798"/>
      <c r="E12" s="1286"/>
      <c r="F12" s="1286"/>
      <c r="G12" s="1286"/>
      <c r="H12" s="1286"/>
      <c r="I12" s="1288"/>
      <c r="J12" s="1288"/>
      <c r="K12" s="1287"/>
      <c r="L12" s="799"/>
      <c r="P12" s="1204"/>
      <c r="Q12" s="1204"/>
      <c r="R12" s="1338"/>
      <c r="S12" s="1337"/>
      <c r="T12" s="1396"/>
      <c r="U12" s="170"/>
      <c r="V12" s="818"/>
      <c r="W12" s="819" t="str">
        <f>Z8&amp;"-"&amp;AB8</f>
        <v>-</v>
      </c>
      <c r="X12" s="818"/>
      <c r="Y12" s="819" t="str">
        <f>AB8&amp;"-"&amp;AD8</f>
        <v>-да</v>
      </c>
      <c r="Z12" s="818"/>
      <c r="AA12" s="818"/>
      <c r="AB12" s="818"/>
      <c r="AC12" s="818"/>
      <c r="AD12" s="1098"/>
      <c r="AE12" s="182"/>
      <c r="AF12" s="184"/>
      <c r="AG12" s="50" t="s">
        <v>1697</v>
      </c>
      <c r="AH12" s="818"/>
      <c r="AI12" s="818"/>
      <c r="AJ12" s="818"/>
      <c r="AK12" s="818"/>
      <c r="AL12" s="818"/>
      <c r="AM12" s="818"/>
      <c r="AN12" s="818"/>
      <c r="AO12" s="818"/>
      <c r="AP12" s="818"/>
      <c r="AQ12" s="818"/>
      <c r="AR12" s="818"/>
      <c r="AS12" s="818"/>
      <c r="AT12" s="818"/>
      <c r="AU12" s="819" t="str">
        <f>AX8&amp;"-"&amp;AZ8</f>
        <v>-</v>
      </c>
      <c r="AV12" s="818"/>
      <c r="AW12" s="819" t="str">
        <f>AZ8&amp;"-"&amp;BB8</f>
        <v>-</v>
      </c>
      <c r="AX12" s="818"/>
      <c r="AY12" s="818"/>
      <c r="AZ12" s="818"/>
      <c r="BA12" s="818"/>
      <c r="BB12" s="821" t="str">
        <f>BE8&amp;"-"&amp;BG8</f>
        <v>-</v>
      </c>
      <c r="BC12" s="1308"/>
      <c r="BE12" s="66"/>
      <c r="BF12" s="66" t="str">
        <f t="shared" ref="BF12:BF18" si="1">IF(T12="","",T12)</f>
        <v/>
      </c>
      <c r="BG12" s="66"/>
      <c r="BH12" s="66"/>
    </row>
    <row r="13" spans="1:60" ht="11.25" hidden="1" customHeight="1">
      <c r="A13" s="798"/>
      <c r="B13" s="798"/>
      <c r="C13" s="798"/>
      <c r="D13" s="798"/>
      <c r="E13" s="1286"/>
      <c r="F13" s="1286"/>
      <c r="G13" s="1286"/>
      <c r="H13" s="1286"/>
      <c r="I13" s="1288"/>
      <c r="J13" s="1287"/>
      <c r="K13" s="798"/>
      <c r="L13" s="799"/>
      <c r="P13" s="1204"/>
      <c r="Q13" s="1204"/>
      <c r="R13" s="214"/>
      <c r="S13" s="772"/>
      <c r="T13" s="165" t="s">
        <v>538</v>
      </c>
      <c r="U13" s="221"/>
      <c r="V13" s="221"/>
      <c r="W13" s="221"/>
      <c r="X13" s="221"/>
      <c r="Y13" s="221"/>
      <c r="Z13" s="221"/>
      <c r="AA13" s="221"/>
      <c r="AB13" s="221"/>
      <c r="AC13" s="221"/>
      <c r="AD13" s="856"/>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309"/>
      <c r="BE13" s="66"/>
      <c r="BF13" s="66" t="str">
        <f t="shared" si="1"/>
        <v>Добавить строку</v>
      </c>
      <c r="BG13" s="66"/>
      <c r="BH13" s="66"/>
    </row>
    <row r="14" spans="1:60" s="65" customFormat="1" ht="14.25" hidden="1" customHeight="1">
      <c r="A14" s="142"/>
      <c r="B14" s="142"/>
      <c r="C14" s="142"/>
      <c r="D14" s="142"/>
      <c r="E14" s="1286"/>
      <c r="F14" s="1286"/>
      <c r="G14" s="1286"/>
      <c r="H14" s="1286"/>
      <c r="I14" s="1287"/>
      <c r="J14" s="142"/>
      <c r="K14" s="142"/>
      <c r="L14" s="357"/>
      <c r="M14" s="228"/>
      <c r="N14" s="228"/>
      <c r="O14" s="228"/>
      <c r="P14" s="1204"/>
      <c r="Q14" s="119"/>
      <c r="R14" s="214"/>
      <c r="S14" s="811"/>
      <c r="T14" s="812"/>
      <c r="U14" s="813"/>
      <c r="V14" s="813"/>
      <c r="W14" s="813"/>
      <c r="X14" s="813"/>
      <c r="Y14" s="813"/>
      <c r="Z14" s="813"/>
      <c r="AA14" s="813"/>
      <c r="AB14" s="813"/>
      <c r="AC14" s="813"/>
      <c r="AD14" s="813"/>
      <c r="AE14" s="813"/>
      <c r="AF14" s="813"/>
      <c r="AG14" s="813"/>
      <c r="AH14" s="813"/>
      <c r="AI14" s="813"/>
      <c r="AJ14" s="813"/>
      <c r="AK14" s="813"/>
      <c r="AL14" s="813"/>
      <c r="AM14" s="813"/>
      <c r="AN14" s="813"/>
      <c r="AO14" s="813"/>
      <c r="AP14" s="813"/>
      <c r="AQ14" s="813"/>
      <c r="AR14" s="813"/>
      <c r="AS14" s="813"/>
      <c r="AT14" s="813"/>
      <c r="AU14" s="813"/>
      <c r="AV14" s="813"/>
      <c r="AW14" s="813"/>
      <c r="AX14" s="813"/>
      <c r="AY14" s="813"/>
      <c r="AZ14" s="813"/>
      <c r="BA14" s="813"/>
      <c r="BB14" s="813"/>
      <c r="BC14" s="814"/>
      <c r="BE14" s="66"/>
      <c r="BF14" s="66" t="str">
        <f t="shared" si="1"/>
        <v/>
      </c>
      <c r="BG14" s="66"/>
      <c r="BH14" s="66"/>
    </row>
    <row r="15" spans="1:60" s="65" customFormat="1" ht="14.25" hidden="1" customHeight="1">
      <c r="A15" s="142"/>
      <c r="B15" s="142"/>
      <c r="C15" s="142"/>
      <c r="D15" s="142"/>
      <c r="E15" s="1286"/>
      <c r="F15" s="1286"/>
      <c r="G15" s="1286"/>
      <c r="H15" s="1285"/>
      <c r="I15" s="142"/>
      <c r="J15" s="142"/>
      <c r="K15" s="142"/>
      <c r="L15" s="357"/>
      <c r="M15" s="304"/>
      <c r="N15" s="304"/>
      <c r="P15" s="101"/>
      <c r="Q15" s="785"/>
      <c r="R15" s="825"/>
      <c r="S15" s="811"/>
      <c r="T15" s="812"/>
      <c r="U15" s="813"/>
      <c r="V15" s="813"/>
      <c r="W15" s="813"/>
      <c r="X15" s="813"/>
      <c r="Y15" s="813"/>
      <c r="Z15" s="813"/>
      <c r="AA15" s="813"/>
      <c r="AB15" s="813"/>
      <c r="AC15" s="813"/>
      <c r="AD15" s="813"/>
      <c r="AE15" s="813"/>
      <c r="AF15" s="813"/>
      <c r="AG15" s="813"/>
      <c r="AH15" s="813"/>
      <c r="AI15" s="813"/>
      <c r="AJ15" s="813"/>
      <c r="AK15" s="813"/>
      <c r="AL15" s="813"/>
      <c r="AM15" s="813"/>
      <c r="AN15" s="813"/>
      <c r="AO15" s="813"/>
      <c r="AP15" s="813"/>
      <c r="AQ15" s="813"/>
      <c r="AR15" s="813"/>
      <c r="AS15" s="813"/>
      <c r="AT15" s="813"/>
      <c r="AU15" s="813"/>
      <c r="AV15" s="813"/>
      <c r="AW15" s="813"/>
      <c r="AX15" s="813"/>
      <c r="AY15" s="813"/>
      <c r="AZ15" s="813"/>
      <c r="BA15" s="813"/>
      <c r="BB15" s="813"/>
      <c r="BC15" s="814"/>
      <c r="BE15" s="66"/>
      <c r="BF15" s="66" t="str">
        <f t="shared" si="1"/>
        <v/>
      </c>
      <c r="BG15" s="66"/>
      <c r="BH15" s="66"/>
    </row>
    <row r="16" spans="1:60" s="65" customFormat="1" ht="14.25" hidden="1" customHeight="1">
      <c r="A16" s="142"/>
      <c r="B16" s="142"/>
      <c r="C16" s="142"/>
      <c r="D16" s="142"/>
      <c r="E16" s="1286"/>
      <c r="F16" s="1286"/>
      <c r="G16" s="1285"/>
      <c r="H16" s="142"/>
      <c r="I16" s="142"/>
      <c r="J16" s="142"/>
      <c r="K16" s="142"/>
      <c r="L16" s="357"/>
      <c r="M16" s="304"/>
      <c r="N16" s="304"/>
      <c r="P16" s="101"/>
      <c r="Q16" s="785"/>
      <c r="R16" s="101"/>
      <c r="S16" s="790"/>
      <c r="T16" s="792"/>
      <c r="U16" s="324"/>
      <c r="V16" s="324"/>
      <c r="W16" s="324"/>
      <c r="X16" s="324"/>
      <c r="Y16" s="324"/>
      <c r="Z16" s="324"/>
      <c r="AA16" s="324"/>
      <c r="AB16" s="324"/>
      <c r="AC16" s="324"/>
      <c r="AD16" s="324"/>
      <c r="AE16" s="324"/>
      <c r="AF16" s="324"/>
      <c r="AG16" s="324"/>
      <c r="AH16" s="324"/>
      <c r="AI16" s="324"/>
      <c r="AJ16" s="324"/>
      <c r="AK16" s="324"/>
      <c r="AL16" s="324"/>
      <c r="AM16" s="324"/>
      <c r="AN16" s="324"/>
      <c r="AO16" s="324"/>
      <c r="AP16" s="324"/>
      <c r="AQ16" s="324"/>
      <c r="AR16" s="324"/>
      <c r="AS16" s="324"/>
      <c r="AT16" s="324"/>
      <c r="AU16" s="324"/>
      <c r="AV16" s="324"/>
      <c r="AW16" s="324"/>
      <c r="AX16" s="324"/>
      <c r="AY16" s="324"/>
      <c r="AZ16" s="324"/>
      <c r="BA16" s="324"/>
      <c r="BB16" s="324"/>
      <c r="BC16" s="324"/>
      <c r="BE16" s="66"/>
      <c r="BF16" s="66" t="str">
        <f t="shared" si="1"/>
        <v/>
      </c>
      <c r="BG16" s="66"/>
      <c r="BH16" s="66"/>
    </row>
    <row r="17" spans="1:60" s="65" customFormat="1" ht="14.25" hidden="1" customHeight="1">
      <c r="A17" s="142"/>
      <c r="B17" s="142"/>
      <c r="C17" s="142"/>
      <c r="D17" s="142"/>
      <c r="E17" s="1286"/>
      <c r="F17" s="1285"/>
      <c r="G17" s="142"/>
      <c r="H17" s="142"/>
      <c r="I17" s="142"/>
      <c r="J17" s="142"/>
      <c r="K17" s="142"/>
      <c r="L17" s="357"/>
      <c r="M17" s="789"/>
      <c r="N17" s="789"/>
      <c r="P17" s="101"/>
      <c r="Q17" s="785"/>
      <c r="R17" s="101"/>
      <c r="S17" s="790"/>
      <c r="T17" s="792" t="s">
        <v>432</v>
      </c>
      <c r="U17" s="324"/>
      <c r="V17" s="324"/>
      <c r="W17" s="324"/>
      <c r="X17" s="324"/>
      <c r="Y17" s="324"/>
      <c r="Z17" s="324"/>
      <c r="AA17" s="324"/>
      <c r="AB17" s="324"/>
      <c r="AC17" s="324"/>
      <c r="AD17" s="324"/>
      <c r="AE17" s="324"/>
      <c r="AF17" s="324"/>
      <c r="AG17" s="324"/>
      <c r="AH17" s="324"/>
      <c r="AI17" s="324"/>
      <c r="AJ17" s="324"/>
      <c r="AK17" s="324"/>
      <c r="AL17" s="324"/>
      <c r="AM17" s="324"/>
      <c r="AN17" s="324"/>
      <c r="AO17" s="324"/>
      <c r="AP17" s="324"/>
      <c r="AQ17" s="324"/>
      <c r="AR17" s="324"/>
      <c r="AS17" s="324"/>
      <c r="AT17" s="324"/>
      <c r="AU17" s="324"/>
      <c r="AV17" s="324"/>
      <c r="AW17" s="324"/>
      <c r="AX17" s="324"/>
      <c r="AY17" s="324"/>
      <c r="AZ17" s="324"/>
      <c r="BA17" s="324"/>
      <c r="BB17" s="324"/>
      <c r="BC17" s="324"/>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85"/>
      <c r="F18" s="142"/>
      <c r="G18" s="142"/>
      <c r="H18" s="142"/>
      <c r="I18" s="142"/>
      <c r="J18" s="142"/>
      <c r="K18" s="142"/>
      <c r="L18" s="357"/>
      <c r="M18" s="789"/>
      <c r="N18" s="789"/>
      <c r="P18" s="101"/>
      <c r="Q18" s="785"/>
      <c r="R18" s="101"/>
      <c r="S18" s="790"/>
      <c r="T18" s="792" t="s">
        <v>433</v>
      </c>
      <c r="U18" s="324"/>
      <c r="V18" s="324"/>
      <c r="W18" s="324"/>
      <c r="X18" s="324"/>
      <c r="Y18" s="324"/>
      <c r="Z18" s="324"/>
      <c r="AA18" s="324"/>
      <c r="AB18" s="324"/>
      <c r="AC18" s="324"/>
      <c r="AD18" s="324"/>
      <c r="AE18" s="324"/>
      <c r="AF18" s="324"/>
      <c r="AG18" s="324"/>
      <c r="AH18" s="324"/>
      <c r="AI18" s="324"/>
      <c r="AJ18" s="324"/>
      <c r="AK18" s="324"/>
      <c r="AL18" s="324"/>
      <c r="AM18" s="324"/>
      <c r="AN18" s="324"/>
      <c r="AO18" s="324"/>
      <c r="AP18" s="324"/>
      <c r="AQ18" s="324"/>
      <c r="AR18" s="324"/>
      <c r="AS18" s="324"/>
      <c r="AT18" s="324"/>
      <c r="AU18" s="324"/>
      <c r="AV18" s="324"/>
      <c r="AW18" s="324"/>
      <c r="AX18" s="324"/>
      <c r="AY18" s="324"/>
      <c r="AZ18" s="324"/>
      <c r="BA18" s="324"/>
      <c r="BB18" s="324"/>
      <c r="BC18" s="324"/>
      <c r="BE18" s="66"/>
      <c r="BF18" s="66" t="str">
        <f t="shared" si="1"/>
        <v>Добавить территорию для дифференциации</v>
      </c>
      <c r="BG18" s="66"/>
      <c r="BH18" s="66"/>
    </row>
    <row r="19" spans="1:60" ht="14.25" hidden="1" customHeight="1"/>
    <row r="20" spans="1:60" ht="14.25" hidden="1" customHeight="1">
      <c r="AD20" s="324" t="s">
        <v>57</v>
      </c>
      <c r="AE20" s="853"/>
      <c r="AF20" s="324">
        <v>1</v>
      </c>
      <c r="AG20" s="854"/>
      <c r="AH20" s="324" t="s">
        <v>57</v>
      </c>
      <c r="AI20" s="853"/>
      <c r="AJ20" s="324">
        <v>1</v>
      </c>
      <c r="AK20" s="854"/>
      <c r="AL20" s="324" t="s">
        <v>57</v>
      </c>
      <c r="AM20" s="855"/>
      <c r="AN20" s="324">
        <v>1</v>
      </c>
      <c r="AO20" s="124"/>
      <c r="AP20" s="324" t="s">
        <v>57</v>
      </c>
      <c r="AQ20" s="855"/>
      <c r="AR20" s="324">
        <v>1</v>
      </c>
      <c r="AS20" s="124"/>
      <c r="AT20" s="196"/>
      <c r="AU20" s="231"/>
      <c r="AV20" s="196"/>
      <c r="AW20" s="231"/>
      <c r="AX20" s="981"/>
      <c r="AY20" s="845" t="s">
        <v>59</v>
      </c>
      <c r="AZ20" s="981"/>
      <c r="BA20" s="845" t="s">
        <v>59</v>
      </c>
    </row>
    <row r="21" spans="1:60" ht="14.25" hidden="1" customHeight="1">
      <c r="BD21" s="209"/>
      <c r="BE21" s="209"/>
      <c r="BF21" s="209"/>
      <c r="BG21" s="209"/>
      <c r="BH21" s="209"/>
    </row>
    <row r="22" spans="1:60" ht="14.25" hidden="1" customHeight="1">
      <c r="O22" s="800" t="s">
        <v>475</v>
      </c>
      <c r="Z22" s="185"/>
      <c r="AB22" s="185"/>
      <c r="AX22" s="185"/>
      <c r="AZ22" s="185"/>
      <c r="BD22" s="209"/>
      <c r="BE22" s="209"/>
      <c r="BF22" s="209"/>
      <c r="BG22" s="209"/>
      <c r="BH22" s="209"/>
    </row>
    <row r="23" spans="1:60" ht="14.25" hidden="1" customHeight="1">
      <c r="BD23" s="209"/>
      <c r="BE23" s="209"/>
      <c r="BF23" s="209"/>
      <c r="BG23" s="209"/>
      <c r="BH23" s="209"/>
    </row>
    <row r="24" spans="1:60" s="858" customFormat="1" ht="14.25" hidden="1" customHeight="1">
      <c r="M24" s="859"/>
      <c r="N24" s="859"/>
      <c r="O24" s="858" t="s">
        <v>476</v>
      </c>
      <c r="P24" s="859"/>
      <c r="Q24" s="860"/>
      <c r="R24" s="860"/>
      <c r="AA24" s="858" t="s">
        <v>478</v>
      </c>
      <c r="AC24" s="858" t="s">
        <v>479</v>
      </c>
      <c r="AD24" s="858" t="s">
        <v>539</v>
      </c>
      <c r="AH24" s="858" t="s">
        <v>539</v>
      </c>
      <c r="AK24" s="858" t="s">
        <v>1698</v>
      </c>
      <c r="AL24" s="858" t="s">
        <v>539</v>
      </c>
      <c r="AP24" s="858" t="s">
        <v>539</v>
      </c>
      <c r="AY24" s="858" t="s">
        <v>478</v>
      </c>
      <c r="BA24" s="858" t="s">
        <v>479</v>
      </c>
      <c r="BD24" s="861"/>
      <c r="BE24" s="861"/>
      <c r="BF24" s="861"/>
      <c r="BG24" s="861"/>
      <c r="BH24" s="861"/>
    </row>
    <row r="25" spans="1:60" ht="14.25" hidden="1" customHeight="1">
      <c r="O25" s="799"/>
      <c r="BD25" s="209"/>
      <c r="BE25" s="209"/>
      <c r="BF25" s="209"/>
      <c r="BG25" s="209"/>
      <c r="BH25" s="209"/>
    </row>
    <row r="26" spans="1:60" ht="14.25" hidden="1" customHeight="1">
      <c r="O26" s="799"/>
      <c r="BD26" s="209"/>
      <c r="BE26" s="209"/>
      <c r="BF26" s="209"/>
      <c r="BG26" s="209"/>
      <c r="BH26" s="209"/>
    </row>
    <row r="27" spans="1:60" ht="14.25" customHeight="1">
      <c r="Q27" s="167"/>
      <c r="R27" s="27"/>
      <c r="S27" s="769"/>
      <c r="T27" s="8"/>
      <c r="U27" s="8"/>
    </row>
    <row r="28" spans="1:60" ht="33.75" customHeight="1">
      <c r="Q28" s="167"/>
      <c r="R28" s="27"/>
      <c r="S28" s="1310"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1310"/>
      <c r="U28" s="1310"/>
      <c r="V28" s="1310"/>
      <c r="W28" s="1310"/>
      <c r="X28" s="1310"/>
      <c r="Y28" s="1310"/>
      <c r="Z28" s="1310"/>
      <c r="AA28" s="1310"/>
      <c r="AB28" s="1310"/>
      <c r="AC28" s="1310"/>
      <c r="AD28" s="1310"/>
      <c r="AE28" s="1310"/>
      <c r="AF28" s="1310"/>
      <c r="AG28" s="1310"/>
      <c r="AH28" s="1310"/>
      <c r="AI28" s="1310"/>
      <c r="AJ28" s="1310"/>
      <c r="AK28" s="1310"/>
      <c r="AL28" s="1310"/>
      <c r="AM28" s="1310"/>
      <c r="AN28" s="1310"/>
      <c r="AO28" s="1310"/>
      <c r="AP28" s="1310"/>
      <c r="AQ28" s="1310"/>
      <c r="AR28" s="1310"/>
      <c r="AS28" s="1310"/>
      <c r="AT28" s="1310"/>
      <c r="AU28" s="1310"/>
      <c r="AV28" s="1310"/>
      <c r="AW28" s="1310"/>
      <c r="AX28" s="1310"/>
      <c r="AY28" s="1310"/>
      <c r="AZ28" s="1310"/>
      <c r="BA28" s="57"/>
    </row>
    <row r="29" spans="1:60" ht="14.25" customHeight="1">
      <c r="Q29" s="167"/>
      <c r="R29" s="27"/>
      <c r="S29" s="1170" t="str">
        <f>IF(org=0,"Не определено",org)</f>
        <v>ИМУП «ПОСЖИЛКОМСЕРВИС»</v>
      </c>
      <c r="T29" s="1170"/>
      <c r="U29" s="1170"/>
      <c r="V29" s="1170"/>
      <c r="W29" s="1170"/>
      <c r="X29" s="1170"/>
      <c r="Y29" s="1170"/>
      <c r="Z29" s="1170"/>
      <c r="AA29" s="1170"/>
      <c r="AB29" s="1170"/>
      <c r="AC29" s="1170"/>
      <c r="AD29" s="1170"/>
      <c r="AE29" s="1170"/>
      <c r="AF29" s="1170"/>
      <c r="AG29" s="1170"/>
      <c r="AH29" s="1170"/>
      <c r="AI29" s="1170"/>
      <c r="AJ29" s="1170"/>
      <c r="AK29" s="1170"/>
      <c r="AL29" s="1170"/>
      <c r="AM29" s="1170"/>
      <c r="AN29" s="1170"/>
      <c r="AO29" s="1170"/>
      <c r="AP29" s="1170"/>
      <c r="AQ29" s="1170"/>
      <c r="AR29" s="1170"/>
      <c r="AS29" s="1170"/>
      <c r="AT29" s="1170"/>
      <c r="AU29" s="1170"/>
      <c r="AV29" s="1170"/>
      <c r="AW29" s="1170"/>
      <c r="AX29" s="1170"/>
      <c r="AY29" s="1170"/>
      <c r="AZ29" s="1170"/>
      <c r="BA29" s="57"/>
    </row>
    <row r="30" spans="1:60" ht="14.25" hidden="1" customHeight="1">
      <c r="Q30" s="167"/>
      <c r="R30" s="27"/>
      <c r="S30" s="769"/>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9"/>
      <c r="M31" s="79"/>
      <c r="N31" s="79"/>
      <c r="O31" s="79"/>
      <c r="P31" s="79"/>
      <c r="Q31" s="79"/>
      <c r="S31" s="1276" t="s">
        <v>40</v>
      </c>
      <c r="T31" s="1276"/>
      <c r="U31" s="802"/>
      <c r="V31" s="1278"/>
      <c r="W31" s="1278"/>
      <c r="X31" s="1278"/>
      <c r="Y31" s="1278"/>
      <c r="Z31" s="1278"/>
      <c r="AA31" s="1278"/>
      <c r="AB31" s="1278"/>
      <c r="AC31" s="9"/>
      <c r="AD31" s="1278" t="str">
        <f>IF(TITLE_NAME_OR_PR_CHANGE="",IF(TITLE_NAME_OR_PR="","",TITLE_NAME_OR_PR),TITLE_NAME_OR_PR_CHANGE)</f>
        <v/>
      </c>
      <c r="AE31" s="1278"/>
      <c r="AF31" s="1278"/>
      <c r="AG31" s="1278"/>
      <c r="AH31" s="1278"/>
      <c r="AI31" s="1278"/>
      <c r="AJ31" s="1278"/>
      <c r="AK31" s="1278"/>
      <c r="AL31" s="1278"/>
      <c r="AM31" s="1278"/>
      <c r="AN31" s="1278"/>
      <c r="AO31" s="1278"/>
      <c r="AP31" s="1278"/>
      <c r="AQ31" s="1278"/>
      <c r="AR31" s="1278"/>
      <c r="AS31" s="1278"/>
      <c r="AT31" s="1278"/>
      <c r="AU31" s="1278"/>
      <c r="AV31" s="1278"/>
      <c r="AW31" s="1278"/>
      <c r="AX31" s="1278"/>
      <c r="AY31" s="1278"/>
      <c r="AZ31" s="1278"/>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9"/>
      <c r="M32" s="79"/>
      <c r="N32" s="79"/>
      <c r="O32" s="79"/>
      <c r="P32" s="79"/>
      <c r="Q32" s="79"/>
      <c r="S32" s="1276" t="s">
        <v>481</v>
      </c>
      <c r="T32" s="1276"/>
      <c r="U32" s="802"/>
      <c r="V32" s="1277"/>
      <c r="W32" s="1277"/>
      <c r="X32" s="1277"/>
      <c r="Y32" s="1277"/>
      <c r="Z32" s="1277"/>
      <c r="AA32" s="1277"/>
      <c r="AB32" s="1277"/>
      <c r="AC32" s="9"/>
      <c r="AD32" s="1277" t="str">
        <f>IF(TITLE_DATE_CHANGE_PERIOD="",IF(TITLE_DATE_PR="","",TITLE_DATE_PR),TITLE_DATE_CHANGE_PERIOD)</f>
        <v/>
      </c>
      <c r="AE32" s="1277"/>
      <c r="AF32" s="1277"/>
      <c r="AG32" s="1277"/>
      <c r="AH32" s="1277"/>
      <c r="AI32" s="1277"/>
      <c r="AJ32" s="1277"/>
      <c r="AK32" s="1277"/>
      <c r="AL32" s="1277"/>
      <c r="AM32" s="1277"/>
      <c r="AN32" s="1277"/>
      <c r="AO32" s="1277"/>
      <c r="AP32" s="1277"/>
      <c r="AQ32" s="1277"/>
      <c r="AR32" s="1277"/>
      <c r="AS32" s="1277"/>
      <c r="AT32" s="1277"/>
      <c r="AU32" s="1277"/>
      <c r="AV32" s="1277"/>
      <c r="AW32" s="1277"/>
      <c r="AX32" s="1277"/>
      <c r="AY32" s="1277"/>
      <c r="AZ32" s="1277"/>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9"/>
      <c r="M33" s="79"/>
      <c r="N33" s="79"/>
      <c r="O33" s="79"/>
      <c r="P33" s="79"/>
      <c r="Q33" s="79"/>
      <c r="S33" s="1276" t="s">
        <v>482</v>
      </c>
      <c r="T33" s="1276"/>
      <c r="U33" s="802"/>
      <c r="V33" s="1278"/>
      <c r="W33" s="1278"/>
      <c r="X33" s="1278"/>
      <c r="Y33" s="1278"/>
      <c r="Z33" s="1278"/>
      <c r="AA33" s="1278"/>
      <c r="AB33" s="1278"/>
      <c r="AC33" s="9"/>
      <c r="AD33" s="1278" t="str">
        <f>IF(TITLE_NUMBER_PR_CHANGE="",IF(TITLE_NUMBER_PR="","",TITLE_NUMBER_PR),TITLE_NUMBER_PR_CHANGE)</f>
        <v/>
      </c>
      <c r="AE33" s="1278"/>
      <c r="AF33" s="1278"/>
      <c r="AG33" s="1278"/>
      <c r="AH33" s="1278"/>
      <c r="AI33" s="1278"/>
      <c r="AJ33" s="1278"/>
      <c r="AK33" s="1278"/>
      <c r="AL33" s="1278"/>
      <c r="AM33" s="1278"/>
      <c r="AN33" s="1278"/>
      <c r="AO33" s="1278"/>
      <c r="AP33" s="1278"/>
      <c r="AQ33" s="1278"/>
      <c r="AR33" s="1278"/>
      <c r="AS33" s="1278"/>
      <c r="AT33" s="1278"/>
      <c r="AU33" s="1278"/>
      <c r="AV33" s="1278"/>
      <c r="AW33" s="1278"/>
      <c r="AX33" s="1278"/>
      <c r="AY33" s="1278"/>
      <c r="AZ33" s="1278"/>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9"/>
      <c r="M34" s="79"/>
      <c r="N34" s="79"/>
      <c r="O34" s="79"/>
      <c r="P34" s="79"/>
      <c r="Q34" s="79"/>
      <c r="S34" s="1276" t="s">
        <v>41</v>
      </c>
      <c r="T34" s="1276"/>
      <c r="U34" s="802"/>
      <c r="V34" s="1278"/>
      <c r="W34" s="1278"/>
      <c r="X34" s="1278"/>
      <c r="Y34" s="1278"/>
      <c r="Z34" s="1278"/>
      <c r="AA34" s="1278"/>
      <c r="AB34" s="1278"/>
      <c r="AC34" s="9"/>
      <c r="AD34" s="1278" t="str">
        <f>IF(TITLE_IST_PUB_CHANGE="",IF(TITLE_IST_PUB="","",TITLE_IST_PUB),TITLE_IST_PUB_CHANGE)</f>
        <v/>
      </c>
      <c r="AE34" s="1278"/>
      <c r="AF34" s="1278"/>
      <c r="AG34" s="1278"/>
      <c r="AH34" s="1278"/>
      <c r="AI34" s="1278"/>
      <c r="AJ34" s="1278"/>
      <c r="AK34" s="1278"/>
      <c r="AL34" s="1278"/>
      <c r="AM34" s="1278"/>
      <c r="AN34" s="1278"/>
      <c r="AO34" s="1278"/>
      <c r="AP34" s="1278"/>
      <c r="AQ34" s="1278"/>
      <c r="AR34" s="1278"/>
      <c r="AS34" s="1278"/>
      <c r="AT34" s="1278"/>
      <c r="AU34" s="1278"/>
      <c r="AV34" s="1278"/>
      <c r="AW34" s="1278"/>
      <c r="AX34" s="1278"/>
      <c r="AY34" s="1278"/>
      <c r="AZ34" s="1278"/>
      <c r="BA34" s="9"/>
      <c r="BB34" s="9"/>
      <c r="BC34" s="162"/>
      <c r="BD34" s="66"/>
      <c r="BE34" s="66"/>
      <c r="BF34" s="66"/>
      <c r="BG34" s="66"/>
      <c r="BH34" s="66"/>
    </row>
    <row r="35" spans="1:60" ht="14.25" hidden="1" customHeight="1">
      <c r="Q35" s="167"/>
      <c r="R35" s="27"/>
      <c r="S35" s="769"/>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9"/>
      <c r="M36" s="79"/>
      <c r="N36" s="79"/>
      <c r="O36" s="79"/>
      <c r="P36" s="79"/>
      <c r="Q36" s="79"/>
      <c r="S36" s="1276" t="s">
        <v>481</v>
      </c>
      <c r="T36" s="1276"/>
      <c r="U36" s="802"/>
      <c r="V36" s="1277"/>
      <c r="W36" s="1277"/>
      <c r="X36" s="1277"/>
      <c r="Y36" s="1277"/>
      <c r="Z36" s="1277"/>
      <c r="AA36" s="1277"/>
      <c r="AB36" s="1277"/>
      <c r="AC36" s="9"/>
      <c r="AD36" s="1277" t="str">
        <f>IF(TITLE_DATE_CHANGE_PERIOD="",IF(TITLE_DATE_PR="","",TITLE_DATE_PR),TITLE_DATE_CHANGE_PERIOD)</f>
        <v/>
      </c>
      <c r="AE36" s="1277"/>
      <c r="AF36" s="1277"/>
      <c r="AG36" s="1277"/>
      <c r="AH36" s="1277"/>
      <c r="AI36" s="1277"/>
      <c r="AJ36" s="1277"/>
      <c r="AK36" s="1277"/>
      <c r="AL36" s="1277"/>
      <c r="AM36" s="1277"/>
      <c r="AN36" s="1277"/>
      <c r="AO36" s="1277"/>
      <c r="AP36" s="1277"/>
      <c r="AQ36" s="1277"/>
      <c r="AR36" s="1277"/>
      <c r="AS36" s="1277"/>
      <c r="AT36" s="1277"/>
      <c r="AU36" s="1277"/>
      <c r="AV36" s="1277"/>
      <c r="AW36" s="1277"/>
      <c r="AX36" s="1277"/>
      <c r="AY36" s="1277"/>
      <c r="AZ36" s="1277"/>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9"/>
      <c r="M37" s="79"/>
      <c r="N37" s="79"/>
      <c r="O37" s="79"/>
      <c r="P37" s="79"/>
      <c r="Q37" s="79"/>
      <c r="S37" s="1276" t="s">
        <v>482</v>
      </c>
      <c r="T37" s="1276"/>
      <c r="U37" s="802"/>
      <c r="V37" s="1278"/>
      <c r="W37" s="1278"/>
      <c r="X37" s="1278"/>
      <c r="Y37" s="1278"/>
      <c r="Z37" s="1278"/>
      <c r="AA37" s="1278"/>
      <c r="AB37" s="1278"/>
      <c r="AC37" s="9"/>
      <c r="AD37" s="1278" t="str">
        <f>IF(TITLE_NUMBER_PR_CHANGE="",IF(TITLE_NUMBER_PR="","",TITLE_NUMBER_PR),TITLE_NUMBER_PR_CHANGE)</f>
        <v/>
      </c>
      <c r="AE37" s="1278"/>
      <c r="AF37" s="1278"/>
      <c r="AG37" s="1278"/>
      <c r="AH37" s="1278"/>
      <c r="AI37" s="1278"/>
      <c r="AJ37" s="1278"/>
      <c r="AK37" s="1278"/>
      <c r="AL37" s="1278"/>
      <c r="AM37" s="1278"/>
      <c r="AN37" s="1278"/>
      <c r="AO37" s="1278"/>
      <c r="AP37" s="1278"/>
      <c r="AQ37" s="1278"/>
      <c r="AR37" s="1278"/>
      <c r="AS37" s="1278"/>
      <c r="AT37" s="1278"/>
      <c r="AU37" s="1278"/>
      <c r="AV37" s="1278"/>
      <c r="AW37" s="1278"/>
      <c r="AX37" s="1278"/>
      <c r="AY37" s="1278"/>
      <c r="AZ37" s="1278"/>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9"/>
      <c r="M38" s="79"/>
      <c r="N38" s="79"/>
      <c r="O38" s="79"/>
      <c r="P38" s="79"/>
      <c r="Q38" s="79"/>
      <c r="S38" s="9"/>
      <c r="T38" s="9"/>
      <c r="U38" s="75"/>
      <c r="V38" s="9"/>
      <c r="W38" s="9"/>
      <c r="X38" s="9"/>
      <c r="Y38" s="9"/>
      <c r="Z38" s="9"/>
      <c r="AA38" s="9"/>
      <c r="AB38" s="9"/>
      <c r="AC38" s="65" t="s">
        <v>485</v>
      </c>
      <c r="AD38" s="9"/>
      <c r="AE38" s="9"/>
      <c r="AF38" s="9"/>
      <c r="AG38" s="9"/>
      <c r="AH38" s="9"/>
      <c r="AI38" s="9"/>
      <c r="AJ38" s="9"/>
      <c r="AK38" s="9"/>
      <c r="AL38" s="9"/>
      <c r="AM38" s="9"/>
      <c r="AN38" s="9"/>
      <c r="AO38" s="9"/>
      <c r="AP38" s="9"/>
      <c r="AQ38" s="9"/>
      <c r="AR38" s="9"/>
      <c r="AS38" s="9"/>
      <c r="AT38" s="9"/>
      <c r="AU38" s="9"/>
      <c r="AV38" s="9"/>
      <c r="AW38" s="9"/>
      <c r="AX38" s="9"/>
      <c r="AY38" s="9"/>
      <c r="AZ38" s="9"/>
      <c r="BA38" s="65" t="s">
        <v>485</v>
      </c>
      <c r="BD38" s="66"/>
      <c r="BE38" s="66"/>
      <c r="BF38" s="66"/>
      <c r="BG38" s="66"/>
      <c r="BH38" s="66"/>
    </row>
    <row r="39" spans="1:60" ht="14.25" customHeight="1">
      <c r="Q39" s="167"/>
      <c r="R39" s="27"/>
      <c r="S39" s="769"/>
      <c r="T39" s="8"/>
      <c r="U39" s="741"/>
      <c r="V39" s="1296"/>
      <c r="W39" s="1296"/>
      <c r="X39" s="1296"/>
      <c r="Y39" s="1296"/>
      <c r="Z39" s="1296"/>
      <c r="AA39" s="1296"/>
      <c r="AB39" s="1296"/>
      <c r="AC39" s="1296"/>
      <c r="AD39" s="1296"/>
      <c r="AE39" s="1296"/>
      <c r="AF39" s="1296"/>
      <c r="AG39" s="1296"/>
      <c r="AH39" s="1296"/>
      <c r="AI39" s="1296"/>
      <c r="AJ39" s="1296"/>
      <c r="AK39" s="1296"/>
      <c r="AL39" s="1296"/>
      <c r="AM39" s="1296"/>
      <c r="AN39" s="1296"/>
      <c r="AO39" s="1296"/>
      <c r="AP39" s="1296"/>
      <c r="AQ39" s="1296"/>
      <c r="AR39" s="1296"/>
      <c r="AS39" s="1296"/>
      <c r="AT39" s="1296"/>
      <c r="AU39" s="1296"/>
      <c r="AV39" s="1296"/>
      <c r="AW39" s="1296"/>
      <c r="AX39" s="1296"/>
      <c r="AY39" s="1296"/>
      <c r="AZ39" s="1296"/>
      <c r="BA39" s="1296"/>
    </row>
    <row r="40" spans="1:60" ht="14.25" customHeight="1">
      <c r="Q40" s="167"/>
      <c r="R40" s="27"/>
      <c r="S40" s="1083" t="s">
        <v>288</v>
      </c>
      <c r="T40" s="1083"/>
      <c r="U40" s="1083"/>
      <c r="V40" s="1083"/>
      <c r="W40" s="1083"/>
      <c r="X40" s="1083"/>
      <c r="Y40" s="1083"/>
      <c r="Z40" s="1083"/>
      <c r="AA40" s="1083"/>
      <c r="AB40" s="1083"/>
      <c r="AC40" s="1083"/>
      <c r="AD40" s="1083"/>
      <c r="AE40" s="1083"/>
      <c r="AF40" s="1083"/>
      <c r="AG40" s="1083"/>
      <c r="AH40" s="1083"/>
      <c r="AI40" s="1083"/>
      <c r="AJ40" s="1083"/>
      <c r="AK40" s="1083"/>
      <c r="AL40" s="1083"/>
      <c r="AM40" s="1083"/>
      <c r="AN40" s="1083"/>
      <c r="AO40" s="1083"/>
      <c r="AP40" s="1083"/>
      <c r="AQ40" s="1083"/>
      <c r="AR40" s="1083"/>
      <c r="AS40" s="1083"/>
      <c r="AT40" s="1083"/>
      <c r="AU40" s="1083"/>
      <c r="AV40" s="1083"/>
      <c r="AW40" s="1083"/>
      <c r="AX40" s="1083"/>
      <c r="AY40" s="1083"/>
      <c r="AZ40" s="1083"/>
      <c r="BA40" s="1083"/>
      <c r="BB40" s="1083"/>
      <c r="BC40" s="1083" t="s">
        <v>289</v>
      </c>
    </row>
    <row r="41" spans="1:60" ht="14.25" customHeight="1">
      <c r="Q41" s="167"/>
      <c r="R41" s="27"/>
      <c r="S41" s="1297" t="s">
        <v>88</v>
      </c>
      <c r="T41" s="1168" t="s">
        <v>1699</v>
      </c>
      <c r="U41" s="171"/>
      <c r="V41" s="1298" t="s">
        <v>487</v>
      </c>
      <c r="W41" s="1299"/>
      <c r="X41" s="1299"/>
      <c r="Y41" s="1299"/>
      <c r="Z41" s="1299"/>
      <c r="AA41" s="1299"/>
      <c r="AB41" s="1300"/>
      <c r="AC41" s="1301" t="s">
        <v>488</v>
      </c>
      <c r="AD41" s="1324" t="s">
        <v>1700</v>
      </c>
      <c r="AE41" s="1313"/>
      <c r="AF41" s="1313"/>
      <c r="AG41" s="1325"/>
      <c r="AH41" s="1324" t="s">
        <v>1701</v>
      </c>
      <c r="AI41" s="1313"/>
      <c r="AJ41" s="1313"/>
      <c r="AK41" s="1325"/>
      <c r="AL41" s="1324" t="s">
        <v>1702</v>
      </c>
      <c r="AM41" s="1313"/>
      <c r="AN41" s="1313"/>
      <c r="AO41" s="1325"/>
      <c r="AP41" s="1324" t="s">
        <v>1703</v>
      </c>
      <c r="AQ41" s="1313"/>
      <c r="AR41" s="1313"/>
      <c r="AS41" s="1325"/>
      <c r="AT41" s="1298" t="s">
        <v>487</v>
      </c>
      <c r="AU41" s="1299"/>
      <c r="AV41" s="1299"/>
      <c r="AW41" s="1299"/>
      <c r="AX41" s="1299"/>
      <c r="AY41" s="1299"/>
      <c r="AZ41" s="1300"/>
      <c r="BA41" s="1301" t="s">
        <v>488</v>
      </c>
      <c r="BB41" s="1304" t="s">
        <v>490</v>
      </c>
      <c r="BC41" s="1083"/>
    </row>
    <row r="42" spans="1:60" ht="33.75" customHeight="1">
      <c r="Q42" s="167"/>
      <c r="R42" s="27"/>
      <c r="S42" s="1297"/>
      <c r="T42" s="1168"/>
      <c r="U42" s="626"/>
      <c r="V42" s="1138" t="s">
        <v>1704</v>
      </c>
      <c r="W42" s="1139"/>
      <c r="X42" s="1138" t="s">
        <v>1705</v>
      </c>
      <c r="Y42" s="1139"/>
      <c r="Z42" s="1138" t="s">
        <v>1706</v>
      </c>
      <c r="AA42" s="1318"/>
      <c r="AB42" s="1139"/>
      <c r="AC42" s="1302"/>
      <c r="AD42" s="1326"/>
      <c r="AE42" s="1327"/>
      <c r="AF42" s="1327"/>
      <c r="AG42" s="1339"/>
      <c r="AH42" s="1326"/>
      <c r="AI42" s="1327"/>
      <c r="AJ42" s="1327"/>
      <c r="AK42" s="1339"/>
      <c r="AL42" s="1326"/>
      <c r="AM42" s="1327"/>
      <c r="AN42" s="1327"/>
      <c r="AO42" s="1339"/>
      <c r="AP42" s="1326"/>
      <c r="AQ42" s="1327"/>
      <c r="AR42" s="1327"/>
      <c r="AS42" s="1339"/>
      <c r="AT42" s="1138" t="s">
        <v>1704</v>
      </c>
      <c r="AU42" s="1139"/>
      <c r="AV42" s="1138" t="s">
        <v>1705</v>
      </c>
      <c r="AW42" s="1139"/>
      <c r="AX42" s="1138" t="s">
        <v>1706</v>
      </c>
      <c r="AY42" s="1318"/>
      <c r="AZ42" s="1139"/>
      <c r="BA42" s="1302"/>
      <c r="BB42" s="1305"/>
      <c r="BC42" s="1083"/>
    </row>
    <row r="43" spans="1:60" ht="14.25" customHeight="1">
      <c r="Q43" s="167"/>
      <c r="R43" s="27"/>
      <c r="S43" s="1297"/>
      <c r="T43" s="1168"/>
      <c r="U43" s="626"/>
      <c r="V43" s="1143"/>
      <c r="W43" s="1144"/>
      <c r="X43" s="1143"/>
      <c r="Y43" s="1144"/>
      <c r="Z43" s="1143"/>
      <c r="AA43" s="1319"/>
      <c r="AB43" s="1144"/>
      <c r="AC43" s="1302"/>
      <c r="AD43" s="1326"/>
      <c r="AE43" s="1327"/>
      <c r="AF43" s="1327"/>
      <c r="AG43" s="1339"/>
      <c r="AH43" s="1326"/>
      <c r="AI43" s="1327"/>
      <c r="AJ43" s="1327"/>
      <c r="AK43" s="1339"/>
      <c r="AL43" s="1326"/>
      <c r="AM43" s="1327"/>
      <c r="AN43" s="1327"/>
      <c r="AO43" s="1339"/>
      <c r="AP43" s="1326"/>
      <c r="AQ43" s="1327"/>
      <c r="AR43" s="1327"/>
      <c r="AS43" s="1339"/>
      <c r="AT43" s="1143"/>
      <c r="AU43" s="1144"/>
      <c r="AV43" s="1143"/>
      <c r="AW43" s="1144"/>
      <c r="AX43" s="1143"/>
      <c r="AY43" s="1319"/>
      <c r="AZ43" s="1144"/>
      <c r="BA43" s="1302"/>
      <c r="BB43" s="1305"/>
      <c r="BC43" s="1083"/>
    </row>
    <row r="44" spans="1:60" ht="14.25" customHeight="1">
      <c r="A44" s="79"/>
      <c r="B44" s="79" t="s">
        <v>137</v>
      </c>
      <c r="C44" s="79" t="s">
        <v>138</v>
      </c>
      <c r="D44" s="79" t="s">
        <v>139</v>
      </c>
      <c r="E44" s="799" t="s">
        <v>495</v>
      </c>
      <c r="F44" s="799" t="s">
        <v>496</v>
      </c>
      <c r="G44" s="799" t="s">
        <v>497</v>
      </c>
      <c r="H44" s="799" t="s">
        <v>498</v>
      </c>
      <c r="I44" s="799" t="s">
        <v>499</v>
      </c>
      <c r="J44" s="799" t="s">
        <v>500</v>
      </c>
      <c r="K44" s="799" t="s">
        <v>501</v>
      </c>
      <c r="L44" s="799" t="s">
        <v>476</v>
      </c>
      <c r="Q44" s="167"/>
      <c r="R44" s="27"/>
      <c r="S44" s="1297"/>
      <c r="T44" s="1168"/>
      <c r="U44" s="172"/>
      <c r="V44" s="34" t="s">
        <v>549</v>
      </c>
      <c r="W44" s="34" t="s">
        <v>550</v>
      </c>
      <c r="X44" s="34" t="s">
        <v>549</v>
      </c>
      <c r="Y44" s="34" t="s">
        <v>550</v>
      </c>
      <c r="Z44" s="37" t="s">
        <v>504</v>
      </c>
      <c r="AA44" s="1174" t="s">
        <v>505</v>
      </c>
      <c r="AB44" s="1188"/>
      <c r="AC44" s="1303"/>
      <c r="AD44" s="1328"/>
      <c r="AE44" s="1329"/>
      <c r="AF44" s="1329"/>
      <c r="AG44" s="1330"/>
      <c r="AH44" s="1328"/>
      <c r="AI44" s="1329"/>
      <c r="AJ44" s="1329"/>
      <c r="AK44" s="1330"/>
      <c r="AL44" s="1328"/>
      <c r="AM44" s="1329"/>
      <c r="AN44" s="1329"/>
      <c r="AO44" s="1330"/>
      <c r="AP44" s="1328"/>
      <c r="AQ44" s="1329"/>
      <c r="AR44" s="1329"/>
      <c r="AS44" s="1330"/>
      <c r="AT44" s="34" t="s">
        <v>549</v>
      </c>
      <c r="AU44" s="34" t="s">
        <v>550</v>
      </c>
      <c r="AV44" s="34" t="s">
        <v>549</v>
      </c>
      <c r="AW44" s="34" t="s">
        <v>550</v>
      </c>
      <c r="AX44" s="37" t="s">
        <v>504</v>
      </c>
      <c r="AY44" s="1174" t="s">
        <v>505</v>
      </c>
      <c r="AZ44" s="1188"/>
      <c r="BA44" s="1303"/>
      <c r="BB44" s="1306"/>
      <c r="BC44" s="1083"/>
    </row>
    <row r="45" spans="1:60" s="209" customFormat="1" ht="11.25" hidden="1" customHeight="1">
      <c r="A45" s="79"/>
      <c r="B45" s="79"/>
      <c r="C45" s="79"/>
      <c r="D45" s="79"/>
      <c r="E45" s="79"/>
      <c r="F45" s="79"/>
      <c r="G45" s="79"/>
      <c r="H45" s="79"/>
      <c r="I45" s="79"/>
      <c r="J45" s="79"/>
      <c r="K45" s="79"/>
      <c r="L45" s="799"/>
      <c r="M45" s="522"/>
      <c r="N45" s="522"/>
      <c r="O45" s="522"/>
      <c r="P45" s="228"/>
      <c r="Q45" s="752"/>
      <c r="R45" s="752">
        <v>1</v>
      </c>
      <c r="S45" s="771" t="s">
        <v>110</v>
      </c>
      <c r="T45" s="753" t="s">
        <v>111</v>
      </c>
      <c r="U45" s="742" t="str">
        <f ca="1">OFFSET(U45,0,-1)</f>
        <v>2</v>
      </c>
      <c r="V45" s="754">
        <f t="shared" ref="V45:AA45" ca="1" si="2">OFFSET(V45,0,-1)+1</f>
        <v>3</v>
      </c>
      <c r="W45" s="754">
        <f t="shared" ca="1" si="2"/>
        <v>4</v>
      </c>
      <c r="X45" s="754">
        <f t="shared" ca="1" si="2"/>
        <v>5</v>
      </c>
      <c r="Y45" s="754">
        <f t="shared" ca="1" si="2"/>
        <v>6</v>
      </c>
      <c r="Z45" s="754">
        <f t="shared" ca="1" si="2"/>
        <v>7</v>
      </c>
      <c r="AA45" s="1295">
        <f t="shared" ca="1" si="2"/>
        <v>8</v>
      </c>
      <c r="AB45" s="1295"/>
      <c r="AC45" s="754">
        <f ca="1">OFFSET(AC45,0,-2)+1</f>
        <v>9</v>
      </c>
      <c r="AD45" s="754">
        <f ca="1">OFFSET(AD45,0,-1)+1</f>
        <v>10</v>
      </c>
      <c r="AE45" s="754"/>
      <c r="AF45" s="754"/>
      <c r="AG45" s="754"/>
      <c r="AH45" s="754"/>
      <c r="AI45" s="754"/>
      <c r="AJ45" s="754"/>
      <c r="AK45" s="754"/>
      <c r="AL45" s="754"/>
      <c r="AM45" s="754"/>
      <c r="AN45" s="754"/>
      <c r="AO45" s="754"/>
      <c r="AP45" s="754"/>
      <c r="AQ45" s="754"/>
      <c r="AR45" s="754"/>
      <c r="AS45" s="754"/>
      <c r="AT45" s="754"/>
      <c r="AU45" s="754"/>
      <c r="AV45" s="754"/>
      <c r="AW45" s="754">
        <f ca="1">OFFSET(AW45,0,-1)+1</f>
        <v>1</v>
      </c>
      <c r="AX45" s="754">
        <f ca="1">OFFSET(AX45,0,-1)+1</f>
        <v>2</v>
      </c>
      <c r="AY45" s="1295">
        <f ca="1">OFFSET(AY45,0,-1)+1</f>
        <v>3</v>
      </c>
      <c r="AZ45" s="1295"/>
      <c r="BA45" s="754">
        <f ca="1">OFFSET(BA45,0,-2)+1</f>
        <v>4</v>
      </c>
      <c r="BB45" s="742">
        <f ca="1">OFFSET(BB45,0,-1)</f>
        <v>4</v>
      </c>
      <c r="BC45" s="754">
        <f ca="1">OFFSET(BC45,0,-1)+1</f>
        <v>5</v>
      </c>
      <c r="BD45" s="65"/>
      <c r="BE45" s="65"/>
      <c r="BF45" s="65"/>
      <c r="BG45" s="65"/>
      <c r="BH45" s="65"/>
    </row>
    <row r="46" spans="1:60" ht="21" customHeight="1">
      <c r="A46" s="798" t="s">
        <v>234</v>
      </c>
      <c r="B46" s="798"/>
      <c r="C46" s="798"/>
      <c r="D46" s="798"/>
      <c r="E46" s="1285">
        <v>1</v>
      </c>
      <c r="F46" s="798"/>
      <c r="G46" s="798"/>
      <c r="H46" s="798"/>
      <c r="I46" s="798"/>
      <c r="J46" s="798"/>
      <c r="K46" s="798"/>
      <c r="L46" s="799"/>
      <c r="M46" s="435"/>
      <c r="N46" s="435"/>
      <c r="O46" s="435"/>
      <c r="Q46" s="59"/>
      <c r="R46" s="213"/>
      <c r="S46" s="730">
        <f>INDEX(PT_DIFFERENTIATION_NUM_NTAR,MATCH(A46,PT_DIFFERENTIATION_NTAR_ID,0))</f>
        <v>0</v>
      </c>
      <c r="T46" s="64" t="s">
        <v>125</v>
      </c>
      <c r="U46" s="170"/>
      <c r="V46" s="1280"/>
      <c r="W46" s="1280"/>
      <c r="X46" s="1280"/>
      <c r="Y46" s="1280"/>
      <c r="Z46" s="1280"/>
      <c r="AA46" s="1280"/>
      <c r="AB46" s="1280"/>
      <c r="AC46" s="1281"/>
      <c r="AD46" s="1279" t="str">
        <f>INDEX(PT_DIFFERENTIATION_NTAR,MATCH(A46,PT_DIFFERENTIATION_NTAR_ID,0))</f>
        <v/>
      </c>
      <c r="AE46" s="1280"/>
      <c r="AF46" s="1280"/>
      <c r="AG46" s="1280"/>
      <c r="AH46" s="1280"/>
      <c r="AI46" s="1280"/>
      <c r="AJ46" s="1280"/>
      <c r="AK46" s="1280"/>
      <c r="AL46" s="1280"/>
      <c r="AM46" s="1280"/>
      <c r="AN46" s="1280"/>
      <c r="AO46" s="1280"/>
      <c r="AP46" s="1280"/>
      <c r="AQ46" s="1280"/>
      <c r="AR46" s="1280"/>
      <c r="AS46" s="1280"/>
      <c r="AT46" s="1280"/>
      <c r="AU46" s="1280"/>
      <c r="AV46" s="1280"/>
      <c r="AW46" s="1280"/>
      <c r="AX46" s="1280"/>
      <c r="AY46" s="1280"/>
      <c r="AZ46" s="1280"/>
      <c r="BA46" s="1280"/>
      <c r="BB46" s="1281"/>
      <c r="BC46"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8" t="s">
        <v>234</v>
      </c>
      <c r="B47" s="798" t="s">
        <v>235</v>
      </c>
      <c r="C47" s="798"/>
      <c r="D47" s="798"/>
      <c r="E47" s="1286"/>
      <c r="F47" s="1285">
        <v>1</v>
      </c>
      <c r="G47" s="798"/>
      <c r="H47" s="798"/>
      <c r="I47" s="798"/>
      <c r="J47" s="798"/>
      <c r="K47" s="798"/>
      <c r="L47" s="799"/>
      <c r="M47" s="435"/>
      <c r="N47" s="435"/>
      <c r="O47" s="435"/>
      <c r="P47" s="312"/>
      <c r="Q47" s="831"/>
      <c r="R47" s="211"/>
      <c r="S47" s="730" t="str">
        <f>INDEX(PT_DIFFERENTIATION_NUM_TER,MATCH(B47,PT_DIFFERENTIATION_TER_ID,0))</f>
        <v>.</v>
      </c>
      <c r="T47" s="178" t="s">
        <v>458</v>
      </c>
      <c r="U47" s="170"/>
      <c r="V47" s="1280"/>
      <c r="W47" s="1280"/>
      <c r="X47" s="1280"/>
      <c r="Y47" s="1280"/>
      <c r="Z47" s="1280"/>
      <c r="AA47" s="1280"/>
      <c r="AB47" s="1280"/>
      <c r="AC47" s="1281"/>
      <c r="AD47" s="1279" t="str">
        <f>INDEX(PT_DIFFERENTIATION_TER,MATCH(B47,PT_DIFFERENTIATION_TER_ID,0))</f>
        <v/>
      </c>
      <c r="AE47" s="1280"/>
      <c r="AF47" s="1280"/>
      <c r="AG47" s="1280"/>
      <c r="AH47" s="1280"/>
      <c r="AI47" s="1280"/>
      <c r="AJ47" s="1280"/>
      <c r="AK47" s="1280"/>
      <c r="AL47" s="1280"/>
      <c r="AM47" s="1280"/>
      <c r="AN47" s="1280"/>
      <c r="AO47" s="1280"/>
      <c r="AP47" s="1280"/>
      <c r="AQ47" s="1280"/>
      <c r="AR47" s="1280"/>
      <c r="AS47" s="1280"/>
      <c r="AT47" s="1280"/>
      <c r="AU47" s="1280"/>
      <c r="AV47" s="1280"/>
      <c r="AW47" s="1280"/>
      <c r="AX47" s="1280"/>
      <c r="AY47" s="1280"/>
      <c r="AZ47" s="1280"/>
      <c r="BA47" s="1280"/>
      <c r="BB47" s="1281"/>
      <c r="BC47" s="758" t="s">
        <v>459</v>
      </c>
      <c r="BE47" s="66"/>
      <c r="BF47" s="66" t="str">
        <f t="shared" si="3"/>
        <v>Территория действия тарифа</v>
      </c>
      <c r="BG47" s="66"/>
      <c r="BH47" s="66"/>
    </row>
    <row r="48" spans="1:60" ht="42" customHeight="1">
      <c r="A48" s="798" t="s">
        <v>234</v>
      </c>
      <c r="B48" s="798" t="s">
        <v>235</v>
      </c>
      <c r="C48" s="798" t="s">
        <v>236</v>
      </c>
      <c r="D48" s="798"/>
      <c r="E48" s="1286"/>
      <c r="F48" s="1286"/>
      <c r="G48" s="1285">
        <v>1</v>
      </c>
      <c r="H48" s="798"/>
      <c r="I48" s="798"/>
      <c r="J48" s="798"/>
      <c r="K48" s="798"/>
      <c r="L48" s="799"/>
      <c r="M48" s="435"/>
      <c r="N48" s="435"/>
      <c r="O48" s="435"/>
      <c r="P48" s="128"/>
      <c r="Q48" s="831"/>
      <c r="R48" s="211"/>
      <c r="S48" s="730" t="str">
        <f>INDEX(PT_DIFFERENTIATION_NUM_CS,MATCH(C48,PT_DIFFERENTIATION_CS_ID,0))</f>
        <v>..</v>
      </c>
      <c r="T48" s="179" t="s">
        <v>1673</v>
      </c>
      <c r="U48" s="170"/>
      <c r="V48" s="1280"/>
      <c r="W48" s="1280"/>
      <c r="X48" s="1280"/>
      <c r="Y48" s="1280"/>
      <c r="Z48" s="1280"/>
      <c r="AA48" s="1280"/>
      <c r="AB48" s="1280"/>
      <c r="AC48" s="1281"/>
      <c r="AD48" s="1279" t="str">
        <f>INDEX(PT_DIFFERENTIATION_CS,MATCH(C48,PT_DIFFERENTIATION_CS_ID,0))</f>
        <v/>
      </c>
      <c r="AE48" s="1280"/>
      <c r="AF48" s="1280"/>
      <c r="AG48" s="1280"/>
      <c r="AH48" s="1280"/>
      <c r="AI48" s="1280"/>
      <c r="AJ48" s="1280"/>
      <c r="AK48" s="1280"/>
      <c r="AL48" s="1280"/>
      <c r="AM48" s="1280"/>
      <c r="AN48" s="1280"/>
      <c r="AO48" s="1280"/>
      <c r="AP48" s="1280"/>
      <c r="AQ48" s="1280"/>
      <c r="AR48" s="1280"/>
      <c r="AS48" s="1280"/>
      <c r="AT48" s="1280"/>
      <c r="AU48" s="1280"/>
      <c r="AV48" s="1280"/>
      <c r="AW48" s="1280"/>
      <c r="AX48" s="1280"/>
      <c r="AY48" s="1280"/>
      <c r="AZ48" s="1280"/>
      <c r="BA48" s="1280"/>
      <c r="BB48" s="1281"/>
      <c r="BC48" s="758" t="s">
        <v>1674</v>
      </c>
      <c r="BE48" s="66"/>
      <c r="BF48" s="66" t="str">
        <f t="shared" si="3"/>
        <v>Наименование централизованной системы холодного водоснабжения</v>
      </c>
      <c r="BG48" s="66"/>
      <c r="BH48" s="66"/>
    </row>
    <row r="49" spans="1:60" s="65" customFormat="1" ht="0" hidden="1" customHeight="1">
      <c r="A49" s="142" t="s">
        <v>234</v>
      </c>
      <c r="B49" s="142" t="s">
        <v>235</v>
      </c>
      <c r="C49" s="142" t="s">
        <v>236</v>
      </c>
      <c r="D49" s="142" t="s">
        <v>1707</v>
      </c>
      <c r="E49" s="1286"/>
      <c r="F49" s="1286"/>
      <c r="G49" s="1286"/>
      <c r="H49" s="1285">
        <v>1</v>
      </c>
      <c r="I49" s="142"/>
      <c r="J49" s="142"/>
      <c r="K49" s="142"/>
      <c r="L49" s="357"/>
      <c r="M49" s="304"/>
      <c r="N49" s="304"/>
      <c r="O49" s="304"/>
      <c r="P49" s="849"/>
      <c r="Q49" s="850"/>
      <c r="R49" s="215"/>
      <c r="S49" s="373"/>
      <c r="T49" s="851"/>
      <c r="U49" s="809"/>
      <c r="V49" s="1315"/>
      <c r="W49" s="1315"/>
      <c r="X49" s="1315"/>
      <c r="Y49" s="1315"/>
      <c r="Z49" s="1315"/>
      <c r="AA49" s="1315"/>
      <c r="AB49" s="1315"/>
      <c r="AC49" s="1316"/>
      <c r="AD49" s="1314"/>
      <c r="AE49" s="1315"/>
      <c r="AF49" s="1315"/>
      <c r="AG49" s="1315"/>
      <c r="AH49" s="1315"/>
      <c r="AI49" s="1315"/>
      <c r="AJ49" s="1315"/>
      <c r="AK49" s="1315"/>
      <c r="AL49" s="1315"/>
      <c r="AM49" s="1315"/>
      <c r="AN49" s="1315"/>
      <c r="AO49" s="1315"/>
      <c r="AP49" s="1315"/>
      <c r="AQ49" s="1315"/>
      <c r="AR49" s="1315"/>
      <c r="AS49" s="1315"/>
      <c r="AT49" s="1315"/>
      <c r="AU49" s="1315"/>
      <c r="AV49" s="1315"/>
      <c r="AW49" s="1315"/>
      <c r="AX49" s="1315"/>
      <c r="AY49" s="1315"/>
      <c r="AZ49" s="1315"/>
      <c r="BA49" s="1315"/>
      <c r="BB49" s="1316"/>
      <c r="BC49" s="810" t="s">
        <v>463</v>
      </c>
      <c r="BE49" s="66"/>
      <c r="BF49" s="66" t="str">
        <f t="shared" si="3"/>
        <v/>
      </c>
      <c r="BG49" s="66"/>
      <c r="BH49" s="66"/>
    </row>
    <row r="50" spans="1:60" s="65" customFormat="1" ht="0" hidden="1" customHeight="1">
      <c r="A50" s="142" t="s">
        <v>234</v>
      </c>
      <c r="B50" s="142" t="s">
        <v>235</v>
      </c>
      <c r="C50" s="142" t="s">
        <v>236</v>
      </c>
      <c r="D50" s="142" t="s">
        <v>1707</v>
      </c>
      <c r="E50" s="1286"/>
      <c r="F50" s="1286"/>
      <c r="G50" s="1286"/>
      <c r="H50" s="1286"/>
      <c r="I50" s="1287" t="str">
        <f>S49&amp;".1"</f>
        <v>.1</v>
      </c>
      <c r="J50" s="142"/>
      <c r="K50" s="142"/>
      <c r="L50" s="357" t="s">
        <v>464</v>
      </c>
      <c r="M50" s="228"/>
      <c r="N50" s="228"/>
      <c r="O50" s="228"/>
      <c r="P50" s="1204">
        <v>1</v>
      </c>
      <c r="Q50" s="119"/>
      <c r="R50" s="214"/>
      <c r="S50" s="373"/>
      <c r="T50" s="808"/>
      <c r="U50" s="809"/>
      <c r="V50" s="1315"/>
      <c r="W50" s="1315"/>
      <c r="X50" s="1315"/>
      <c r="Y50" s="1315"/>
      <c r="Z50" s="1315"/>
      <c r="AA50" s="1315"/>
      <c r="AB50" s="1315"/>
      <c r="AC50" s="1316"/>
      <c r="AD50" s="1314"/>
      <c r="AE50" s="1315"/>
      <c r="AF50" s="1315"/>
      <c r="AG50" s="1315"/>
      <c r="AH50" s="1315"/>
      <c r="AI50" s="1315"/>
      <c r="AJ50" s="1315"/>
      <c r="AK50" s="1315"/>
      <c r="AL50" s="1315"/>
      <c r="AM50" s="1315"/>
      <c r="AN50" s="1315"/>
      <c r="AO50" s="1315"/>
      <c r="AP50" s="1315"/>
      <c r="AQ50" s="1315"/>
      <c r="AR50" s="1315"/>
      <c r="AS50" s="1315"/>
      <c r="AT50" s="1315"/>
      <c r="AU50" s="1315"/>
      <c r="AV50" s="1315"/>
      <c r="AW50" s="1315"/>
      <c r="AX50" s="1315"/>
      <c r="AY50" s="1315"/>
      <c r="AZ50" s="1315"/>
      <c r="BA50" s="1315"/>
      <c r="BB50" s="1316"/>
      <c r="BC50" s="810"/>
      <c r="BE50" s="66"/>
      <c r="BF50" s="66" t="str">
        <f t="shared" si="3"/>
        <v/>
      </c>
      <c r="BG50" s="66"/>
      <c r="BH50" s="66"/>
    </row>
    <row r="51" spans="1:60" s="65" customFormat="1" ht="0" hidden="1" customHeight="1">
      <c r="A51" s="142" t="s">
        <v>234</v>
      </c>
      <c r="B51" s="142" t="s">
        <v>235</v>
      </c>
      <c r="C51" s="142" t="s">
        <v>236</v>
      </c>
      <c r="D51" s="142" t="s">
        <v>1707</v>
      </c>
      <c r="E51" s="1286"/>
      <c r="F51" s="1286"/>
      <c r="G51" s="1286"/>
      <c r="H51" s="1286"/>
      <c r="I51" s="1288"/>
      <c r="J51" s="1287" t="str">
        <f>S49&amp;".1"</f>
        <v>.1</v>
      </c>
      <c r="K51" s="142"/>
      <c r="L51" s="357"/>
      <c r="M51" s="228"/>
      <c r="N51" s="228"/>
      <c r="O51" s="228"/>
      <c r="P51" s="1204"/>
      <c r="Q51" s="1204">
        <v>1</v>
      </c>
      <c r="R51" s="215"/>
      <c r="S51" s="373"/>
      <c r="T51" s="823"/>
      <c r="U51" s="809"/>
      <c r="V51" s="1315"/>
      <c r="W51" s="1315"/>
      <c r="X51" s="1315"/>
      <c r="Y51" s="1315"/>
      <c r="Z51" s="1315"/>
      <c r="AA51" s="1315"/>
      <c r="AB51" s="1315"/>
      <c r="AC51" s="1316"/>
      <c r="AD51" s="1314"/>
      <c r="AE51" s="1315"/>
      <c r="AF51" s="1315"/>
      <c r="AG51" s="1315"/>
      <c r="AH51" s="1315"/>
      <c r="AI51" s="1315"/>
      <c r="AJ51" s="1315"/>
      <c r="AK51" s="1315"/>
      <c r="AL51" s="1315"/>
      <c r="AM51" s="1315"/>
      <c r="AN51" s="1400"/>
      <c r="AO51" s="1400"/>
      <c r="AP51" s="1315"/>
      <c r="AQ51" s="1315"/>
      <c r="AR51" s="1315"/>
      <c r="AS51" s="1315"/>
      <c r="AT51" s="1315"/>
      <c r="AU51" s="1315"/>
      <c r="AV51" s="1315"/>
      <c r="AW51" s="1315"/>
      <c r="AX51" s="1315"/>
      <c r="AY51" s="1315"/>
      <c r="AZ51" s="1315"/>
      <c r="BA51" s="1315"/>
      <c r="BB51" s="1316"/>
      <c r="BC51" s="810"/>
      <c r="BE51" s="66"/>
      <c r="BF51" s="66" t="str">
        <f t="shared" si="3"/>
        <v/>
      </c>
      <c r="BG51" s="66"/>
      <c r="BH51" s="66"/>
    </row>
    <row r="52" spans="1:60" ht="11.25" customHeight="1">
      <c r="A52" s="798" t="s">
        <v>234</v>
      </c>
      <c r="B52" s="798" t="s">
        <v>235</v>
      </c>
      <c r="C52" s="798" t="s">
        <v>236</v>
      </c>
      <c r="D52" s="798" t="s">
        <v>1707</v>
      </c>
      <c r="E52" s="1286"/>
      <c r="F52" s="1286"/>
      <c r="G52" s="1286"/>
      <c r="H52" s="1286"/>
      <c r="I52" s="1288"/>
      <c r="J52" s="1288"/>
      <c r="K52" s="1287" t="str">
        <f>S48&amp;".1"</f>
        <v>...1</v>
      </c>
      <c r="L52" s="799"/>
      <c r="P52" s="1204"/>
      <c r="Q52" s="1204"/>
      <c r="R52" s="215">
        <v>1</v>
      </c>
      <c r="S52" s="1335" t="str">
        <f>$K52</f>
        <v>...1</v>
      </c>
      <c r="T52" s="1394"/>
      <c r="U52" s="170"/>
      <c r="V52" s="317"/>
      <c r="W52" s="757"/>
      <c r="X52" s="317"/>
      <c r="Y52" s="757"/>
      <c r="Z52" s="979"/>
      <c r="AA52" s="308" t="s">
        <v>59</v>
      </c>
      <c r="AB52" s="979"/>
      <c r="AC52" s="308" t="s">
        <v>59</v>
      </c>
      <c r="AD52" s="1150" t="s">
        <v>59</v>
      </c>
      <c r="AE52" s="1331"/>
      <c r="AF52" s="1163">
        <v>1</v>
      </c>
      <c r="AG52" s="1393"/>
      <c r="AH52" s="1093" t="s">
        <v>59</v>
      </c>
      <c r="AI52" s="1331"/>
      <c r="AJ52" s="1163">
        <v>1</v>
      </c>
      <c r="AK52" s="1392" t="s">
        <v>18</v>
      </c>
      <c r="AL52" s="1093" t="s">
        <v>59</v>
      </c>
      <c r="AM52" s="1138"/>
      <c r="AN52" s="1163">
        <v>1</v>
      </c>
      <c r="AO52" s="1397"/>
      <c r="AP52" s="1398" t="s">
        <v>59</v>
      </c>
      <c r="AQ52" s="181"/>
      <c r="AR52" s="280">
        <v>1</v>
      </c>
      <c r="AS52" s="116" t="s">
        <v>18</v>
      </c>
      <c r="AT52" s="317"/>
      <c r="AU52" s="757"/>
      <c r="AV52" s="317"/>
      <c r="AW52" s="757"/>
      <c r="AX52" s="979"/>
      <c r="AY52" s="308" t="s">
        <v>59</v>
      </c>
      <c r="AZ52" s="979"/>
      <c r="BA52" s="308" t="s">
        <v>59</v>
      </c>
      <c r="BB52" s="795"/>
      <c r="BC52" s="1307" t="s">
        <v>1693</v>
      </c>
      <c r="BE52" s="66"/>
      <c r="BF52" s="66" t="str">
        <f t="shared" si="3"/>
        <v/>
      </c>
      <c r="BG52" s="66"/>
      <c r="BH52" s="66"/>
    </row>
    <row r="53" spans="1:60" ht="11.25" customHeight="1">
      <c r="A53" s="798"/>
      <c r="B53" s="798"/>
      <c r="C53" s="798"/>
      <c r="D53" s="798"/>
      <c r="E53" s="1286"/>
      <c r="F53" s="1286"/>
      <c r="G53" s="1286"/>
      <c r="H53" s="1286"/>
      <c r="I53" s="1288"/>
      <c r="J53" s="1288"/>
      <c r="K53" s="1287"/>
      <c r="L53" s="799"/>
      <c r="P53" s="1204"/>
      <c r="Q53" s="1204"/>
      <c r="R53" s="215"/>
      <c r="S53" s="1336"/>
      <c r="T53" s="1395"/>
      <c r="U53" s="170"/>
      <c r="V53" s="818"/>
      <c r="W53" s="848"/>
      <c r="X53" s="818"/>
      <c r="Y53" s="848"/>
      <c r="Z53" s="818"/>
      <c r="AA53" s="818"/>
      <c r="AB53" s="818"/>
      <c r="AC53" s="818"/>
      <c r="AD53" s="1151"/>
      <c r="AE53" s="1331"/>
      <c r="AF53" s="1163"/>
      <c r="AG53" s="1393"/>
      <c r="AH53" s="1093"/>
      <c r="AI53" s="1331"/>
      <c r="AJ53" s="1163"/>
      <c r="AK53" s="1392"/>
      <c r="AL53" s="1093"/>
      <c r="AM53" s="1143"/>
      <c r="AN53" s="1163"/>
      <c r="AO53" s="1397"/>
      <c r="AP53" s="1399"/>
      <c r="AQ53" s="186"/>
      <c r="AR53" s="50"/>
      <c r="AS53" s="50" t="s">
        <v>1694</v>
      </c>
      <c r="AT53" s="818"/>
      <c r="AU53" s="848"/>
      <c r="AV53" s="818"/>
      <c r="AW53" s="848"/>
      <c r="AX53" s="818"/>
      <c r="AY53" s="818"/>
      <c r="AZ53" s="818"/>
      <c r="BA53" s="818"/>
      <c r="BB53" s="822"/>
      <c r="BC53" s="1308"/>
      <c r="BE53" s="66"/>
      <c r="BF53" s="66"/>
      <c r="BG53" s="66"/>
      <c r="BH53" s="66"/>
    </row>
    <row r="54" spans="1:60" ht="11.25" customHeight="1">
      <c r="A54" s="798" t="s">
        <v>234</v>
      </c>
      <c r="B54" s="798"/>
      <c r="C54" s="798"/>
      <c r="D54" s="798"/>
      <c r="E54" s="1286"/>
      <c r="F54" s="1286"/>
      <c r="G54" s="1286"/>
      <c r="H54" s="1286"/>
      <c r="I54" s="1288"/>
      <c r="J54" s="1288"/>
      <c r="K54" s="1287"/>
      <c r="L54" s="799"/>
      <c r="P54" s="1204"/>
      <c r="Q54" s="1204"/>
      <c r="R54" s="215"/>
      <c r="S54" s="1336"/>
      <c r="T54" s="1395"/>
      <c r="U54" s="170"/>
      <c r="V54" s="818"/>
      <c r="W54" s="848"/>
      <c r="X54" s="818"/>
      <c r="Y54" s="848"/>
      <c r="Z54" s="818"/>
      <c r="AA54" s="818"/>
      <c r="AB54" s="818"/>
      <c r="AC54" s="818"/>
      <c r="AD54" s="1151"/>
      <c r="AE54" s="1331"/>
      <c r="AF54" s="1163"/>
      <c r="AG54" s="1393"/>
      <c r="AH54" s="1093"/>
      <c r="AI54" s="1331"/>
      <c r="AJ54" s="1163"/>
      <c r="AK54" s="1392"/>
      <c r="AL54" s="1093"/>
      <c r="AM54" s="186"/>
      <c r="AN54" s="852"/>
      <c r="AO54" s="852" t="s">
        <v>1695</v>
      </c>
      <c r="AP54" s="50"/>
      <c r="AQ54" s="50"/>
      <c r="AR54" s="50"/>
      <c r="AS54" s="818"/>
      <c r="AT54" s="818"/>
      <c r="AU54" s="848"/>
      <c r="AV54" s="818"/>
      <c r="AW54" s="848"/>
      <c r="AX54" s="818"/>
      <c r="AY54" s="818"/>
      <c r="AZ54" s="818"/>
      <c r="BA54" s="818"/>
      <c r="BB54" s="822"/>
      <c r="BC54" s="1308"/>
      <c r="BE54" s="66"/>
      <c r="BF54" s="66"/>
      <c r="BG54" s="66"/>
      <c r="BH54" s="66"/>
    </row>
    <row r="55" spans="1:60" ht="11.25" customHeight="1">
      <c r="A55" s="798" t="s">
        <v>234</v>
      </c>
      <c r="B55" s="798"/>
      <c r="C55" s="798"/>
      <c r="D55" s="798"/>
      <c r="E55" s="1286"/>
      <c r="F55" s="1286"/>
      <c r="G55" s="1286"/>
      <c r="H55" s="1286"/>
      <c r="I55" s="1288"/>
      <c r="J55" s="1288"/>
      <c r="K55" s="1287"/>
      <c r="L55" s="799"/>
      <c r="P55" s="1204"/>
      <c r="Q55" s="1204"/>
      <c r="R55" s="215"/>
      <c r="S55" s="1336"/>
      <c r="T55" s="1395"/>
      <c r="U55" s="170"/>
      <c r="V55" s="818"/>
      <c r="W55" s="848"/>
      <c r="X55" s="818"/>
      <c r="Y55" s="848"/>
      <c r="Z55" s="818"/>
      <c r="AA55" s="818"/>
      <c r="AB55" s="818"/>
      <c r="AC55" s="818"/>
      <c r="AD55" s="1151"/>
      <c r="AE55" s="1331"/>
      <c r="AF55" s="1163"/>
      <c r="AG55" s="1393"/>
      <c r="AH55" s="1093"/>
      <c r="AI55" s="168"/>
      <c r="AJ55" s="107"/>
      <c r="AK55" s="183" t="s">
        <v>1696</v>
      </c>
      <c r="AL55" s="818"/>
      <c r="AM55" s="818"/>
      <c r="AN55" s="818"/>
      <c r="AO55" s="818"/>
      <c r="AP55" s="818"/>
      <c r="AQ55" s="818"/>
      <c r="AR55" s="818"/>
      <c r="AS55" s="818"/>
      <c r="AT55" s="818"/>
      <c r="AU55" s="848"/>
      <c r="AV55" s="818"/>
      <c r="AW55" s="848"/>
      <c r="AX55" s="818"/>
      <c r="AY55" s="818"/>
      <c r="AZ55" s="818"/>
      <c r="BA55" s="818"/>
      <c r="BB55" s="822"/>
      <c r="BC55" s="1308"/>
      <c r="BE55" s="66"/>
      <c r="BF55" s="66"/>
      <c r="BG55" s="66"/>
      <c r="BH55" s="66"/>
    </row>
    <row r="56" spans="1:60" ht="11.25" customHeight="1">
      <c r="A56" s="798" t="s">
        <v>234</v>
      </c>
      <c r="B56" s="798" t="s">
        <v>235</v>
      </c>
      <c r="C56" s="798" t="s">
        <v>236</v>
      </c>
      <c r="D56" s="798" t="s">
        <v>1707</v>
      </c>
      <c r="E56" s="1286"/>
      <c r="F56" s="1286"/>
      <c r="G56" s="1286"/>
      <c r="H56" s="1286"/>
      <c r="I56" s="1288"/>
      <c r="J56" s="1288"/>
      <c r="K56" s="1287"/>
      <c r="L56" s="799"/>
      <c r="P56" s="1204"/>
      <c r="Q56" s="1204"/>
      <c r="R56" s="215"/>
      <c r="S56" s="1337"/>
      <c r="T56" s="1396"/>
      <c r="U56" s="170"/>
      <c r="V56" s="818"/>
      <c r="W56" s="819" t="str">
        <f>Z52&amp;"-"&amp;AB52</f>
        <v>-</v>
      </c>
      <c r="X56" s="818"/>
      <c r="Y56" s="819" t="str">
        <f>AB52&amp;"-"&amp;AD52</f>
        <v>-да</v>
      </c>
      <c r="Z56" s="818"/>
      <c r="AA56" s="818"/>
      <c r="AB56" s="818"/>
      <c r="AC56" s="818"/>
      <c r="AD56" s="1098"/>
      <c r="AE56" s="182"/>
      <c r="AF56" s="184"/>
      <c r="AG56" s="50" t="s">
        <v>1697</v>
      </c>
      <c r="AH56" s="818"/>
      <c r="AI56" s="818"/>
      <c r="AJ56" s="818"/>
      <c r="AK56" s="818"/>
      <c r="AL56" s="818"/>
      <c r="AM56" s="818"/>
      <c r="AN56" s="818"/>
      <c r="AO56" s="818"/>
      <c r="AP56" s="818"/>
      <c r="AQ56" s="818"/>
      <c r="AR56" s="818"/>
      <c r="AS56" s="818"/>
      <c r="AT56" s="818"/>
      <c r="AU56" s="819" t="str">
        <f>AX52&amp;"-"&amp;AZ52</f>
        <v>-</v>
      </c>
      <c r="AV56" s="818"/>
      <c r="AW56" s="819" t="str">
        <f>AZ52&amp;"-"&amp;BB52</f>
        <v>-</v>
      </c>
      <c r="AX56" s="818"/>
      <c r="AY56" s="818"/>
      <c r="AZ56" s="818"/>
      <c r="BA56" s="818"/>
      <c r="BB56" s="821" t="str">
        <f>BE52&amp;"-"&amp;BG52</f>
        <v>-</v>
      </c>
      <c r="BC56" s="1308"/>
      <c r="BE56" s="66"/>
      <c r="BF56" s="66" t="str">
        <f t="shared" ref="BF56:BF63" si="4">IF(T56="","",T56)</f>
        <v/>
      </c>
      <c r="BG56" s="66"/>
      <c r="BH56" s="66"/>
    </row>
    <row r="57" spans="1:60" ht="11.25" customHeight="1">
      <c r="A57" s="798" t="s">
        <v>234</v>
      </c>
      <c r="B57" s="798" t="s">
        <v>235</v>
      </c>
      <c r="C57" s="798" t="s">
        <v>236</v>
      </c>
      <c r="D57" s="798" t="s">
        <v>1707</v>
      </c>
      <c r="E57" s="1286"/>
      <c r="F57" s="1286"/>
      <c r="G57" s="1286"/>
      <c r="H57" s="1286"/>
      <c r="I57" s="1288"/>
      <c r="J57" s="1287"/>
      <c r="K57" s="798"/>
      <c r="L57" s="799"/>
      <c r="P57" s="1204"/>
      <c r="Q57" s="1204"/>
      <c r="R57" s="214"/>
      <c r="S57" s="772"/>
      <c r="T57" s="165" t="s">
        <v>538</v>
      </c>
      <c r="U57" s="221"/>
      <c r="V57" s="221"/>
      <c r="W57" s="221"/>
      <c r="X57" s="221"/>
      <c r="Y57" s="221"/>
      <c r="Z57" s="221"/>
      <c r="AA57" s="221"/>
      <c r="AB57" s="221"/>
      <c r="AC57" s="195"/>
      <c r="AD57" s="856"/>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309"/>
      <c r="BE57" s="66"/>
      <c r="BF57" s="66" t="str">
        <f t="shared" si="4"/>
        <v>Добавить строку</v>
      </c>
      <c r="BG57" s="66"/>
      <c r="BH57" s="66"/>
    </row>
    <row r="58" spans="1:60" s="65" customFormat="1" ht="0" hidden="1" customHeight="1">
      <c r="A58" s="142" t="s">
        <v>234</v>
      </c>
      <c r="B58" s="142" t="s">
        <v>235</v>
      </c>
      <c r="C58" s="142" t="s">
        <v>236</v>
      </c>
      <c r="D58" s="142" t="s">
        <v>1707</v>
      </c>
      <c r="E58" s="1286"/>
      <c r="F58" s="1286"/>
      <c r="G58" s="1286"/>
      <c r="H58" s="1286"/>
      <c r="I58" s="1287"/>
      <c r="J58" s="142"/>
      <c r="K58" s="142"/>
      <c r="L58" s="357"/>
      <c r="M58" s="228"/>
      <c r="N58" s="228"/>
      <c r="O58" s="228"/>
      <c r="P58" s="1204"/>
      <c r="Q58" s="119"/>
      <c r="R58" s="214"/>
      <c r="S58" s="811"/>
      <c r="T58" s="812"/>
      <c r="U58" s="813"/>
      <c r="V58" s="813"/>
      <c r="W58" s="813"/>
      <c r="X58" s="813"/>
      <c r="Y58" s="813"/>
      <c r="Z58" s="813"/>
      <c r="AA58" s="813"/>
      <c r="AB58" s="813"/>
      <c r="AC58" s="813"/>
      <c r="AD58" s="813"/>
      <c r="AE58" s="813"/>
      <c r="AF58" s="813"/>
      <c r="AG58" s="813"/>
      <c r="AH58" s="813"/>
      <c r="AI58" s="813"/>
      <c r="AJ58" s="813"/>
      <c r="AK58" s="813"/>
      <c r="AL58" s="813"/>
      <c r="AM58" s="813"/>
      <c r="AN58" s="813"/>
      <c r="AO58" s="813"/>
      <c r="AP58" s="813"/>
      <c r="AQ58" s="813"/>
      <c r="AR58" s="813"/>
      <c r="AS58" s="813"/>
      <c r="AT58" s="813"/>
      <c r="AU58" s="813"/>
      <c r="AV58" s="813"/>
      <c r="AW58" s="813"/>
      <c r="AX58" s="813"/>
      <c r="AY58" s="813"/>
      <c r="AZ58" s="813"/>
      <c r="BA58" s="813"/>
      <c r="BB58" s="813"/>
      <c r="BC58" s="814"/>
      <c r="BE58" s="66"/>
      <c r="BF58" s="66" t="str">
        <f t="shared" si="4"/>
        <v/>
      </c>
      <c r="BG58" s="66"/>
      <c r="BH58" s="66"/>
    </row>
    <row r="59" spans="1:60" s="65" customFormat="1" ht="0" hidden="1" customHeight="1">
      <c r="A59" s="142" t="s">
        <v>234</v>
      </c>
      <c r="B59" s="142" t="s">
        <v>235</v>
      </c>
      <c r="C59" s="142" t="s">
        <v>236</v>
      </c>
      <c r="D59" s="142" t="s">
        <v>1707</v>
      </c>
      <c r="E59" s="1286"/>
      <c r="F59" s="1286"/>
      <c r="G59" s="1286"/>
      <c r="H59" s="1285"/>
      <c r="I59" s="142"/>
      <c r="J59" s="142"/>
      <c r="K59" s="142"/>
      <c r="L59" s="357"/>
      <c r="M59" s="304"/>
      <c r="N59" s="304"/>
      <c r="P59" s="101"/>
      <c r="Q59" s="785"/>
      <c r="R59" s="825"/>
      <c r="S59" s="811"/>
      <c r="T59" s="812"/>
      <c r="U59" s="813"/>
      <c r="V59" s="813"/>
      <c r="W59" s="813"/>
      <c r="X59" s="813"/>
      <c r="Y59" s="813"/>
      <c r="Z59" s="813"/>
      <c r="AA59" s="813"/>
      <c r="AB59" s="813"/>
      <c r="AC59" s="813"/>
      <c r="AD59" s="813"/>
      <c r="AE59" s="813"/>
      <c r="AF59" s="813"/>
      <c r="AG59" s="813"/>
      <c r="AH59" s="813"/>
      <c r="AI59" s="813"/>
      <c r="AJ59" s="813"/>
      <c r="AK59" s="813"/>
      <c r="AL59" s="813"/>
      <c r="AM59" s="813"/>
      <c r="AN59" s="813"/>
      <c r="AO59" s="813"/>
      <c r="AP59" s="813"/>
      <c r="AQ59" s="813"/>
      <c r="AR59" s="813"/>
      <c r="AS59" s="813"/>
      <c r="AT59" s="813"/>
      <c r="AU59" s="813"/>
      <c r="AV59" s="813"/>
      <c r="AW59" s="813"/>
      <c r="AX59" s="813"/>
      <c r="AY59" s="813"/>
      <c r="AZ59" s="813"/>
      <c r="BA59" s="813"/>
      <c r="BB59" s="813"/>
      <c r="BC59" s="814"/>
      <c r="BE59" s="66"/>
      <c r="BF59" s="66" t="str">
        <f t="shared" si="4"/>
        <v/>
      </c>
      <c r="BG59" s="66"/>
      <c r="BH59" s="66"/>
    </row>
    <row r="60" spans="1:60" s="65" customFormat="1" ht="0" hidden="1" customHeight="1">
      <c r="A60" s="142" t="s">
        <v>234</v>
      </c>
      <c r="B60" s="142" t="s">
        <v>235</v>
      </c>
      <c r="C60" s="142" t="s">
        <v>236</v>
      </c>
      <c r="D60" s="142"/>
      <c r="E60" s="1286"/>
      <c r="F60" s="1286"/>
      <c r="G60" s="1285"/>
      <c r="H60" s="142"/>
      <c r="I60" s="142"/>
      <c r="J60" s="142"/>
      <c r="K60" s="142"/>
      <c r="L60" s="357"/>
      <c r="M60" s="304"/>
      <c r="N60" s="304"/>
      <c r="P60" s="101"/>
      <c r="Q60" s="785"/>
      <c r="R60" s="101"/>
      <c r="S60" s="790"/>
      <c r="T60" s="792"/>
      <c r="U60" s="324"/>
      <c r="V60" s="324"/>
      <c r="W60" s="324"/>
      <c r="X60" s="324"/>
      <c r="Y60" s="324"/>
      <c r="Z60" s="324"/>
      <c r="AA60" s="324"/>
      <c r="AB60" s="324"/>
      <c r="AC60" s="324"/>
      <c r="AD60" s="324"/>
      <c r="AE60" s="324"/>
      <c r="AF60" s="324"/>
      <c r="AG60" s="324"/>
      <c r="AH60" s="324"/>
      <c r="AI60" s="324"/>
      <c r="AJ60" s="324"/>
      <c r="AK60" s="324"/>
      <c r="AL60" s="324"/>
      <c r="AM60" s="324"/>
      <c r="AN60" s="324"/>
      <c r="AO60" s="324"/>
      <c r="AP60" s="324"/>
      <c r="AQ60" s="324"/>
      <c r="AR60" s="324"/>
      <c r="AS60" s="324"/>
      <c r="AT60" s="324"/>
      <c r="AU60" s="324"/>
      <c r="AV60" s="324"/>
      <c r="AW60" s="324"/>
      <c r="AX60" s="324"/>
      <c r="AY60" s="324"/>
      <c r="AZ60" s="324"/>
      <c r="BA60" s="324"/>
      <c r="BB60" s="324"/>
      <c r="BC60" s="324"/>
      <c r="BE60" s="66"/>
      <c r="BF60" s="66" t="str">
        <f t="shared" si="4"/>
        <v/>
      </c>
      <c r="BG60" s="66"/>
      <c r="BH60" s="66"/>
    </row>
    <row r="61" spans="1:60" s="65" customFormat="1" ht="0" hidden="1" customHeight="1">
      <c r="A61" s="142" t="s">
        <v>234</v>
      </c>
      <c r="B61" s="142" t="s">
        <v>235</v>
      </c>
      <c r="C61" s="142"/>
      <c r="D61" s="142"/>
      <c r="E61" s="1286"/>
      <c r="F61" s="1285"/>
      <c r="G61" s="142"/>
      <c r="H61" s="142"/>
      <c r="I61" s="142"/>
      <c r="J61" s="142"/>
      <c r="K61" s="142"/>
      <c r="L61" s="357"/>
      <c r="M61" s="789"/>
      <c r="N61" s="789"/>
      <c r="P61" s="101"/>
      <c r="Q61" s="785"/>
      <c r="R61" s="101"/>
      <c r="S61" s="790"/>
      <c r="T61" s="792" t="s">
        <v>432</v>
      </c>
      <c r="U61" s="324"/>
      <c r="V61" s="324"/>
      <c r="W61" s="324"/>
      <c r="X61" s="324"/>
      <c r="Y61" s="324"/>
      <c r="Z61" s="324"/>
      <c r="AA61" s="324"/>
      <c r="AB61" s="324"/>
      <c r="AC61" s="324"/>
      <c r="AD61" s="324"/>
      <c r="AE61" s="324"/>
      <c r="AF61" s="324"/>
      <c r="AG61" s="324"/>
      <c r="AH61" s="324"/>
      <c r="AI61" s="324"/>
      <c r="AJ61" s="324"/>
      <c r="AK61" s="324"/>
      <c r="AL61" s="324"/>
      <c r="AM61" s="324"/>
      <c r="AN61" s="324"/>
      <c r="AO61" s="324"/>
      <c r="AP61" s="324"/>
      <c r="AQ61" s="324"/>
      <c r="AR61" s="324"/>
      <c r="AS61" s="324"/>
      <c r="AT61" s="324"/>
      <c r="AU61" s="324"/>
      <c r="AV61" s="324"/>
      <c r="AW61" s="324"/>
      <c r="AX61" s="324"/>
      <c r="AY61" s="324"/>
      <c r="AZ61" s="324"/>
      <c r="BA61" s="324"/>
      <c r="BB61" s="324"/>
      <c r="BC61" s="324"/>
      <c r="BE61" s="66"/>
      <c r="BF61" s="66" t="str">
        <f t="shared" si="4"/>
        <v>Добавить централизованную систему для дифференциации</v>
      </c>
      <c r="BG61" s="66"/>
      <c r="BH61" s="66"/>
    </row>
    <row r="62" spans="1:60" s="65" customFormat="1" ht="0" hidden="1" customHeight="1">
      <c r="A62" s="142" t="s">
        <v>234</v>
      </c>
      <c r="B62" s="142"/>
      <c r="C62" s="142"/>
      <c r="D62" s="142"/>
      <c r="E62" s="1285"/>
      <c r="F62" s="142"/>
      <c r="G62" s="142"/>
      <c r="H62" s="142"/>
      <c r="I62" s="142"/>
      <c r="J62" s="142"/>
      <c r="K62" s="142"/>
      <c r="L62" s="357"/>
      <c r="M62" s="789"/>
      <c r="N62" s="789"/>
      <c r="P62" s="101"/>
      <c r="Q62" s="785"/>
      <c r="R62" s="101"/>
      <c r="S62" s="790"/>
      <c r="T62" s="792" t="s">
        <v>433</v>
      </c>
      <c r="U62" s="324"/>
      <c r="V62" s="324"/>
      <c r="W62" s="324"/>
      <c r="X62" s="324"/>
      <c r="Y62" s="324"/>
      <c r="Z62" s="324"/>
      <c r="AA62" s="324"/>
      <c r="AB62" s="324"/>
      <c r="AC62" s="324"/>
      <c r="AD62" s="324"/>
      <c r="AE62" s="324"/>
      <c r="AF62" s="324"/>
      <c r="AG62" s="324"/>
      <c r="AH62" s="324"/>
      <c r="AI62" s="324"/>
      <c r="AJ62" s="324"/>
      <c r="AK62" s="324"/>
      <c r="AL62" s="324"/>
      <c r="AM62" s="324"/>
      <c r="AN62" s="324"/>
      <c r="AO62" s="324"/>
      <c r="AP62" s="324"/>
      <c r="AQ62" s="324"/>
      <c r="AR62" s="324"/>
      <c r="AS62" s="324"/>
      <c r="AT62" s="324"/>
      <c r="AU62" s="324"/>
      <c r="AV62" s="324"/>
      <c r="AW62" s="324"/>
      <c r="AX62" s="324"/>
      <c r="AY62" s="324"/>
      <c r="AZ62" s="324"/>
      <c r="BA62" s="324"/>
      <c r="BB62" s="324"/>
      <c r="BC62" s="324"/>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7"/>
      <c r="M63" s="789"/>
      <c r="N63" s="789"/>
      <c r="P63" s="101"/>
      <c r="Q63" s="785"/>
      <c r="R63" s="101"/>
      <c r="S63" s="790"/>
      <c r="T63" s="792" t="s">
        <v>434</v>
      </c>
      <c r="U63" s="324"/>
      <c r="V63" s="324"/>
      <c r="W63" s="324"/>
      <c r="X63" s="324"/>
      <c r="Y63" s="324"/>
      <c r="Z63" s="324"/>
      <c r="AA63" s="324"/>
      <c r="AB63" s="324"/>
      <c r="AC63" s="324"/>
      <c r="AD63" s="324"/>
      <c r="AE63" s="324"/>
      <c r="AF63" s="324"/>
      <c r="AG63" s="324"/>
      <c r="AH63" s="324"/>
      <c r="AI63" s="324"/>
      <c r="AJ63" s="324"/>
      <c r="AK63" s="324"/>
      <c r="AL63" s="324"/>
      <c r="AM63" s="324"/>
      <c r="AN63" s="324"/>
      <c r="AO63" s="324"/>
      <c r="AP63" s="324"/>
      <c r="AQ63" s="324"/>
      <c r="AR63" s="324"/>
      <c r="AS63" s="324"/>
      <c r="AT63" s="324"/>
      <c r="AU63" s="324"/>
      <c r="AV63" s="324"/>
      <c r="AW63" s="324"/>
      <c r="AX63" s="324"/>
      <c r="AY63" s="324"/>
      <c r="AZ63" s="324"/>
      <c r="BA63" s="324"/>
      <c r="BB63" s="324"/>
      <c r="BC63" s="324"/>
      <c r="BE63" s="66"/>
      <c r="BF63" s="66" t="str">
        <f t="shared" si="4"/>
        <v>Добавить наименование тарифа</v>
      </c>
      <c r="BG63" s="66"/>
      <c r="BH63" s="66"/>
    </row>
    <row r="64" spans="1:60" ht="11.25" hidden="1" customHeight="1">
      <c r="M64" s="60"/>
      <c r="N64" s="60"/>
      <c r="O64" s="60"/>
      <c r="P64" s="60"/>
      <c r="Q64" s="60"/>
      <c r="R64" s="9"/>
      <c r="S64" s="9"/>
      <c r="BD64" s="9"/>
      <c r="BE64" s="9"/>
      <c r="BF64" s="9"/>
      <c r="BG64" s="9"/>
      <c r="BH64" s="9"/>
    </row>
    <row r="65" spans="15:55" ht="18.75" hidden="1" customHeight="1">
      <c r="O65" s="60"/>
      <c r="S65" s="204" t="s">
        <v>506</v>
      </c>
      <c r="T65" s="1284" t="s">
        <v>1708</v>
      </c>
      <c r="U65" s="1284"/>
      <c r="V65" s="1284"/>
      <c r="W65" s="1284"/>
      <c r="X65" s="1284"/>
      <c r="Y65" s="1284"/>
      <c r="Z65" s="1284"/>
      <c r="AA65" s="1284"/>
      <c r="AB65" s="1284"/>
      <c r="AC65" s="1284"/>
      <c r="AD65" s="1284"/>
      <c r="AE65" s="1284"/>
      <c r="AF65" s="1284"/>
      <c r="AG65" s="1284"/>
      <c r="AH65" s="1284"/>
      <c r="AI65" s="1284"/>
      <c r="AJ65" s="1284"/>
      <c r="AK65" s="1284"/>
      <c r="AL65" s="1284"/>
      <c r="AM65" s="1284"/>
      <c r="AN65" s="1284"/>
      <c r="AO65" s="1284"/>
      <c r="AP65" s="1284"/>
      <c r="AQ65" s="1284"/>
      <c r="AR65" s="1284"/>
      <c r="AS65" s="1284"/>
      <c r="AT65" s="1284"/>
      <c r="AU65" s="1284"/>
      <c r="AV65" s="1284"/>
      <c r="AW65" s="1284"/>
      <c r="AX65" s="1284"/>
      <c r="AY65" s="1284"/>
      <c r="AZ65" s="1284"/>
      <c r="BA65" s="1284"/>
      <c r="BB65" s="1284"/>
      <c r="BC65" s="1284"/>
    </row>
    <row r="66" spans="15:55" ht="14.25" hidden="1" customHeight="1">
      <c r="O66" s="60"/>
      <c r="T66" s="383"/>
      <c r="U66" s="383"/>
      <c r="V66" s="383"/>
      <c r="W66" s="383"/>
      <c r="X66" s="383"/>
      <c r="Y66" s="383"/>
      <c r="Z66" s="383"/>
      <c r="AA66" s="383"/>
      <c r="AB66" s="383"/>
      <c r="AC66" s="383"/>
      <c r="AD66" s="383"/>
      <c r="AE66" s="383"/>
      <c r="AF66" s="383"/>
      <c r="AG66" s="383"/>
      <c r="AH66" s="383"/>
      <c r="AI66" s="383"/>
      <c r="AJ66" s="383"/>
      <c r="AK66" s="383"/>
      <c r="AL66" s="383"/>
      <c r="AM66" s="383"/>
      <c r="AN66" s="383"/>
      <c r="AO66" s="383"/>
      <c r="AP66" s="383"/>
      <c r="AQ66" s="383"/>
      <c r="AR66" s="383"/>
      <c r="AS66" s="383"/>
      <c r="AT66" s="383"/>
      <c r="AU66" s="383"/>
      <c r="AV66" s="383"/>
      <c r="AW66" s="383"/>
      <c r="AX66" s="383"/>
      <c r="AY66" s="383"/>
      <c r="AZ66" s="383"/>
      <c r="BA66" s="383"/>
      <c r="BB66" s="383"/>
      <c r="BC66" s="383"/>
    </row>
    <row r="67" spans="15:55" ht="18.75" hidden="1" customHeight="1">
      <c r="O67" s="60"/>
      <c r="S67" s="204" t="s">
        <v>506</v>
      </c>
      <c r="T67" s="1284" t="s">
        <v>1709</v>
      </c>
      <c r="U67" s="1284"/>
      <c r="V67" s="1284"/>
      <c r="W67" s="1284"/>
      <c r="X67" s="1284"/>
      <c r="Y67" s="1284"/>
      <c r="Z67" s="1284"/>
      <c r="AA67" s="1284"/>
      <c r="AB67" s="1284"/>
      <c r="AC67" s="1284"/>
      <c r="AD67" s="1284"/>
      <c r="AE67" s="1284"/>
      <c r="AF67" s="1284"/>
      <c r="AG67" s="1284"/>
      <c r="AH67" s="1284"/>
      <c r="AI67" s="1284"/>
      <c r="AJ67" s="1284"/>
      <c r="AK67" s="1284"/>
      <c r="AL67" s="1284"/>
      <c r="AM67" s="1284"/>
      <c r="AN67" s="1284"/>
      <c r="AO67" s="1284"/>
      <c r="AP67" s="1284"/>
      <c r="AQ67" s="1284"/>
      <c r="AR67" s="1284"/>
      <c r="AS67" s="1284"/>
      <c r="AT67" s="1284"/>
      <c r="AU67" s="1284"/>
      <c r="AV67" s="1284"/>
      <c r="AW67" s="1284"/>
      <c r="AX67" s="1284"/>
      <c r="AY67" s="1284"/>
      <c r="AZ67" s="1284"/>
      <c r="BA67" s="1284"/>
      <c r="BB67" s="1284"/>
      <c r="BC67" s="1284"/>
    </row>
    <row r="68" spans="15:55" ht="14.25" customHeight="1">
      <c r="O68" s="60"/>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26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26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26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26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26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26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26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26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2600-000008000000}">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6E1806-F418-7B05-00E3-84CFA90FF2A4}">
  <sheetPr>
    <tabColor theme="9" tint="-0.249977111117893"/>
  </sheetPr>
  <dimension ref="A1:AE302"/>
  <sheetViews>
    <sheetView showGridLines="0" topLeftCell="D20" zoomScale="90" workbookViewId="0"/>
  </sheetViews>
  <sheetFormatPr defaultColWidth="9.140625" defaultRowHeight="11.25" customHeight="1"/>
  <cols>
    <col min="1" max="1" width="10.7109375" style="591" hidden="1" customWidth="1"/>
    <col min="2" max="2" width="16.85546875" style="60" hidden="1" customWidth="1"/>
    <col min="3" max="3" width="5.5703125" style="65" hidden="1" customWidth="1"/>
    <col min="4" max="4" width="3.7109375" style="9" customWidth="1"/>
    <col min="5" max="5" width="7.7109375" style="9" customWidth="1"/>
    <col min="6" max="6" width="54.57031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20"/>
    <col min="22" max="26" width="9.140625" style="60"/>
    <col min="27" max="31" width="9.140625" style="6"/>
  </cols>
  <sheetData>
    <row r="1" spans="1:31" ht="11.25" hidden="1" customHeight="1"/>
    <row r="2" spans="1:31" ht="23.25" hidden="1" customHeight="1">
      <c r="B2" s="1068"/>
      <c r="C2" s="324" t="s">
        <v>1710</v>
      </c>
      <c r="D2" s="53"/>
      <c r="E2" s="322">
        <f>B2</f>
        <v>0</v>
      </c>
      <c r="F2" s="323"/>
      <c r="G2" s="39" t="s">
        <v>426</v>
      </c>
      <c r="H2" s="39" t="s">
        <v>426</v>
      </c>
      <c r="I2" s="39" t="s">
        <v>426</v>
      </c>
      <c r="J2" s="64" t="s">
        <v>1711</v>
      </c>
      <c r="K2" s="319"/>
    </row>
    <row r="3" spans="1:31" s="65" customFormat="1" ht="0.75" hidden="1" customHeight="1">
      <c r="B3" s="1068"/>
      <c r="C3" s="324"/>
      <c r="D3" s="324"/>
      <c r="E3" s="325"/>
      <c r="F3" s="326" t="s">
        <v>1712</v>
      </c>
      <c r="G3" s="327"/>
      <c r="H3" s="327">
        <f>H4*H5+H7</f>
        <v>0</v>
      </c>
      <c r="I3" s="327">
        <f>I4*I5+I6</f>
        <v>0</v>
      </c>
      <c r="J3" s="328"/>
    </row>
    <row r="4" spans="1:31" ht="23.25" hidden="1" customHeight="1">
      <c r="B4" s="1068"/>
      <c r="C4" s="324"/>
      <c r="D4" s="53"/>
      <c r="E4" s="322" t="str">
        <f>B2&amp;".1"</f>
        <v>.1</v>
      </c>
      <c r="F4" s="329" t="s">
        <v>1713</v>
      </c>
      <c r="G4" s="330"/>
      <c r="H4" s="317"/>
      <c r="I4" s="317"/>
      <c r="J4" s="64" t="s">
        <v>1714</v>
      </c>
      <c r="K4" s="319"/>
    </row>
    <row r="5" spans="1:31" ht="18.75" hidden="1" customHeight="1">
      <c r="B5" s="1068"/>
      <c r="C5" s="324"/>
      <c r="D5" s="53"/>
      <c r="E5" s="322" t="str">
        <f>B2&amp;".2"</f>
        <v>.2</v>
      </c>
      <c r="F5" s="329" t="s">
        <v>1715</v>
      </c>
      <c r="G5" s="39" t="s">
        <v>1716</v>
      </c>
      <c r="H5" s="317"/>
      <c r="I5" s="317"/>
      <c r="J5" s="64"/>
      <c r="K5" s="319"/>
    </row>
    <row r="6" spans="1:31" ht="18.75" hidden="1" customHeight="1">
      <c r="B6" s="1068"/>
      <c r="C6" s="324"/>
      <c r="D6" s="53"/>
      <c r="E6" s="322" t="str">
        <f>B2&amp;".3"</f>
        <v>.3</v>
      </c>
      <c r="F6" s="329" t="s">
        <v>1717</v>
      </c>
      <c r="G6" s="39" t="s">
        <v>1716</v>
      </c>
      <c r="H6" s="317"/>
      <c r="I6" s="317"/>
      <c r="J6" s="64"/>
      <c r="K6" s="319"/>
    </row>
    <row r="7" spans="1:31" ht="18.75" hidden="1" customHeight="1">
      <c r="B7" s="1068"/>
      <c r="C7" s="324"/>
      <c r="D7" s="53"/>
      <c r="E7" s="322" t="str">
        <f>B2&amp;".4"</f>
        <v>.4</v>
      </c>
      <c r="F7" s="329" t="s">
        <v>1718</v>
      </c>
      <c r="G7" s="39" t="s">
        <v>426</v>
      </c>
      <c r="H7" s="331"/>
      <c r="I7" s="331"/>
      <c r="J7" s="64"/>
      <c r="K7" s="319"/>
    </row>
    <row r="8" spans="1:31" s="60" customFormat="1" ht="11.25" hidden="1" customHeight="1">
      <c r="A8" s="591"/>
      <c r="C8" s="65"/>
      <c r="H8" s="60">
        <v>4</v>
      </c>
      <c r="I8" s="60">
        <v>4</v>
      </c>
      <c r="L8" s="65"/>
      <c r="M8" s="65"/>
      <c r="R8" s="65"/>
    </row>
    <row r="9" spans="1:31" s="60" customFormat="1" ht="22.5" hidden="1" customHeight="1">
      <c r="A9" s="591"/>
      <c r="C9" s="65"/>
      <c r="D9" s="315"/>
      <c r="E9" s="39"/>
      <c r="F9" s="316"/>
      <c r="G9" s="39" t="s">
        <v>1716</v>
      </c>
      <c r="H9" s="317"/>
      <c r="I9" s="317"/>
      <c r="J9" s="318" t="s">
        <v>1719</v>
      </c>
      <c r="K9" s="319"/>
      <c r="L9" s="65"/>
      <c r="M9" s="65"/>
      <c r="R9" s="65"/>
      <c r="U9" s="320"/>
      <c r="AA9" s="6"/>
      <c r="AB9" s="6"/>
      <c r="AC9" s="6"/>
      <c r="AD9" s="6"/>
      <c r="AE9" s="6"/>
    </row>
    <row r="10" spans="1:31" ht="11.25" hidden="1" customHeight="1"/>
    <row r="11" spans="1:31" ht="18.75" hidden="1" customHeight="1">
      <c r="D11" s="53"/>
      <c r="E11" s="322"/>
      <c r="F11" s="316"/>
      <c r="G11" s="39" t="s">
        <v>629</v>
      </c>
      <c r="H11" s="317"/>
      <c r="I11" s="317"/>
      <c r="J11" s="64" t="s">
        <v>1720</v>
      </c>
      <c r="K11" s="319"/>
    </row>
    <row r="12" spans="1:31" ht="11.25" hidden="1" customHeight="1"/>
    <row r="13" spans="1:31" ht="22.5" hidden="1" customHeight="1">
      <c r="D13" s="53"/>
      <c r="E13" s="322"/>
      <c r="F13" s="316"/>
      <c r="G13" s="405" t="s">
        <v>1629</v>
      </c>
      <c r="H13" s="321"/>
      <c r="I13" s="321"/>
      <c r="J13" s="442" t="s">
        <v>1721</v>
      </c>
      <c r="K13" s="319"/>
    </row>
    <row r="14" spans="1:31" ht="11.25" hidden="1" customHeight="1"/>
    <row r="15" spans="1:31" ht="22.5" hidden="1" customHeight="1">
      <c r="D15" s="53"/>
      <c r="E15" s="322"/>
      <c r="F15" s="316"/>
      <c r="G15" s="39" t="s">
        <v>1722</v>
      </c>
      <c r="H15" s="321"/>
      <c r="I15" s="321"/>
      <c r="J15" s="64" t="s">
        <v>1723</v>
      </c>
      <c r="K15" s="319"/>
    </row>
    <row r="16" spans="1:31" ht="11.25" hidden="1" customHeight="1"/>
    <row r="17" spans="1:26" ht="22.5" hidden="1" customHeight="1">
      <c r="D17" s="53"/>
      <c r="E17" s="322"/>
      <c r="F17" s="316"/>
      <c r="G17" s="39" t="s">
        <v>1724</v>
      </c>
      <c r="H17" s="321"/>
      <c r="I17" s="321"/>
      <c r="J17" s="64" t="s">
        <v>1725</v>
      </c>
      <c r="K17" s="319"/>
    </row>
    <row r="18" spans="1:26" ht="11.25" hidden="1" customHeight="1"/>
    <row r="19" spans="1:26" s="6" customFormat="1" ht="11.25" hidden="1" customHeight="1">
      <c r="A19" s="591"/>
      <c r="B19" s="60"/>
      <c r="C19" s="65"/>
      <c r="J19" s="6">
        <v>4</v>
      </c>
      <c r="K19" s="60"/>
      <c r="L19" s="65"/>
      <c r="M19" s="65"/>
      <c r="N19" s="60"/>
      <c r="O19" s="60"/>
      <c r="P19" s="60"/>
      <c r="Q19" s="60"/>
      <c r="R19" s="65"/>
      <c r="S19" s="60"/>
      <c r="T19" s="60"/>
      <c r="U19" s="320"/>
      <c r="V19" s="60"/>
      <c r="W19" s="60"/>
      <c r="X19" s="60"/>
      <c r="Y19" s="60"/>
      <c r="Z19" s="60"/>
    </row>
    <row r="21" spans="1:26" ht="24" customHeight="1">
      <c r="E21" s="1076"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1077"/>
      <c r="G21" s="1077"/>
      <c r="H21" s="1077"/>
      <c r="I21" s="1078"/>
      <c r="J21" s="57"/>
    </row>
    <row r="22" spans="1:26" ht="24" customHeight="1">
      <c r="E22" s="1183" t="str">
        <f>IF(org=0,"Не определено",org)</f>
        <v>ИМУП «ПОСЖИЛКОМСЕРВИС»</v>
      </c>
      <c r="F22" s="1184"/>
      <c r="G22" s="1184"/>
      <c r="H22" s="1184"/>
      <c r="I22" s="1185"/>
    </row>
    <row r="23" spans="1:26" ht="11.25" customHeight="1">
      <c r="E23" s="686"/>
      <c r="F23" s="686"/>
      <c r="G23" s="686"/>
      <c r="H23" s="686"/>
      <c r="I23" s="686"/>
    </row>
    <row r="24" spans="1:26" s="65" customFormat="1" ht="0.75" customHeight="1">
      <c r="A24" s="324"/>
      <c r="H24" s="531"/>
      <c r="I24" s="531" t="s">
        <v>118</v>
      </c>
    </row>
    <row r="25" spans="1:26" ht="11.25" customHeight="1">
      <c r="E25" s="418"/>
      <c r="F25" s="1373" t="s">
        <v>106</v>
      </c>
      <c r="G25" s="1374"/>
      <c r="H25" s="894" t="str">
        <f>IF(H24="","",INDEX(DIFFERENTIATION_UNMERGE_VD,MATCH(H24,DIFFERENTIATION_ID_DIFF,0)))</f>
        <v/>
      </c>
      <c r="I25" s="894" t="str">
        <f>IF(I24="","",INDEX(DIFFERENTIATION_UNMERGE_VD,MATCH(I24,DIFFERENTIATION_ID_DIFF,0)))</f>
        <v>Холодное водоснабжение. Питьевая вода</v>
      </c>
      <c r="J25" s="1083"/>
    </row>
    <row r="26" spans="1:26" ht="11.25" customHeight="1">
      <c r="E26" s="418"/>
      <c r="F26" s="1373" t="s">
        <v>414</v>
      </c>
      <c r="G26" s="1374"/>
      <c r="H26" s="894" t="str">
        <f>IF(H24="","",INDEX(DIFFERENTIATION_UNMERGE_AREA,MATCH(H24,DIFFERENTIATION_ID_DIFF,0)))</f>
        <v/>
      </c>
      <c r="I26" s="894" t="str">
        <f>IF(I24="","",INDEX(DIFFERENTIATION_UNMERGE_AREA,MATCH(I24,DIFFERENTIATION_ID_DIFF,0)))</f>
        <v>Территория 1</v>
      </c>
      <c r="J26" s="1083"/>
    </row>
    <row r="27" spans="1:26" ht="11.25" customHeight="1">
      <c r="E27" s="418"/>
      <c r="F27" s="1373" t="s">
        <v>415</v>
      </c>
      <c r="G27" s="1374"/>
      <c r="H27" s="894" t="str">
        <f>IF(H24="","",INDEX(DIFFERENTIATION_UNMERGE_SYSTEM,MATCH(H24,DIFFERENTIATION_ID_DIFF,0)))</f>
        <v/>
      </c>
      <c r="I27" s="894" t="str">
        <f>IF(I24="","",INDEX(DIFFERENTIATION_UNMERGE_SYSTEM,MATCH(I24,DIFFERENTIATION_ID_DIFF,0)))</f>
        <v>без дифференциации</v>
      </c>
      <c r="J27" s="1083"/>
    </row>
    <row r="28" spans="1:26" ht="11.25" customHeight="1">
      <c r="E28" s="1375" t="s">
        <v>288</v>
      </c>
      <c r="F28" s="1376"/>
      <c r="G28" s="1376"/>
      <c r="H28" s="529"/>
      <c r="I28" s="529"/>
      <c r="J28" s="1083"/>
    </row>
    <row r="29" spans="1:26" ht="22.5" customHeight="1">
      <c r="E29" s="39" t="s">
        <v>88</v>
      </c>
      <c r="F29" s="39" t="s">
        <v>290</v>
      </c>
      <c r="G29" s="39" t="s">
        <v>1611</v>
      </c>
      <c r="H29" s="39" t="s">
        <v>291</v>
      </c>
      <c r="I29" s="39" t="s">
        <v>291</v>
      </c>
      <c r="J29" s="1083"/>
    </row>
    <row r="30" spans="1:26" ht="18.75" customHeight="1">
      <c r="D30" s="53"/>
      <c r="E30" s="322">
        <f>FHD_NUM_P_1</f>
        <v>1</v>
      </c>
      <c r="F30" s="150" t="str">
        <f>FHD_P_1</f>
        <v>Выручка от регулируемых видов деятельности в сфере холодного водоснабжения</v>
      </c>
      <c r="G30" s="39" t="s">
        <v>1716</v>
      </c>
      <c r="H30" s="332"/>
      <c r="I30" s="332"/>
      <c r="J30" s="64" t="str">
        <f>FHD_NOTE_P_1</f>
        <v>Указывается выручка с распределением по видам деятельности.</v>
      </c>
      <c r="K30" s="319"/>
    </row>
    <row r="31" spans="1:26" ht="11.25" customHeight="1">
      <c r="D31" s="53"/>
      <c r="E31" s="322">
        <f>FHD_NUM_P_2</f>
        <v>2</v>
      </c>
      <c r="F31" s="150" t="str">
        <f>FHD_P_2</f>
        <v>Себестоимость производимых товаров (оказываемых услуг) по регулируемым видам деятельности в сфере холодного водоснабжения, включая:</v>
      </c>
      <c r="G31" s="39" t="s">
        <v>1716</v>
      </c>
      <c r="H31" s="333">
        <f>SUMIF($K33:$K71,$K31,H33:H71)</f>
        <v>0</v>
      </c>
      <c r="I31" s="333">
        <f>SUMIF($K33:$K71,$K31,I33:I71)</f>
        <v>0</v>
      </c>
      <c r="J31" s="64" t="str">
        <f>FHD_NOTE_P_2</f>
        <v>Указывается суммарная себестоимость производимых товаров.</v>
      </c>
      <c r="K31" s="65" t="s">
        <v>1726</v>
      </c>
    </row>
    <row r="32" spans="1:26" ht="11.25" customHeight="1">
      <c r="D32" s="53"/>
      <c r="E32" s="322" t="str">
        <f>FHD_NUM_P_3</f>
        <v>2.1</v>
      </c>
      <c r="F32" s="334" t="str">
        <f>FHD_P_3</f>
        <v>Расходы на оплату холодной воды, приобретаемой у других организаций для последующей подачи потребителям</v>
      </c>
      <c r="G32" s="39" t="s">
        <v>1716</v>
      </c>
      <c r="H32" s="332"/>
      <c r="I32" s="332"/>
      <c r="J32" s="64" t="str">
        <f>FHD_NOTE_P_3</f>
        <v/>
      </c>
      <c r="K32" s="65" t="str">
        <f t="shared" ref="K32:K70" si="0">IF((LEN(E32)-LEN(SUBSTITUTE(E32,".","")))/LEN(".")=1,"p","")</f>
        <v>p</v>
      </c>
    </row>
    <row r="33" spans="1:31" ht="11.25" hidden="1" customHeight="1">
      <c r="A33" s="1401" t="s">
        <v>1727</v>
      </c>
      <c r="D33" s="53"/>
      <c r="E33" s="322" t="str">
        <f>FHD_NUM_P_4</f>
        <v/>
      </c>
      <c r="F33" s="334" t="str">
        <f>FHD_P_4</f>
        <v/>
      </c>
      <c r="G33" s="39" t="s">
        <v>1716</v>
      </c>
      <c r="H33" s="333">
        <f>SUMIF($F34:$F40,$F3,H34:H40)</f>
        <v>0</v>
      </c>
      <c r="I33" s="333">
        <f>SUMIF($F34:$F40,$F3,I34:I40)</f>
        <v>0</v>
      </c>
      <c r="J33" s="64" t="str">
        <f>FHD_NOTE_P_4</f>
        <v/>
      </c>
      <c r="K33" s="65" t="str">
        <f t="shared" si="0"/>
        <v/>
      </c>
    </row>
    <row r="34" spans="1:31" s="209" customFormat="1" ht="0.75" hidden="1" customHeight="1">
      <c r="A34" s="1401"/>
      <c r="B34" s="1402" t="str">
        <f>E33&amp;".0"</f>
        <v>.0</v>
      </c>
      <c r="C34" s="324"/>
      <c r="D34" s="335"/>
      <c r="E34" s="336"/>
      <c r="F34" s="337"/>
      <c r="G34" s="338"/>
      <c r="H34" s="297"/>
      <c r="I34" s="297"/>
      <c r="J34" s="339"/>
      <c r="K34" s="65" t="str">
        <f t="shared" si="0"/>
        <v/>
      </c>
      <c r="L34" s="65"/>
      <c r="M34" s="65"/>
      <c r="N34" s="65"/>
      <c r="O34" s="65"/>
      <c r="P34" s="65"/>
      <c r="Q34" s="65"/>
      <c r="R34" s="65"/>
      <c r="S34" s="65"/>
      <c r="T34" s="65"/>
      <c r="U34" s="340"/>
      <c r="V34" s="65"/>
      <c r="W34" s="65"/>
      <c r="X34" s="65"/>
      <c r="Y34" s="65"/>
      <c r="Z34" s="65"/>
      <c r="AA34" s="139"/>
      <c r="AB34" s="139"/>
      <c r="AC34" s="139"/>
      <c r="AD34" s="139"/>
      <c r="AE34" s="139"/>
    </row>
    <row r="35" spans="1:31" s="209" customFormat="1" ht="0.75" hidden="1" customHeight="1">
      <c r="A35" s="1401"/>
      <c r="B35" s="1402"/>
      <c r="C35" s="324"/>
      <c r="D35" s="335"/>
      <c r="E35" s="341"/>
      <c r="F35" s="342"/>
      <c r="G35" s="338"/>
      <c r="H35" s="343"/>
      <c r="I35" s="343"/>
      <c r="J35" s="339"/>
      <c r="K35" s="65" t="str">
        <f t="shared" si="0"/>
        <v/>
      </c>
      <c r="L35" s="65"/>
      <c r="M35" s="65"/>
      <c r="N35" s="65"/>
      <c r="O35" s="65"/>
      <c r="P35" s="65"/>
      <c r="Q35" s="65"/>
      <c r="R35" s="65"/>
      <c r="S35" s="65"/>
      <c r="T35" s="65"/>
      <c r="U35" s="340"/>
      <c r="V35" s="65"/>
      <c r="W35" s="65"/>
      <c r="X35" s="65"/>
      <c r="Y35" s="65"/>
      <c r="Z35" s="65"/>
      <c r="AA35" s="139"/>
      <c r="AB35" s="139"/>
      <c r="AC35" s="139"/>
      <c r="AD35" s="139"/>
      <c r="AE35" s="139"/>
    </row>
    <row r="36" spans="1:31" s="209" customFormat="1" ht="0.75" hidden="1" customHeight="1">
      <c r="A36" s="1401"/>
      <c r="B36" s="1402"/>
      <c r="C36" s="324"/>
      <c r="D36" s="335"/>
      <c r="E36" s="341"/>
      <c r="F36" s="342"/>
      <c r="G36" s="338"/>
      <c r="H36" s="343"/>
      <c r="I36" s="343"/>
      <c r="J36" s="339"/>
      <c r="K36" s="65" t="str">
        <f t="shared" si="0"/>
        <v/>
      </c>
      <c r="L36" s="65"/>
      <c r="M36" s="65"/>
      <c r="N36" s="65"/>
      <c r="O36" s="65"/>
      <c r="P36" s="65"/>
      <c r="Q36" s="65"/>
      <c r="R36" s="65"/>
      <c r="S36" s="65"/>
      <c r="T36" s="65"/>
      <c r="U36" s="340"/>
      <c r="V36" s="65"/>
      <c r="W36" s="65"/>
      <c r="X36" s="65"/>
      <c r="Y36" s="65"/>
      <c r="Z36" s="65"/>
      <c r="AA36" s="139"/>
      <c r="AB36" s="139"/>
      <c r="AC36" s="139"/>
      <c r="AD36" s="139"/>
      <c r="AE36" s="139"/>
    </row>
    <row r="37" spans="1:31" s="209" customFormat="1" ht="0.75" hidden="1" customHeight="1">
      <c r="A37" s="1401"/>
      <c r="B37" s="1402"/>
      <c r="C37" s="324"/>
      <c r="D37" s="335"/>
      <c r="E37" s="341"/>
      <c r="F37" s="342"/>
      <c r="G37" s="338"/>
      <c r="H37" s="343"/>
      <c r="I37" s="343"/>
      <c r="J37" s="339"/>
      <c r="K37" s="65" t="str">
        <f t="shared" si="0"/>
        <v/>
      </c>
      <c r="L37" s="65"/>
      <c r="M37" s="65"/>
      <c r="N37" s="65"/>
      <c r="O37" s="65"/>
      <c r="P37" s="65"/>
      <c r="Q37" s="65"/>
      <c r="R37" s="65"/>
      <c r="S37" s="65"/>
      <c r="T37" s="65"/>
      <c r="U37" s="340"/>
      <c r="V37" s="65"/>
      <c r="W37" s="65"/>
      <c r="X37" s="65"/>
      <c r="Y37" s="65"/>
      <c r="Z37" s="65"/>
      <c r="AA37" s="139"/>
      <c r="AB37" s="139"/>
      <c r="AC37" s="139"/>
      <c r="AD37" s="139"/>
      <c r="AE37" s="139"/>
    </row>
    <row r="38" spans="1:31" s="209" customFormat="1" ht="0.75" hidden="1" customHeight="1">
      <c r="A38" s="1401"/>
      <c r="B38" s="1402"/>
      <c r="C38" s="324"/>
      <c r="D38" s="335"/>
      <c r="E38" s="341"/>
      <c r="F38" s="342"/>
      <c r="G38" s="338"/>
      <c r="H38" s="343"/>
      <c r="I38" s="343"/>
      <c r="J38" s="339"/>
      <c r="K38" s="65" t="str">
        <f t="shared" si="0"/>
        <v/>
      </c>
      <c r="L38" s="65"/>
      <c r="M38" s="65"/>
      <c r="N38" s="65"/>
      <c r="O38" s="65"/>
      <c r="P38" s="65"/>
      <c r="Q38" s="65"/>
      <c r="R38" s="65"/>
      <c r="S38" s="65"/>
      <c r="T38" s="65"/>
      <c r="U38" s="340"/>
      <c r="V38" s="65"/>
      <c r="W38" s="65"/>
      <c r="X38" s="65"/>
      <c r="Y38" s="65"/>
      <c r="Z38" s="65"/>
      <c r="AA38" s="139"/>
      <c r="AB38" s="139"/>
      <c r="AC38" s="139"/>
      <c r="AD38" s="139"/>
      <c r="AE38" s="139"/>
    </row>
    <row r="39" spans="1:31" s="209" customFormat="1" ht="0.75" hidden="1" customHeight="1">
      <c r="A39" s="1401"/>
      <c r="B39" s="1402"/>
      <c r="C39" s="324"/>
      <c r="D39" s="335"/>
      <c r="E39" s="341"/>
      <c r="F39" s="342"/>
      <c r="G39" s="338"/>
      <c r="H39" s="297"/>
      <c r="I39" s="297"/>
      <c r="J39" s="339"/>
      <c r="K39" s="65" t="str">
        <f t="shared" si="0"/>
        <v/>
      </c>
      <c r="L39" s="65"/>
      <c r="M39" s="65"/>
      <c r="N39" s="65"/>
      <c r="O39" s="65"/>
      <c r="P39" s="65"/>
      <c r="Q39" s="65"/>
      <c r="R39" s="65"/>
      <c r="S39" s="65"/>
      <c r="T39" s="65"/>
      <c r="U39" s="340"/>
      <c r="V39" s="65"/>
      <c r="W39" s="65"/>
      <c r="X39" s="65"/>
      <c r="Y39" s="65"/>
      <c r="Z39" s="65"/>
      <c r="AA39" s="139"/>
      <c r="AB39" s="139"/>
      <c r="AC39" s="139"/>
      <c r="AD39" s="139"/>
      <c r="AE39" s="139"/>
    </row>
    <row r="40" spans="1:31" s="60" customFormat="1" ht="15" hidden="1" customHeight="1">
      <c r="A40" s="1401"/>
      <c r="C40" s="65"/>
      <c r="D40" s="74"/>
      <c r="E40" s="344"/>
      <c r="F40" s="108" t="s">
        <v>1728</v>
      </c>
      <c r="G40" s="345"/>
      <c r="H40" s="346"/>
      <c r="I40" s="346"/>
      <c r="J40" s="171"/>
      <c r="K40" s="65" t="str">
        <f t="shared" si="0"/>
        <v/>
      </c>
      <c r="L40" s="65"/>
      <c r="M40" s="65"/>
      <c r="R40" s="65"/>
      <c r="U40" s="320"/>
      <c r="AA40" s="6"/>
      <c r="AB40" s="6"/>
      <c r="AC40" s="6"/>
      <c r="AD40" s="6"/>
      <c r="AE40" s="6"/>
    </row>
    <row r="41" spans="1:31" ht="11.25" hidden="1" customHeight="1">
      <c r="A41" s="1401" t="s">
        <v>1729</v>
      </c>
      <c r="D41" s="53"/>
      <c r="E41" s="322" t="str">
        <f>FHD_NUM_P_5</f>
        <v/>
      </c>
      <c r="F41" s="334" t="str">
        <f>FHD_P_5</f>
        <v/>
      </c>
      <c r="G41" s="39" t="s">
        <v>1716</v>
      </c>
      <c r="H41" s="332"/>
      <c r="I41" s="332"/>
      <c r="J41" s="64" t="str">
        <f>FHD_NOTE_P_5</f>
        <v/>
      </c>
      <c r="K41" s="65" t="str">
        <f t="shared" si="0"/>
        <v/>
      </c>
    </row>
    <row r="42" spans="1:31" ht="11.25" hidden="1" customHeight="1">
      <c r="A42" s="1401"/>
      <c r="D42" s="53"/>
      <c r="E42" s="322" t="str">
        <f>FHD_NUM_P_6</f>
        <v/>
      </c>
      <c r="F42" s="334" t="str">
        <f>FHD_P_6</f>
        <v/>
      </c>
      <c r="G42" s="39" t="s">
        <v>1716</v>
      </c>
      <c r="H42" s="332"/>
      <c r="I42" s="332"/>
      <c r="J42" s="64" t="str">
        <f>FHD_NOTE_P_6</f>
        <v/>
      </c>
      <c r="K42" s="65" t="str">
        <f t="shared" si="0"/>
        <v/>
      </c>
    </row>
    <row r="43" spans="1:31" ht="11.25" hidden="1" customHeight="1">
      <c r="A43" s="1401"/>
      <c r="D43" s="53"/>
      <c r="E43" s="322" t="str">
        <f>FHD_NUM_P_7</f>
        <v/>
      </c>
      <c r="F43" s="334" t="str">
        <f>FHD_P_7</f>
        <v/>
      </c>
      <c r="G43" s="39" t="s">
        <v>1716</v>
      </c>
      <c r="H43" s="332"/>
      <c r="I43" s="332"/>
      <c r="J43" s="64" t="str">
        <f>FHD_NOTE_P_7</f>
        <v/>
      </c>
      <c r="K43" s="65" t="str">
        <f t="shared" si="0"/>
        <v/>
      </c>
    </row>
    <row r="44" spans="1:31" ht="11.25" customHeight="1">
      <c r="D44" s="53"/>
      <c r="E44" s="322" t="str">
        <f>FHD_NUM_P_8</f>
        <v>2.2</v>
      </c>
      <c r="F44" s="334" t="str">
        <f>FHD_P_8</f>
        <v>Расходы на приобретаемую электрическую энергию (мощность), используемую в технологическом процессе</v>
      </c>
      <c r="G44" s="39" t="s">
        <v>1716</v>
      </c>
      <c r="H44" s="332"/>
      <c r="I44" s="332"/>
      <c r="J44" s="64" t="str">
        <f>FHD_NOTE_P_8</f>
        <v/>
      </c>
      <c r="K44" s="65" t="str">
        <f t="shared" si="0"/>
        <v>p</v>
      </c>
    </row>
    <row r="45" spans="1:31" ht="11.25" customHeight="1">
      <c r="D45" s="53"/>
      <c r="E45" s="322" t="str">
        <f>FHD_NUM_P_9</f>
        <v>2.2.1</v>
      </c>
      <c r="F45" s="349" t="str">
        <f>FHD_P_9</f>
        <v>Средневзвешенная стоимость 1 кВт.ч (с учетом мощности)</v>
      </c>
      <c r="G45" s="39" t="s">
        <v>1240</v>
      </c>
      <c r="H45" s="332"/>
      <c r="I45" s="332"/>
      <c r="J45" s="64" t="str">
        <f>FHD_NOTE_P_9</f>
        <v/>
      </c>
      <c r="K45" s="65" t="str">
        <f t="shared" si="0"/>
        <v/>
      </c>
    </row>
    <row r="46" spans="1:31" s="60" customFormat="1" ht="11.25" customHeight="1">
      <c r="A46" s="591"/>
      <c r="C46" s="65"/>
      <c r="D46" s="347"/>
      <c r="E46" s="322" t="str">
        <f>FHD_NUM_P_10</f>
        <v>2.2.2</v>
      </c>
      <c r="F46" s="349" t="str">
        <f>FHD_P_10</f>
        <v>Объём приобретения электрической энергии</v>
      </c>
      <c r="G46" s="39" t="s">
        <v>1730</v>
      </c>
      <c r="H46" s="332"/>
      <c r="I46" s="332"/>
      <c r="J46" s="64" t="str">
        <f>FHD_NOTE_P_10</f>
        <v/>
      </c>
      <c r="K46" s="65" t="str">
        <f t="shared" si="0"/>
        <v/>
      </c>
      <c r="L46" s="65"/>
      <c r="M46" s="65"/>
      <c r="R46" s="65"/>
      <c r="U46" s="320"/>
      <c r="AA46" s="6"/>
      <c r="AB46" s="6"/>
      <c r="AC46" s="6"/>
      <c r="AD46" s="6"/>
      <c r="AE46" s="6"/>
    </row>
    <row r="47" spans="1:31" s="60" customFormat="1" ht="11.25" hidden="1" customHeight="1">
      <c r="A47" s="593" t="s">
        <v>1731</v>
      </c>
      <c r="C47" s="65"/>
      <c r="D47" s="348"/>
      <c r="E47" s="322" t="str">
        <f>FHD_NUM_P_11</f>
        <v/>
      </c>
      <c r="F47" s="334" t="str">
        <f>FHD_P_11</f>
        <v/>
      </c>
      <c r="G47" s="39" t="s">
        <v>1716</v>
      </c>
      <c r="H47" s="332"/>
      <c r="I47" s="332"/>
      <c r="J47" s="64" t="str">
        <f>FHD_NOTE_P_11</f>
        <v/>
      </c>
      <c r="K47" s="65" t="str">
        <f t="shared" si="0"/>
        <v/>
      </c>
      <c r="L47" s="65"/>
      <c r="M47" s="65"/>
      <c r="R47" s="65"/>
      <c r="U47" s="320"/>
      <c r="AA47" s="6"/>
      <c r="AB47" s="6"/>
      <c r="AC47" s="6"/>
      <c r="AD47" s="6"/>
      <c r="AE47" s="6"/>
    </row>
    <row r="48" spans="1:31" s="60" customFormat="1" ht="18" customHeight="1">
      <c r="A48" s="593" t="s">
        <v>1732</v>
      </c>
      <c r="C48" s="65"/>
      <c r="D48" s="53"/>
      <c r="E48" s="322" t="str">
        <f>FHD_NUM_P_12</f>
        <v>2.3</v>
      </c>
      <c r="F48" s="334" t="str">
        <f>FHD_P_12</f>
        <v>Расходы на химические реагенты, используемые в технологическом процессе</v>
      </c>
      <c r="G48" s="39" t="s">
        <v>1716</v>
      </c>
      <c r="H48" s="350"/>
      <c r="I48" s="350"/>
      <c r="J48" s="64" t="str">
        <f>FHD_NOTE_P_12</f>
        <v/>
      </c>
      <c r="K48" s="65" t="str">
        <f t="shared" si="0"/>
        <v>p</v>
      </c>
      <c r="L48" s="65"/>
      <c r="M48" s="65"/>
      <c r="R48" s="65"/>
      <c r="U48" s="320"/>
      <c r="AA48" s="6"/>
      <c r="AB48" s="6"/>
      <c r="AC48" s="6"/>
      <c r="AD48" s="6"/>
      <c r="AE48" s="6"/>
    </row>
    <row r="49" spans="1:31" s="435" customFormat="1" ht="11.25" customHeight="1">
      <c r="A49" s="592"/>
      <c r="C49" s="304"/>
      <c r="D49" s="393"/>
      <c r="E49" s="322" t="str">
        <f>FHD_NUM_P_13</f>
        <v>2.4</v>
      </c>
      <c r="F49" s="334"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39" t="s">
        <v>1716</v>
      </c>
      <c r="H49" s="332"/>
      <c r="I49" s="332"/>
      <c r="J49" s="64" t="str">
        <f>FHD_NOTE_P_13</f>
        <v>Указывается общая сумма расходов на оплату труда и отчислений на социальные нужды основного производственного персонала.</v>
      </c>
      <c r="K49" s="65" t="str">
        <f t="shared" si="0"/>
        <v>p</v>
      </c>
      <c r="L49" s="304"/>
      <c r="M49" s="304"/>
      <c r="R49" s="304"/>
      <c r="U49" s="436"/>
      <c r="AA49" s="29"/>
      <c r="AB49" s="29"/>
      <c r="AC49" s="29"/>
      <c r="AD49" s="29"/>
      <c r="AE49" s="29"/>
    </row>
    <row r="50" spans="1:31" s="435" customFormat="1" ht="11.25" customHeight="1">
      <c r="A50" s="592"/>
      <c r="C50" s="304"/>
      <c r="D50" s="393"/>
      <c r="E50" s="322" t="str">
        <f>FHD_NUM_P_14</f>
        <v>2.4.1</v>
      </c>
      <c r="F50" s="349" t="str">
        <f>FHD_P_14</f>
        <v>Расходы на оплату труда основного производственного персонала</v>
      </c>
      <c r="G50" s="39" t="s">
        <v>1716</v>
      </c>
      <c r="H50" s="332"/>
      <c r="I50" s="332"/>
      <c r="J50" s="64" t="str">
        <f>FHD_NOTE_P_14</f>
        <v/>
      </c>
      <c r="K50" s="65" t="str">
        <f t="shared" si="0"/>
        <v/>
      </c>
      <c r="L50" s="304"/>
      <c r="M50" s="304"/>
      <c r="R50" s="304"/>
      <c r="U50" s="436"/>
      <c r="AA50" s="29"/>
      <c r="AB50" s="29"/>
      <c r="AC50" s="29"/>
      <c r="AD50" s="29"/>
      <c r="AE50" s="29"/>
    </row>
    <row r="51" spans="1:31" s="435" customFormat="1" ht="11.25" customHeight="1">
      <c r="A51" s="592"/>
      <c r="C51" s="304"/>
      <c r="D51" s="393"/>
      <c r="E51" s="322" t="str">
        <f>FHD_NUM_P_15</f>
        <v>2.4.2</v>
      </c>
      <c r="F51" s="349" t="str">
        <f>FHD_P_15</f>
        <v>Страховые взносы на обязательное социальное страхование, выплачиваемые из фонда оплаты труда основного производственного персонала</v>
      </c>
      <c r="G51" s="39" t="s">
        <v>1716</v>
      </c>
      <c r="H51" s="332"/>
      <c r="I51" s="332"/>
      <c r="J51" s="64" t="str">
        <f>FHD_NOTE_P_15</f>
        <v/>
      </c>
      <c r="K51" s="65" t="str">
        <f t="shared" si="0"/>
        <v/>
      </c>
      <c r="L51" s="304"/>
      <c r="M51" s="304"/>
      <c r="R51" s="304"/>
      <c r="U51" s="436"/>
      <c r="AA51" s="29"/>
      <c r="AB51" s="29"/>
      <c r="AC51" s="29"/>
      <c r="AD51" s="29"/>
      <c r="AE51" s="29"/>
    </row>
    <row r="52" spans="1:31" s="60" customFormat="1" ht="11.25" customHeight="1">
      <c r="A52" s="591"/>
      <c r="C52" s="65"/>
      <c r="D52" s="53"/>
      <c r="E52" s="322" t="str">
        <f>FHD_NUM_P_16</f>
        <v>2.5</v>
      </c>
      <c r="F52" s="334"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39" t="s">
        <v>1716</v>
      </c>
      <c r="H52" s="332"/>
      <c r="I52" s="332"/>
      <c r="J52" s="64" t="str">
        <f>FHD_NOTE_P_16</f>
        <v>Указывается общая сумма расходов на оплату труда и отчислений на социальные нужды административно-управленческого персонала.</v>
      </c>
      <c r="K52" s="65" t="str">
        <f t="shared" si="0"/>
        <v>p</v>
      </c>
      <c r="L52" s="65"/>
      <c r="M52" s="65"/>
      <c r="R52" s="65"/>
      <c r="U52" s="320"/>
      <c r="AA52" s="6"/>
      <c r="AB52" s="6"/>
      <c r="AC52" s="6"/>
      <c r="AD52" s="6"/>
      <c r="AE52" s="6"/>
    </row>
    <row r="53" spans="1:31" s="60" customFormat="1" ht="11.25" customHeight="1">
      <c r="A53" s="591"/>
      <c r="C53" s="65"/>
      <c r="D53" s="53"/>
      <c r="E53" s="322" t="str">
        <f>FHD_NUM_P_17</f>
        <v>2.5.1</v>
      </c>
      <c r="F53" s="349" t="str">
        <f>FHD_P_17</f>
        <v>Расходы на оплату труда административно-управленческого персонала</v>
      </c>
      <c r="G53" s="39" t="s">
        <v>1716</v>
      </c>
      <c r="H53" s="332"/>
      <c r="I53" s="332"/>
      <c r="J53" s="64" t="str">
        <f>FHD_NOTE_P_17</f>
        <v/>
      </c>
      <c r="K53" s="65" t="str">
        <f t="shared" si="0"/>
        <v/>
      </c>
      <c r="L53" s="65"/>
      <c r="M53" s="65"/>
      <c r="R53" s="65"/>
      <c r="U53" s="320"/>
      <c r="AA53" s="6"/>
      <c r="AB53" s="6"/>
      <c r="AC53" s="6"/>
      <c r="AD53" s="6"/>
      <c r="AE53" s="6"/>
    </row>
    <row r="54" spans="1:31" s="60" customFormat="1" ht="11.25" customHeight="1">
      <c r="A54" s="591"/>
      <c r="C54" s="65"/>
      <c r="D54" s="53"/>
      <c r="E54" s="322" t="str">
        <f>FHD_NUM_P_18</f>
        <v>2.5.2</v>
      </c>
      <c r="F54" s="349"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39" t="s">
        <v>1716</v>
      </c>
      <c r="H54" s="332"/>
      <c r="I54" s="332"/>
      <c r="J54" s="64" t="str">
        <f>FHD_NOTE_P_18</f>
        <v/>
      </c>
      <c r="K54" s="65" t="str">
        <f t="shared" si="0"/>
        <v/>
      </c>
      <c r="L54" s="65"/>
      <c r="M54" s="65"/>
      <c r="R54" s="65"/>
      <c r="U54" s="320"/>
      <c r="AA54" s="6"/>
      <c r="AB54" s="6"/>
      <c r="AC54" s="6"/>
      <c r="AD54" s="6"/>
      <c r="AE54" s="6"/>
    </row>
    <row r="55" spans="1:31" s="60" customFormat="1" ht="11.25" customHeight="1">
      <c r="A55" s="591"/>
      <c r="C55" s="65"/>
      <c r="D55" s="348"/>
      <c r="E55" s="322" t="str">
        <f>FHD_NUM_P_19</f>
        <v>2.6</v>
      </c>
      <c r="F55" s="334" t="str">
        <f>FHD_P_19</f>
        <v>Расходы на амортизацию основных средств и нематериальных активов</v>
      </c>
      <c r="G55" s="39" t="s">
        <v>1716</v>
      </c>
      <c r="H55" s="332"/>
      <c r="I55" s="332"/>
      <c r="J55" s="64" t="str">
        <f>FHD_NOTE_P_19</f>
        <v/>
      </c>
      <c r="K55" s="65" t="str">
        <f t="shared" si="0"/>
        <v>p</v>
      </c>
      <c r="L55" s="65"/>
      <c r="M55" s="65"/>
      <c r="R55" s="65"/>
      <c r="U55" s="320"/>
      <c r="AA55" s="6"/>
      <c r="AB55" s="6"/>
      <c r="AC55" s="6"/>
      <c r="AD55" s="6"/>
      <c r="AE55" s="6"/>
    </row>
    <row r="56" spans="1:31" s="60" customFormat="1" ht="11.25" customHeight="1">
      <c r="A56" s="591"/>
      <c r="C56" s="65"/>
      <c r="D56" s="348"/>
      <c r="E56" s="322" t="str">
        <f>FHD_NUM_P_20</f>
        <v>2.6.1</v>
      </c>
      <c r="F56" s="349" t="str">
        <f>FHD_P_20</f>
        <v>Расходы на амортизацию основных средств</v>
      </c>
      <c r="G56" s="39" t="s">
        <v>1716</v>
      </c>
      <c r="H56" s="332"/>
      <c r="I56" s="332"/>
      <c r="J56" s="64" t="str">
        <f>FHD_NOTE_P_20</f>
        <v/>
      </c>
      <c r="K56" s="65" t="str">
        <f t="shared" si="0"/>
        <v/>
      </c>
      <c r="L56" s="65"/>
      <c r="M56" s="65"/>
      <c r="R56" s="65"/>
      <c r="U56" s="320"/>
      <c r="AA56" s="6"/>
      <c r="AB56" s="6"/>
      <c r="AC56" s="6"/>
      <c r="AD56" s="6"/>
      <c r="AE56" s="6"/>
    </row>
    <row r="57" spans="1:31" s="60" customFormat="1" ht="11.25" customHeight="1">
      <c r="A57" s="591"/>
      <c r="C57" s="65"/>
      <c r="D57" s="348"/>
      <c r="E57" s="322" t="str">
        <f>FHD_NUM_P_21</f>
        <v>2.6.2</v>
      </c>
      <c r="F57" s="349" t="str">
        <f>FHD_P_21</f>
        <v>Расходы на амортизацию нематериальных активов</v>
      </c>
      <c r="G57" s="39" t="s">
        <v>1716</v>
      </c>
      <c r="H57" s="332"/>
      <c r="I57" s="332"/>
      <c r="J57" s="64" t="str">
        <f>FHD_NOTE_P_21</f>
        <v/>
      </c>
      <c r="K57" s="65" t="str">
        <f t="shared" si="0"/>
        <v/>
      </c>
      <c r="L57" s="65"/>
      <c r="M57" s="65"/>
      <c r="R57" s="65"/>
      <c r="U57" s="320"/>
      <c r="AA57" s="6"/>
      <c r="AB57" s="6"/>
      <c r="AC57" s="6"/>
      <c r="AD57" s="6"/>
      <c r="AE57" s="6"/>
    </row>
    <row r="58" spans="1:31" s="60" customFormat="1" ht="11.25" customHeight="1">
      <c r="A58" s="591"/>
      <c r="C58" s="65"/>
      <c r="D58" s="53"/>
      <c r="E58" s="322" t="str">
        <f>FHD_NUM_P_22</f>
        <v>2.7</v>
      </c>
      <c r="F58" s="334" t="str">
        <f>FHD_P_22</f>
        <v>Расходы на аренду имущества, используемого для осуществления регулируемых видов деятельности в сфере холодного водоснабжения</v>
      </c>
      <c r="G58" s="39" t="s">
        <v>1716</v>
      </c>
      <c r="H58" s="332"/>
      <c r="I58" s="332"/>
      <c r="J58" s="64" t="str">
        <f>FHD_NOTE_P_22</f>
        <v/>
      </c>
      <c r="K58" s="65" t="str">
        <f t="shared" si="0"/>
        <v>p</v>
      </c>
      <c r="L58" s="65"/>
      <c r="M58" s="65"/>
      <c r="R58" s="65"/>
      <c r="U58" s="320"/>
      <c r="AA58" s="6"/>
      <c r="AB58" s="6"/>
      <c r="AC58" s="6"/>
      <c r="AD58" s="6"/>
      <c r="AE58" s="6"/>
    </row>
    <row r="59" spans="1:31" s="60" customFormat="1" ht="11.25" customHeight="1">
      <c r="A59" s="591"/>
      <c r="C59" s="65"/>
      <c r="D59" s="348"/>
      <c r="E59" s="322" t="str">
        <f>FHD_NUM_P_23</f>
        <v>2.8</v>
      </c>
      <c r="F59" s="334" t="str">
        <f>FHD_P_23</f>
        <v>Общепроизводственные расходы, в том числе:</v>
      </c>
      <c r="G59" s="39" t="s">
        <v>1716</v>
      </c>
      <c r="H59" s="332"/>
      <c r="I59" s="332"/>
      <c r="J59" s="64" t="str">
        <f>FHD_NOTE_P_23</f>
        <v>Указывается общая сумма общепроизводственных расходов.</v>
      </c>
      <c r="K59" s="65" t="str">
        <f t="shared" si="0"/>
        <v>p</v>
      </c>
      <c r="L59" s="65"/>
      <c r="M59" s="65"/>
      <c r="R59" s="65"/>
      <c r="U59" s="320"/>
      <c r="AA59" s="6"/>
      <c r="AB59" s="6"/>
      <c r="AC59" s="6"/>
      <c r="AD59" s="6"/>
      <c r="AE59" s="6"/>
    </row>
    <row r="60" spans="1:31" s="60" customFormat="1" ht="11.25" customHeight="1">
      <c r="A60" s="591"/>
      <c r="C60" s="65"/>
      <c r="D60" s="348"/>
      <c r="E60" s="322" t="str">
        <f>FHD_NUM_P_24</f>
        <v>2.8.1</v>
      </c>
      <c r="F60" s="349" t="str">
        <f>FHD_P_24</f>
        <v>Расходы на текущий ремонт</v>
      </c>
      <c r="G60" s="39" t="s">
        <v>1716</v>
      </c>
      <c r="H60" s="332"/>
      <c r="I60" s="332"/>
      <c r="J60" s="64" t="str">
        <f>FHD_NOTE_P_24</f>
        <v>Указываются расходы на текущий ремонт, отнесенные к общепроизводственным расходам.</v>
      </c>
      <c r="K60" s="65" t="str">
        <f t="shared" si="0"/>
        <v/>
      </c>
      <c r="L60" s="65"/>
      <c r="M60" s="65"/>
      <c r="R60" s="65"/>
      <c r="U60" s="320"/>
      <c r="AA60" s="6"/>
      <c r="AB60" s="6"/>
      <c r="AC60" s="6"/>
      <c r="AD60" s="6"/>
      <c r="AE60" s="6"/>
    </row>
    <row r="61" spans="1:31" s="60" customFormat="1" ht="11.25" customHeight="1">
      <c r="A61" s="591"/>
      <c r="C61" s="65"/>
      <c r="D61" s="348"/>
      <c r="E61" s="322" t="str">
        <f>FHD_NUM_P_25</f>
        <v>2.8.2</v>
      </c>
      <c r="F61" s="349" t="str">
        <f>FHD_P_25</f>
        <v>Расходы на капитальный ремонт</v>
      </c>
      <c r="G61" s="39" t="s">
        <v>1716</v>
      </c>
      <c r="H61" s="332"/>
      <c r="I61" s="332"/>
      <c r="J61" s="64" t="str">
        <f>FHD_NOTE_P_25</f>
        <v>Указываются расходы на капитальный ремонт, отнесенные к общепроизводственным расходам.</v>
      </c>
      <c r="K61" s="65" t="str">
        <f t="shared" si="0"/>
        <v/>
      </c>
      <c r="L61" s="65"/>
      <c r="M61" s="65"/>
      <c r="R61" s="65"/>
      <c r="U61" s="320"/>
      <c r="AA61" s="6"/>
      <c r="AB61" s="6"/>
      <c r="AC61" s="6"/>
      <c r="AD61" s="6"/>
      <c r="AE61" s="6"/>
    </row>
    <row r="62" spans="1:31" s="60" customFormat="1" ht="11.25" customHeight="1">
      <c r="A62" s="591"/>
      <c r="C62" s="65"/>
      <c r="D62" s="53"/>
      <c r="E62" s="322" t="str">
        <f>FHD_NUM_P_26</f>
        <v>2.9</v>
      </c>
      <c r="F62" s="334" t="str">
        <f>FHD_P_26</f>
        <v>Общехозяйственные расходы, в том числе:</v>
      </c>
      <c r="G62" s="39" t="s">
        <v>1716</v>
      </c>
      <c r="H62" s="332"/>
      <c r="I62" s="332"/>
      <c r="J62" s="64" t="str">
        <f>FHD_NOTE_P_26</f>
        <v>Указывается общая сумма общехозяйственных расходов.</v>
      </c>
      <c r="K62" s="65" t="str">
        <f t="shared" si="0"/>
        <v>p</v>
      </c>
      <c r="L62" s="65"/>
      <c r="M62" s="65"/>
      <c r="R62" s="65"/>
      <c r="U62" s="320"/>
      <c r="AA62" s="6"/>
      <c r="AB62" s="6"/>
      <c r="AC62" s="6"/>
      <c r="AD62" s="6"/>
      <c r="AE62" s="6"/>
    </row>
    <row r="63" spans="1:31" s="60" customFormat="1" ht="11.25" customHeight="1">
      <c r="A63" s="591"/>
      <c r="C63" s="65"/>
      <c r="D63" s="53"/>
      <c r="E63" s="322" t="str">
        <f>FHD_NUM_P_27</f>
        <v>2.9.1</v>
      </c>
      <c r="F63" s="349" t="str">
        <f>FHD_P_27</f>
        <v>Расходы на текущий ремонт</v>
      </c>
      <c r="G63" s="39" t="s">
        <v>1716</v>
      </c>
      <c r="H63" s="332"/>
      <c r="I63" s="332"/>
      <c r="J63" s="64" t="str">
        <f>FHD_NOTE_P_27</f>
        <v>Указываются расходы на текущий ремонт, отнесенные к общехозяйственным расходам.</v>
      </c>
      <c r="K63" s="65" t="str">
        <f t="shared" si="0"/>
        <v/>
      </c>
      <c r="L63" s="65"/>
      <c r="M63" s="65"/>
      <c r="R63" s="65"/>
      <c r="U63" s="320"/>
      <c r="AA63" s="6"/>
      <c r="AB63" s="6"/>
      <c r="AC63" s="6"/>
      <c r="AD63" s="6"/>
      <c r="AE63" s="6"/>
    </row>
    <row r="64" spans="1:31" s="60" customFormat="1" ht="11.25" customHeight="1">
      <c r="A64" s="591"/>
      <c r="C64" s="65"/>
      <c r="D64" s="53"/>
      <c r="E64" s="322" t="str">
        <f>FHD_NUM_P_28</f>
        <v>2.9.2</v>
      </c>
      <c r="F64" s="349" t="str">
        <f>FHD_P_28</f>
        <v>Расходы на капитальный ремонт</v>
      </c>
      <c r="G64" s="39" t="s">
        <v>1716</v>
      </c>
      <c r="H64" s="332"/>
      <c r="I64" s="332"/>
      <c r="J64" s="64" t="str">
        <f>FHD_NOTE_P_28</f>
        <v>Указываются расходы на капитальный ремонт, отнесенные к общехозяйственным расходам.</v>
      </c>
      <c r="K64" s="65" t="str">
        <f t="shared" si="0"/>
        <v/>
      </c>
      <c r="L64" s="65"/>
      <c r="M64" s="65"/>
      <c r="R64" s="65"/>
      <c r="U64" s="320"/>
      <c r="AA64" s="6"/>
      <c r="AB64" s="6"/>
      <c r="AC64" s="6"/>
      <c r="AD64" s="6"/>
      <c r="AE64" s="6"/>
    </row>
    <row r="65" spans="1:31" s="60" customFormat="1" ht="11.25" customHeight="1">
      <c r="A65" s="591"/>
      <c r="C65" s="65"/>
      <c r="D65" s="53"/>
      <c r="E65" s="322" t="str">
        <f>FHD_NUM_P_29</f>
        <v>2.10</v>
      </c>
      <c r="F65" s="334" t="str">
        <f>FHD_P_29</f>
        <v>Расходы на капитальный и текущий ремонт основных средств</v>
      </c>
      <c r="G65" s="39" t="s">
        <v>1716</v>
      </c>
      <c r="H65" s="332"/>
      <c r="I65" s="332"/>
      <c r="J65" s="64"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65" t="str">
        <f t="shared" si="0"/>
        <v>p</v>
      </c>
      <c r="L65" s="65"/>
      <c r="M65" s="65"/>
      <c r="R65" s="65"/>
      <c r="U65" s="320"/>
      <c r="AA65" s="6"/>
      <c r="AB65" s="6"/>
      <c r="AC65" s="6"/>
      <c r="AD65" s="6"/>
      <c r="AE65" s="6"/>
    </row>
    <row r="66" spans="1:31" s="60" customFormat="1" ht="11.25" customHeight="1">
      <c r="A66" s="591"/>
      <c r="C66" s="65"/>
      <c r="D66" s="53"/>
      <c r="E66" s="322" t="str">
        <f>FHD_NUM_P_30</f>
        <v>2.10.1</v>
      </c>
      <c r="F66" s="349"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39" t="s">
        <v>294</v>
      </c>
      <c r="H66" s="110" t="s">
        <v>419</v>
      </c>
      <c r="I66" s="110" t="s">
        <v>419</v>
      </c>
      <c r="J66" s="64" t="str">
        <f>FHD_NOTE_P_30</f>
        <v/>
      </c>
      <c r="K66" s="65" t="str">
        <f t="shared" si="0"/>
        <v/>
      </c>
      <c r="L66" s="65">
        <f>IFERROR(MATCH("есть",B_FHD_FLAG_INDEX_1,0),0)</f>
        <v>0</v>
      </c>
      <c r="M66" s="65"/>
      <c r="R66" s="65"/>
      <c r="U66" s="320"/>
      <c r="AA66" s="6"/>
      <c r="AB66" s="6"/>
      <c r="AC66" s="6"/>
      <c r="AD66" s="6"/>
      <c r="AE66" s="6"/>
    </row>
    <row r="67" spans="1:31" s="60" customFormat="1" ht="11.25" customHeight="1">
      <c r="A67" s="1401" t="s">
        <v>1733</v>
      </c>
      <c r="C67" s="65"/>
      <c r="D67" s="53"/>
      <c r="E67" s="322" t="str">
        <f>FHD_NUM_P_31</f>
        <v>2.11</v>
      </c>
      <c r="F67" s="334" t="str">
        <f>FHD_P_31</f>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39" t="s">
        <v>1716</v>
      </c>
      <c r="H67" s="332"/>
      <c r="I67" s="332"/>
      <c r="J67" s="64"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65" t="str">
        <f t="shared" si="0"/>
        <v>p</v>
      </c>
      <c r="L67" s="65"/>
      <c r="M67" s="65"/>
      <c r="R67" s="65"/>
      <c r="U67" s="320"/>
      <c r="AA67" s="6"/>
      <c r="AB67" s="6"/>
      <c r="AC67" s="6"/>
      <c r="AD67" s="6"/>
      <c r="AE67" s="6"/>
    </row>
    <row r="68" spans="1:31" s="60" customFormat="1" ht="11.25" customHeight="1">
      <c r="A68" s="1401"/>
      <c r="C68" s="65"/>
      <c r="D68" s="53"/>
      <c r="E68" s="322" t="str">
        <f>FHD_NUM_P_32</f>
        <v>2.11.1</v>
      </c>
      <c r="F68" s="349"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39" t="s">
        <v>294</v>
      </c>
      <c r="H68" s="110" t="s">
        <v>419</v>
      </c>
      <c r="I68" s="110" t="s">
        <v>419</v>
      </c>
      <c r="J68" s="64" t="str">
        <f>FHD_NOTE_P_32</f>
        <v/>
      </c>
      <c r="K68" s="65" t="str">
        <f t="shared" si="0"/>
        <v/>
      </c>
      <c r="L68" s="65">
        <f>IFERROR(MATCH("есть",B_FHD_FLAG_INDEX_2,0),0)</f>
        <v>0</v>
      </c>
      <c r="M68" s="65"/>
      <c r="R68" s="65"/>
      <c r="U68" s="320"/>
      <c r="AA68" s="6"/>
      <c r="AB68" s="6"/>
      <c r="AC68" s="6"/>
      <c r="AD68" s="6"/>
      <c r="AE68" s="6"/>
    </row>
    <row r="69" spans="1:31" s="60" customFormat="1" ht="11.25" customHeight="1">
      <c r="A69" s="591"/>
      <c r="C69" s="65"/>
      <c r="D69" s="53"/>
      <c r="E69" s="322" t="str">
        <f>FHD_NUM_P_33</f>
        <v>2.12</v>
      </c>
      <c r="F69" s="334"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351" t="s">
        <v>1716</v>
      </c>
      <c r="H69" s="352">
        <f>SUM(H70:H71)</f>
        <v>0</v>
      </c>
      <c r="I69" s="352">
        <f>SUM(I70:I71)</f>
        <v>0</v>
      </c>
      <c r="J69" s="64"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65" t="str">
        <f t="shared" si="0"/>
        <v>p</v>
      </c>
      <c r="L69" s="65"/>
      <c r="M69" s="65"/>
      <c r="R69" s="65"/>
      <c r="U69" s="320"/>
      <c r="AA69" s="6"/>
      <c r="AB69" s="6"/>
      <c r="AC69" s="6"/>
      <c r="AD69" s="6"/>
      <c r="AE69" s="6"/>
    </row>
    <row r="70" spans="1:31" s="65" customFormat="1" ht="0.75" customHeight="1">
      <c r="A70" s="324"/>
      <c r="D70" s="324"/>
      <c r="E70" s="327" t="str">
        <f>E69&amp;".0"</f>
        <v>2.12.0</v>
      </c>
      <c r="F70" s="595"/>
      <c r="G70" s="327"/>
      <c r="H70" s="596"/>
      <c r="I70" s="596"/>
      <c r="J70" s="597"/>
      <c r="K70" s="65" t="str">
        <f t="shared" si="0"/>
        <v/>
      </c>
    </row>
    <row r="71" spans="1:31" s="60" customFormat="1" ht="14.25" customHeight="1">
      <c r="A71" s="591"/>
      <c r="C71" s="65"/>
      <c r="D71" s="74"/>
      <c r="E71" s="344"/>
      <c r="F71" s="108" t="s">
        <v>1734</v>
      </c>
      <c r="G71" s="345"/>
      <c r="H71" s="346"/>
      <c r="I71" s="346"/>
      <c r="J71" s="171"/>
      <c r="K71" s="65"/>
      <c r="L71" s="65"/>
      <c r="M71" s="65"/>
      <c r="R71" s="65"/>
      <c r="U71" s="320"/>
      <c r="AA71" s="6"/>
      <c r="AB71" s="6"/>
      <c r="AC71" s="6"/>
      <c r="AD71" s="6"/>
      <c r="AE71" s="6"/>
    </row>
    <row r="72" spans="1:31" s="60" customFormat="1" ht="18.75" hidden="1" customHeight="1">
      <c r="A72" s="593" t="s">
        <v>1735</v>
      </c>
      <c r="C72" s="65"/>
      <c r="D72" s="53"/>
      <c r="E72" s="322" t="str">
        <f>FHD_NUM_P_34</f>
        <v/>
      </c>
      <c r="F72" s="150" t="str">
        <f>FHD_P_34</f>
        <v/>
      </c>
      <c r="G72" s="39" t="s">
        <v>1716</v>
      </c>
      <c r="H72" s="332"/>
      <c r="I72" s="332"/>
      <c r="J72" s="64" t="str">
        <f>FHD_NOTE_P_34</f>
        <v/>
      </c>
      <c r="K72" s="319"/>
      <c r="L72" s="65"/>
      <c r="M72" s="65"/>
      <c r="R72" s="65"/>
      <c r="U72" s="320"/>
      <c r="AA72" s="6"/>
      <c r="AB72" s="6"/>
      <c r="AC72" s="6"/>
      <c r="AD72" s="6"/>
      <c r="AE72" s="6"/>
    </row>
    <row r="73" spans="1:31" s="60" customFormat="1" ht="18.75" customHeight="1">
      <c r="A73" s="591"/>
      <c r="C73" s="65"/>
      <c r="D73" s="348"/>
      <c r="E73" s="322" t="str">
        <f>FHD_NUM_P_35</f>
        <v>3</v>
      </c>
      <c r="F73" s="150" t="str">
        <f>FHD_P_35</f>
        <v>Чистая прибыль, полученная от регулируемого вида деятельности в сфере холодного водоснабжения, в том числе:</v>
      </c>
      <c r="G73" s="39" t="s">
        <v>1716</v>
      </c>
      <c r="H73" s="332"/>
      <c r="I73" s="332"/>
      <c r="J73" s="64" t="str">
        <f>FHD_NOTE_P_35</f>
        <v>Указывается общая сумма чистой прибыли, полученной от регулируемого вида деятельности.</v>
      </c>
      <c r="K73" s="319"/>
      <c r="L73" s="65"/>
      <c r="M73" s="65"/>
      <c r="R73" s="65"/>
      <c r="U73" s="320"/>
      <c r="AA73" s="6"/>
      <c r="AB73" s="6"/>
      <c r="AC73" s="6"/>
      <c r="AD73" s="6"/>
      <c r="AE73" s="6"/>
    </row>
    <row r="74" spans="1:31" s="60" customFormat="1" ht="18.75" customHeight="1">
      <c r="A74" s="591"/>
      <c r="C74" s="65"/>
      <c r="D74" s="53"/>
      <c r="E74" s="322" t="str">
        <f>FHD_NUM_P_36</f>
        <v>3.1</v>
      </c>
      <c r="F74" s="334"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39" t="s">
        <v>1716</v>
      </c>
      <c r="H74" s="332"/>
      <c r="I74" s="332"/>
      <c r="J74" s="64" t="str">
        <f>FHD_NOTE_P_36</f>
        <v/>
      </c>
      <c r="K74" s="319"/>
      <c r="L74" s="65"/>
      <c r="M74" s="65"/>
      <c r="R74" s="65"/>
      <c r="U74" s="320"/>
      <c r="AA74" s="6"/>
      <c r="AB74" s="6"/>
      <c r="AC74" s="6"/>
      <c r="AD74" s="6"/>
      <c r="AE74" s="6"/>
    </row>
    <row r="75" spans="1:31" s="60" customFormat="1" ht="18.75" customHeight="1">
      <c r="A75" s="591"/>
      <c r="C75" s="65"/>
      <c r="D75" s="53"/>
      <c r="E75" s="322" t="str">
        <f>FHD_NUM_P_37</f>
        <v>4</v>
      </c>
      <c r="F75" s="150" t="str">
        <f>FHD_P_37</f>
        <v>Изменение стоимости основных фондов, в том числе:</v>
      </c>
      <c r="G75" s="39" t="s">
        <v>1716</v>
      </c>
      <c r="H75" s="332"/>
      <c r="I75" s="332"/>
      <c r="J75" s="64" t="str">
        <f>FHD_NOTE_P_37</f>
        <v>Указывается общее изменение стоимости основных фондов.</v>
      </c>
      <c r="K75" s="319"/>
      <c r="L75" s="65"/>
      <c r="M75" s="65"/>
      <c r="R75" s="65"/>
      <c r="U75" s="320"/>
      <c r="AA75" s="6"/>
      <c r="AB75" s="6"/>
      <c r="AC75" s="6"/>
      <c r="AD75" s="6"/>
      <c r="AE75" s="6"/>
    </row>
    <row r="76" spans="1:31" s="60" customFormat="1" ht="18.75" customHeight="1">
      <c r="A76" s="591"/>
      <c r="C76" s="65"/>
      <c r="D76" s="53"/>
      <c r="E76" s="322" t="str">
        <f>FHD_NUM_P_38</f>
        <v>4.1</v>
      </c>
      <c r="F76" s="334" t="str">
        <f>FHD_P_38</f>
        <v>Изменение стоимости основных фондов за счет их ввода в эксплуатацию (вывода из эксплуатации)</v>
      </c>
      <c r="G76" s="39" t="s">
        <v>1716</v>
      </c>
      <c r="H76" s="332"/>
      <c r="I76" s="332"/>
      <c r="J76" s="64" t="str">
        <f>FHD_NOTE_P_38</f>
        <v>Указываются общее изменение стоимости основных фондов за счет их ввода в эксплуатацию и вывода из эксплуатации.</v>
      </c>
      <c r="K76" s="319"/>
      <c r="L76" s="65"/>
      <c r="M76" s="65"/>
      <c r="R76" s="65"/>
      <c r="U76" s="320"/>
      <c r="AA76" s="6"/>
      <c r="AB76" s="6"/>
      <c r="AC76" s="6"/>
      <c r="AD76" s="6"/>
      <c r="AE76" s="6"/>
    </row>
    <row r="77" spans="1:31" s="60" customFormat="1" ht="18.75" customHeight="1">
      <c r="A77" s="591"/>
      <c r="C77" s="65"/>
      <c r="D77" s="53"/>
      <c r="E77" s="322" t="str">
        <f>FHD_NUM_P_39</f>
        <v>4.1.1</v>
      </c>
      <c r="F77" s="349" t="str">
        <f>FHD_P_39</f>
        <v>Изменение стоимости основных фондов за счет их ввода в эксплуатацию</v>
      </c>
      <c r="G77" s="39" t="s">
        <v>1716</v>
      </c>
      <c r="H77" s="332"/>
      <c r="I77" s="332"/>
      <c r="J77" s="64" t="str">
        <f>FHD_NOTE_P_39</f>
        <v>Указываются изменение стоимости основных фондов за счет их ввода в эксплуатацию.</v>
      </c>
      <c r="K77" s="319"/>
      <c r="L77" s="65"/>
      <c r="M77" s="65"/>
      <c r="R77" s="65"/>
      <c r="U77" s="320"/>
      <c r="AA77" s="6"/>
      <c r="AB77" s="6"/>
      <c r="AC77" s="6"/>
      <c r="AD77" s="6"/>
      <c r="AE77" s="6"/>
    </row>
    <row r="78" spans="1:31" s="60" customFormat="1" ht="18.75" customHeight="1">
      <c r="A78" s="591"/>
      <c r="C78" s="65"/>
      <c r="D78" s="53"/>
      <c r="E78" s="322" t="str">
        <f>FHD_NUM_P_40</f>
        <v>4.1.2</v>
      </c>
      <c r="F78" s="349" t="str">
        <f>FHD_P_40</f>
        <v>Изменение стоимости основных фондов за счет их вывода в эксплуатацию</v>
      </c>
      <c r="G78" s="39" t="s">
        <v>1716</v>
      </c>
      <c r="H78" s="332"/>
      <c r="I78" s="332"/>
      <c r="J78" s="64" t="str">
        <f>FHD_NOTE_P_40</f>
        <v>Указываются изменение стоимости основных фондов за счет их вывода из эксплуатации.</v>
      </c>
      <c r="K78" s="319"/>
      <c r="L78" s="65"/>
      <c r="M78" s="65"/>
      <c r="R78" s="65"/>
      <c r="U78" s="320"/>
      <c r="AA78" s="6"/>
      <c r="AB78" s="6"/>
      <c r="AC78" s="6"/>
      <c r="AD78" s="6"/>
      <c r="AE78" s="6"/>
    </row>
    <row r="79" spans="1:31" s="60" customFormat="1" ht="18.75" customHeight="1">
      <c r="A79" s="591"/>
      <c r="C79" s="65"/>
      <c r="D79" s="53"/>
      <c r="E79" s="322" t="str">
        <f>FHD_NUM_P_41</f>
        <v>4.2</v>
      </c>
      <c r="F79" s="334" t="str">
        <f>FHD_P_41</f>
        <v>Изменение стоимости основных фондов за счет их переоценки</v>
      </c>
      <c r="G79" s="351" t="s">
        <v>1716</v>
      </c>
      <c r="H79" s="332"/>
      <c r="I79" s="332"/>
      <c r="J79" s="64" t="str">
        <f>FHD_NOTE_P_41</f>
        <v/>
      </c>
      <c r="K79" s="319"/>
      <c r="L79" s="65"/>
      <c r="M79" s="65"/>
      <c r="R79" s="65"/>
      <c r="U79" s="320"/>
      <c r="AA79" s="6"/>
      <c r="AB79" s="6"/>
      <c r="AC79" s="6"/>
      <c r="AD79" s="6"/>
      <c r="AE79" s="6"/>
    </row>
    <row r="80" spans="1:31" s="60" customFormat="1" ht="18.75" customHeight="1">
      <c r="A80" s="593" t="s">
        <v>1736</v>
      </c>
      <c r="C80" s="65"/>
      <c r="D80" s="53"/>
      <c r="E80" s="322" t="str">
        <f>FHD_NUM_P_42</f>
        <v>5</v>
      </c>
      <c r="F80" s="150" t="str">
        <f>FHD_P_42</f>
        <v>Валовая прибыль (убытки) от продажи товаров и услуг по регулируемым видам деятельности в сфере холодного водоснабжения</v>
      </c>
      <c r="G80" s="39" t="s">
        <v>1716</v>
      </c>
      <c r="H80" s="580"/>
      <c r="I80" s="332"/>
      <c r="J80" s="64" t="str">
        <f>FHD_NOTE_P_42</f>
        <v/>
      </c>
      <c r="K80" s="319"/>
      <c r="L80" s="65"/>
      <c r="M80" s="65"/>
      <c r="R80" s="65"/>
      <c r="U80" s="320"/>
      <c r="AA80" s="6"/>
      <c r="AB80" s="6"/>
      <c r="AC80" s="6"/>
      <c r="AD80" s="6"/>
      <c r="AE80" s="6"/>
    </row>
    <row r="81" spans="1:31" s="60" customFormat="1" ht="18.75" customHeight="1">
      <c r="A81" s="591"/>
      <c r="C81" s="65"/>
      <c r="D81" s="53"/>
      <c r="E81" s="322" t="str">
        <f>FHD_NUM_P_43</f>
        <v>6</v>
      </c>
      <c r="F81" s="150" t="str">
        <f>FHD_P_43</f>
        <v>Годовая бухгалтерская (финансовая) отчетность, включая бухгалтерский баланс и приложения к нему</v>
      </c>
      <c r="G81" s="39" t="s">
        <v>294</v>
      </c>
      <c r="H81" s="640"/>
      <c r="I81" s="241"/>
      <c r="J81" s="64" t="str">
        <f>FHD_NOTE_P_43</f>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319"/>
      <c r="L81" s="65"/>
      <c r="M81" s="65"/>
      <c r="R81" s="65"/>
      <c r="U81" s="320"/>
      <c r="AA81" s="6"/>
      <c r="AB81" s="6"/>
      <c r="AC81" s="6"/>
      <c r="AD81" s="6"/>
      <c r="AE81" s="6"/>
    </row>
    <row r="82" spans="1:31" s="60" customFormat="1" ht="18.75" customHeight="1">
      <c r="A82" s="1401" t="s">
        <v>1737</v>
      </c>
      <c r="C82" s="65"/>
      <c r="D82" s="53"/>
      <c r="E82" s="322" t="str">
        <f>FHD_NUM_P_44</f>
        <v>7</v>
      </c>
      <c r="F82" s="150" t="str">
        <f>FHD_P_44</f>
        <v>Объём поднятой воды</v>
      </c>
      <c r="G82" s="39" t="s">
        <v>1738</v>
      </c>
      <c r="H82" s="581"/>
      <c r="I82" s="350"/>
      <c r="J82" s="64" t="str">
        <f>FHD_NOTE_P_44</f>
        <v/>
      </c>
      <c r="K82" s="319"/>
      <c r="L82" s="65"/>
      <c r="M82" s="65"/>
      <c r="R82" s="65"/>
      <c r="U82" s="320"/>
      <c r="AA82" s="6"/>
      <c r="AB82" s="6"/>
      <c r="AC82" s="6"/>
      <c r="AD82" s="6"/>
      <c r="AE82" s="6"/>
    </row>
    <row r="83" spans="1:31" s="60" customFormat="1" ht="18.75" customHeight="1">
      <c r="A83" s="1401"/>
      <c r="C83" s="65"/>
      <c r="D83" s="53"/>
      <c r="E83" s="322" t="str">
        <f>FHD_NUM_P_45</f>
        <v>8</v>
      </c>
      <c r="F83" s="150" t="str">
        <f>FHD_P_45</f>
        <v>Объём покупной воды</v>
      </c>
      <c r="G83" s="39" t="s">
        <v>1738</v>
      </c>
      <c r="H83" s="581"/>
      <c r="I83" s="350"/>
      <c r="J83" s="64" t="str">
        <f>FHD_NOTE_P_45</f>
        <v/>
      </c>
      <c r="K83" s="319"/>
      <c r="L83" s="65"/>
      <c r="M83" s="65"/>
      <c r="R83" s="65"/>
      <c r="U83" s="320"/>
      <c r="AA83" s="6"/>
      <c r="AB83" s="6"/>
      <c r="AC83" s="6"/>
      <c r="AD83" s="6"/>
      <c r="AE83" s="6"/>
    </row>
    <row r="84" spans="1:31" s="60" customFormat="1" ht="18.75" customHeight="1">
      <c r="A84" s="1401"/>
      <c r="C84" s="65"/>
      <c r="D84" s="348"/>
      <c r="E84" s="322" t="str">
        <f>FHD_NUM_P_46</f>
        <v>9</v>
      </c>
      <c r="F84" s="150" t="str">
        <f>FHD_P_46</f>
        <v>Объём воды, пропущенной через очистные сооружения</v>
      </c>
      <c r="G84" s="39" t="s">
        <v>1738</v>
      </c>
      <c r="H84" s="581"/>
      <c r="I84" s="350"/>
      <c r="J84" s="64" t="str">
        <f>FHD_NOTE_P_46</f>
        <v/>
      </c>
      <c r="K84" s="319"/>
      <c r="L84" s="65"/>
      <c r="M84" s="65"/>
      <c r="R84" s="65"/>
      <c r="U84" s="320"/>
      <c r="AA84" s="6"/>
      <c r="AB84" s="6"/>
      <c r="AC84" s="6"/>
      <c r="AD84" s="6"/>
      <c r="AE84" s="6"/>
    </row>
    <row r="85" spans="1:31" s="60" customFormat="1" ht="18.75" customHeight="1">
      <c r="A85" s="1401"/>
      <c r="C85" s="65"/>
      <c r="D85" s="53"/>
      <c r="E85" s="322" t="str">
        <f>FHD_NUM_P_47</f>
        <v>10</v>
      </c>
      <c r="F85" s="150" t="str">
        <f>FHD_P_47</f>
        <v>Объём отпущенной потребителям воды, в том числе:</v>
      </c>
      <c r="G85" s="39" t="s">
        <v>1738</v>
      </c>
      <c r="H85" s="581"/>
      <c r="I85" s="350"/>
      <c r="J85" s="64" t="str">
        <f>FHD_NOTE_P_47</f>
        <v>Указывается общий объем отпущенной потребителям воды.</v>
      </c>
      <c r="K85" s="319"/>
      <c r="L85" s="65"/>
      <c r="M85" s="65"/>
      <c r="R85" s="65"/>
      <c r="U85" s="320"/>
      <c r="AA85" s="6"/>
      <c r="AB85" s="6"/>
      <c r="AC85" s="6"/>
      <c r="AD85" s="6"/>
      <c r="AE85" s="6"/>
    </row>
    <row r="86" spans="1:31" s="9" customFormat="1" ht="18.75" customHeight="1">
      <c r="A86" s="1401"/>
      <c r="B86" s="60"/>
      <c r="C86" s="65"/>
      <c r="D86" s="53"/>
      <c r="E86" s="322" t="str">
        <f>FHD_NUM_P_48</f>
        <v>10.1</v>
      </c>
      <c r="F86" s="150" t="str">
        <f>FHD_P_48</f>
        <v>Объём отпущенной потребителям воды, определенный по приборам учета</v>
      </c>
      <c r="G86" s="39" t="s">
        <v>1738</v>
      </c>
      <c r="H86" s="581"/>
      <c r="I86" s="350"/>
      <c r="J86" s="64" t="str">
        <f>FHD_NOTE_P_48</f>
        <v/>
      </c>
      <c r="K86" s="319"/>
      <c r="L86" s="65"/>
      <c r="M86" s="65"/>
      <c r="N86" s="60"/>
      <c r="O86" s="60"/>
      <c r="P86" s="60"/>
      <c r="Q86" s="60"/>
      <c r="R86" s="65"/>
      <c r="S86" s="60"/>
      <c r="T86" s="60"/>
      <c r="U86" s="320"/>
      <c r="V86" s="60"/>
      <c r="W86" s="60"/>
      <c r="X86" s="60"/>
      <c r="Y86" s="60"/>
      <c r="Z86" s="60"/>
      <c r="AA86" s="6"/>
      <c r="AB86" s="6"/>
      <c r="AC86" s="6"/>
      <c r="AD86" s="6"/>
      <c r="AE86" s="6"/>
    </row>
    <row r="87" spans="1:31" s="9" customFormat="1" ht="18.75" customHeight="1">
      <c r="A87" s="1401"/>
      <c r="B87" s="60"/>
      <c r="C87" s="65"/>
      <c r="D87" s="53"/>
      <c r="E87" s="322" t="str">
        <f>FHD_NUM_P_49</f>
        <v>10.2</v>
      </c>
      <c r="F87" s="150" t="str">
        <f>FHD_P_49</f>
        <v>Объём отпущенной потребителям воды, определенный расчетным способом</v>
      </c>
      <c r="G87" s="39" t="s">
        <v>1738</v>
      </c>
      <c r="H87" s="582">
        <f>SUM(H88:H89)</f>
        <v>0</v>
      </c>
      <c r="I87" s="443">
        <f>SUM(I88:I89)</f>
        <v>0</v>
      </c>
      <c r="J87" s="64" t="str">
        <f>FHD_NOTE_P_49</f>
        <v/>
      </c>
      <c r="K87" s="319"/>
      <c r="L87" s="65"/>
      <c r="M87" s="65"/>
      <c r="N87" s="60"/>
      <c r="O87" s="60"/>
      <c r="P87" s="60"/>
      <c r="Q87" s="60"/>
      <c r="R87" s="65"/>
      <c r="S87" s="60"/>
      <c r="T87" s="60"/>
      <c r="U87" s="320"/>
      <c r="V87" s="60"/>
      <c r="W87" s="60"/>
      <c r="X87" s="60"/>
      <c r="Y87" s="60"/>
      <c r="Z87" s="60"/>
      <c r="AA87" s="6"/>
      <c r="AB87" s="6"/>
      <c r="AC87" s="6"/>
      <c r="AD87" s="6"/>
      <c r="AE87" s="6"/>
    </row>
    <row r="88" spans="1:31" s="9" customFormat="1" ht="18.75" customHeight="1">
      <c r="A88" s="1401"/>
      <c r="B88" s="60"/>
      <c r="C88" s="65"/>
      <c r="D88" s="53"/>
      <c r="E88" s="322" t="str">
        <f>FHD_NUM_P_50</f>
        <v>10.2.1</v>
      </c>
      <c r="F88" s="150" t="str">
        <f>FHD_P_50</f>
        <v>Объём отпущенной потребителям воды, определенный по нормативам потребления коммунальных услуг</v>
      </c>
      <c r="G88" s="39" t="s">
        <v>1738</v>
      </c>
      <c r="H88" s="581"/>
      <c r="I88" s="350"/>
      <c r="J88" s="64" t="str">
        <f>FHD_NOTE_P_50</f>
        <v/>
      </c>
      <c r="K88" s="319"/>
      <c r="L88" s="65"/>
      <c r="M88" s="65"/>
      <c r="N88" s="60"/>
      <c r="O88" s="60"/>
      <c r="P88" s="60"/>
      <c r="Q88" s="60"/>
      <c r="R88" s="65"/>
      <c r="S88" s="60"/>
      <c r="T88" s="60"/>
      <c r="U88" s="320"/>
      <c r="V88" s="60"/>
      <c r="W88" s="60"/>
      <c r="X88" s="60"/>
      <c r="Y88" s="60"/>
      <c r="Z88" s="60"/>
      <c r="AA88" s="6"/>
      <c r="AB88" s="6"/>
      <c r="AC88" s="6"/>
      <c r="AD88" s="6"/>
      <c r="AE88" s="6"/>
    </row>
    <row r="89" spans="1:31" s="9" customFormat="1" ht="18.75" customHeight="1">
      <c r="A89" s="1401"/>
      <c r="B89" s="60"/>
      <c r="C89" s="65"/>
      <c r="D89" s="53"/>
      <c r="E89" s="322" t="str">
        <f>FHD_NUM_P_51</f>
        <v>10.2.2</v>
      </c>
      <c r="F89" s="150" t="str">
        <f>FHD_P_51</f>
        <v xml:space="preserve">Объём отпущенной потребителям воды, определенный по нормативам потребления коммунальных ресурсов </v>
      </c>
      <c r="G89" s="39" t="s">
        <v>1738</v>
      </c>
      <c r="H89" s="581"/>
      <c r="I89" s="350"/>
      <c r="J89" s="64" t="str">
        <f>FHD_NOTE_P_51</f>
        <v/>
      </c>
      <c r="K89" s="319"/>
      <c r="L89" s="65"/>
      <c r="M89" s="65"/>
      <c r="N89" s="60"/>
      <c r="O89" s="60"/>
      <c r="P89" s="60"/>
      <c r="Q89" s="60"/>
      <c r="R89" s="65"/>
      <c r="S89" s="60"/>
      <c r="T89" s="60"/>
      <c r="U89" s="320"/>
      <c r="V89" s="60"/>
      <c r="W89" s="60"/>
      <c r="X89" s="60"/>
      <c r="Y89" s="60"/>
      <c r="Z89" s="60"/>
      <c r="AA89" s="6"/>
      <c r="AB89" s="6"/>
      <c r="AC89" s="6"/>
      <c r="AD89" s="6"/>
      <c r="AE89" s="6"/>
    </row>
    <row r="90" spans="1:31" s="9" customFormat="1" ht="18.75" customHeight="1">
      <c r="A90" s="1401"/>
      <c r="B90" s="60"/>
      <c r="C90" s="65"/>
      <c r="D90" s="53"/>
      <c r="E90" s="322" t="str">
        <f>FHD_NUM_P_52</f>
        <v>11</v>
      </c>
      <c r="F90" s="150" t="str">
        <f>FHD_P_52</f>
        <v>Потери воды в сетях</v>
      </c>
      <c r="G90" s="39" t="s">
        <v>1629</v>
      </c>
      <c r="H90" s="580"/>
      <c r="I90" s="332"/>
      <c r="J90" s="64" t="str">
        <f>FHD_NOTE_P_52</f>
        <v/>
      </c>
      <c r="K90" s="319"/>
      <c r="L90" s="65"/>
      <c r="M90" s="65"/>
      <c r="N90" s="60"/>
      <c r="O90" s="60"/>
      <c r="P90" s="60"/>
      <c r="Q90" s="60"/>
      <c r="R90" s="65"/>
      <c r="S90" s="60"/>
      <c r="T90" s="60"/>
      <c r="U90" s="320"/>
      <c r="V90" s="60"/>
      <c r="W90" s="60"/>
      <c r="X90" s="60"/>
      <c r="Y90" s="60"/>
      <c r="Z90" s="60"/>
      <c r="AA90" s="6"/>
      <c r="AB90" s="6"/>
      <c r="AC90" s="6"/>
      <c r="AD90" s="6"/>
      <c r="AE90" s="6"/>
    </row>
    <row r="91" spans="1:31" s="60" customFormat="1" ht="18.75" hidden="1" customHeight="1">
      <c r="A91" s="1401" t="s">
        <v>1739</v>
      </c>
      <c r="C91" s="65"/>
      <c r="D91" s="53"/>
      <c r="E91" s="322" t="str">
        <f>FHD_NUM_P_53</f>
        <v/>
      </c>
      <c r="F91" s="150" t="str">
        <f>FHD_P_53</f>
        <v/>
      </c>
      <c r="G91" s="39" t="s">
        <v>1738</v>
      </c>
      <c r="H91" s="581"/>
      <c r="I91" s="350"/>
      <c r="J91" s="64" t="str">
        <f>FHD_NOTE_P_53</f>
        <v/>
      </c>
      <c r="K91" s="319"/>
      <c r="L91" s="65"/>
      <c r="M91" s="65"/>
      <c r="R91" s="65"/>
      <c r="U91" s="320"/>
      <c r="AA91" s="6"/>
      <c r="AB91" s="6"/>
      <c r="AC91" s="6"/>
      <c r="AD91" s="6"/>
      <c r="AE91" s="6"/>
    </row>
    <row r="92" spans="1:31" s="60" customFormat="1" ht="18.75" hidden="1" customHeight="1">
      <c r="A92" s="1401"/>
      <c r="C92" s="65"/>
      <c r="D92" s="53"/>
      <c r="E92" s="322" t="str">
        <f>FHD_NUM_P_54</f>
        <v/>
      </c>
      <c r="F92" s="150" t="str">
        <f>FHD_P_54</f>
        <v/>
      </c>
      <c r="G92" s="39" t="s">
        <v>1738</v>
      </c>
      <c r="H92" s="581"/>
      <c r="I92" s="350"/>
      <c r="J92" s="64" t="str">
        <f>FHD_NOTE_P_54</f>
        <v/>
      </c>
      <c r="K92" s="319"/>
      <c r="L92" s="65"/>
      <c r="M92" s="65"/>
      <c r="R92" s="65"/>
      <c r="U92" s="320"/>
      <c r="AA92" s="6"/>
      <c r="AB92" s="6"/>
      <c r="AC92" s="6"/>
      <c r="AD92" s="6"/>
      <c r="AE92" s="6"/>
    </row>
    <row r="93" spans="1:31" s="60" customFormat="1" ht="18.75" hidden="1" customHeight="1">
      <c r="A93" s="1401"/>
      <c r="C93" s="65"/>
      <c r="D93" s="348"/>
      <c r="E93" s="322" t="str">
        <f>FHD_NUM_P_55</f>
        <v/>
      </c>
      <c r="F93" s="150" t="str">
        <f>FHD_P_55</f>
        <v/>
      </c>
      <c r="G93" s="532"/>
      <c r="H93" s="581"/>
      <c r="I93" s="350"/>
      <c r="J93" s="64" t="str">
        <f>FHD_NOTE_P_55</f>
        <v/>
      </c>
      <c r="K93" s="319"/>
      <c r="L93" s="65"/>
      <c r="M93" s="65"/>
      <c r="R93" s="65"/>
      <c r="U93" s="320"/>
      <c r="AA93" s="6"/>
      <c r="AB93" s="6"/>
      <c r="AC93" s="6"/>
      <c r="AD93" s="6"/>
      <c r="AE93" s="6"/>
    </row>
    <row r="94" spans="1:31" s="60" customFormat="1" ht="18.75" hidden="1" customHeight="1">
      <c r="A94" s="1401"/>
      <c r="C94" s="65"/>
      <c r="D94" s="53"/>
      <c r="E94" s="322" t="str">
        <f>FHD_NUM_P_56</f>
        <v/>
      </c>
      <c r="F94" s="150" t="str">
        <f>FHD_P_56</f>
        <v/>
      </c>
      <c r="G94" s="39" t="s">
        <v>845</v>
      </c>
      <c r="H94" s="581"/>
      <c r="I94" s="350"/>
      <c r="J94" s="64" t="str">
        <f>FHD_NOTE_P_56</f>
        <v/>
      </c>
      <c r="K94" s="319"/>
      <c r="L94" s="65"/>
      <c r="M94" s="65"/>
      <c r="R94" s="65"/>
      <c r="U94" s="320"/>
      <c r="AA94" s="6"/>
      <c r="AB94" s="6"/>
      <c r="AC94" s="6"/>
      <c r="AD94" s="6"/>
      <c r="AE94" s="6"/>
    </row>
    <row r="95" spans="1:31" s="9" customFormat="1" ht="18.75" hidden="1" customHeight="1">
      <c r="A95" s="1401"/>
      <c r="B95" s="60"/>
      <c r="C95" s="65"/>
      <c r="D95" s="53"/>
      <c r="E95" s="322" t="str">
        <f>FHD_NUM_P_57</f>
        <v/>
      </c>
      <c r="F95" s="150" t="str">
        <f>FHD_P_57</f>
        <v/>
      </c>
      <c r="G95" s="39" t="s">
        <v>1629</v>
      </c>
      <c r="H95" s="580"/>
      <c r="I95" s="332"/>
      <c r="J95" s="64" t="str">
        <f>FHD_NOTE_P_57</f>
        <v/>
      </c>
      <c r="K95" s="319"/>
      <c r="L95" s="65"/>
      <c r="M95" s="65"/>
      <c r="N95" s="60"/>
      <c r="O95" s="60"/>
      <c r="P95" s="60"/>
      <c r="Q95" s="60"/>
      <c r="R95" s="65"/>
      <c r="S95" s="60"/>
      <c r="T95" s="60"/>
      <c r="U95" s="320"/>
      <c r="V95" s="60"/>
      <c r="W95" s="60"/>
      <c r="X95" s="60"/>
      <c r="Y95" s="60"/>
      <c r="Z95" s="60"/>
      <c r="AA95" s="6"/>
      <c r="AB95" s="6"/>
      <c r="AC95" s="6"/>
      <c r="AD95" s="6"/>
      <c r="AE95" s="6"/>
    </row>
    <row r="96" spans="1:31" ht="18.75" hidden="1" customHeight="1">
      <c r="A96" s="1401" t="s">
        <v>1740</v>
      </c>
      <c r="D96" s="53"/>
      <c r="E96" s="322" t="str">
        <f>FHD_NUM_P_58</f>
        <v/>
      </c>
      <c r="F96" s="150" t="str">
        <f>FHD_P_58</f>
        <v/>
      </c>
      <c r="G96" s="39" t="s">
        <v>1738</v>
      </c>
      <c r="H96" s="581"/>
      <c r="I96" s="350"/>
      <c r="J96" s="64" t="str">
        <f>FHD_NOTE_P_58</f>
        <v/>
      </c>
      <c r="K96" s="319"/>
    </row>
    <row r="97" spans="1:31" ht="18.75" hidden="1" customHeight="1">
      <c r="A97" s="1401"/>
      <c r="D97" s="53"/>
      <c r="E97" s="322" t="str">
        <f>FHD_NUM_P_59</f>
        <v/>
      </c>
      <c r="F97" s="150" t="str">
        <f>FHD_P_59</f>
        <v/>
      </c>
      <c r="G97" s="39" t="s">
        <v>1738</v>
      </c>
      <c r="H97" s="581"/>
      <c r="I97" s="350"/>
      <c r="J97" s="64" t="str">
        <f>FHD_NOTE_P_59</f>
        <v/>
      </c>
      <c r="K97" s="319"/>
    </row>
    <row r="98" spans="1:31" ht="18.75" hidden="1" customHeight="1">
      <c r="A98" s="1401"/>
      <c r="D98" s="53"/>
      <c r="E98" s="322" t="str">
        <f>FHD_NUM_P_60</f>
        <v/>
      </c>
      <c r="F98" s="150" t="str">
        <f>FHD_P_60</f>
        <v/>
      </c>
      <c r="G98" s="39" t="s">
        <v>1738</v>
      </c>
      <c r="H98" s="581"/>
      <c r="I98" s="350"/>
      <c r="J98" s="64" t="str">
        <f>FHD_NOTE_P_60</f>
        <v/>
      </c>
      <c r="K98" s="319"/>
    </row>
    <row r="99" spans="1:31" s="60" customFormat="1" ht="18.75" hidden="1" customHeight="1">
      <c r="A99" s="1401" t="s">
        <v>1741</v>
      </c>
      <c r="C99" s="65"/>
      <c r="D99" s="53"/>
      <c r="E99" s="322" t="str">
        <f>FHD_NUM_P_61</f>
        <v/>
      </c>
      <c r="F99" s="150" t="str">
        <f>FHD_P_61</f>
        <v/>
      </c>
      <c r="G99" s="39" t="s">
        <v>629</v>
      </c>
      <c r="H99" s="583"/>
      <c r="I99" s="439"/>
      <c r="J99" s="64" t="str">
        <f>FHD_NOTE_P_61</f>
        <v/>
      </c>
      <c r="K99" s="319"/>
      <c r="L99" s="65"/>
      <c r="M99" s="65"/>
      <c r="R99" s="65"/>
      <c r="U99" s="320"/>
      <c r="AA99" s="6"/>
      <c r="AB99" s="6"/>
      <c r="AC99" s="6"/>
      <c r="AD99" s="6"/>
      <c r="AE99" s="6"/>
    </row>
    <row r="100" spans="1:31" s="65" customFormat="1" ht="0.75" hidden="1" customHeight="1">
      <c r="A100" s="1401"/>
      <c r="D100" s="324"/>
      <c r="E100" s="327" t="str">
        <f>E99&amp;".0"</f>
        <v>.0</v>
      </c>
      <c r="F100" s="598"/>
      <c r="G100" s="599"/>
      <c r="H100" s="596"/>
      <c r="I100" s="596"/>
      <c r="J100" s="600"/>
    </row>
    <row r="101" spans="1:31" ht="15" hidden="1" customHeight="1">
      <c r="A101" s="1401"/>
      <c r="D101" s="74"/>
      <c r="E101" s="577"/>
      <c r="F101" s="578" t="s">
        <v>1568</v>
      </c>
      <c r="G101" s="345"/>
      <c r="H101" s="346"/>
      <c r="I101" s="346"/>
      <c r="J101" s="205" t="s">
        <v>1742</v>
      </c>
      <c r="K101" s="319"/>
    </row>
    <row r="102" spans="1:31" s="60" customFormat="1" ht="18.75" hidden="1" customHeight="1">
      <c r="A102" s="1401"/>
      <c r="C102" s="65"/>
      <c r="D102" s="53"/>
      <c r="E102" s="322" t="str">
        <f>FHD_NUM_P_62</f>
        <v/>
      </c>
      <c r="F102" s="150" t="str">
        <f>FHD_P_62</f>
        <v/>
      </c>
      <c r="G102" s="405" t="s">
        <v>629</v>
      </c>
      <c r="H102" s="332"/>
      <c r="I102" s="332"/>
      <c r="J102" s="64" t="str">
        <f>FHD_NOTE_P_62</f>
        <v/>
      </c>
      <c r="K102" s="319"/>
      <c r="L102" s="65"/>
      <c r="M102" s="65"/>
      <c r="R102" s="65"/>
      <c r="U102" s="320"/>
      <c r="AA102" s="6"/>
      <c r="AB102" s="6"/>
      <c r="AC102" s="6"/>
      <c r="AD102" s="6"/>
      <c r="AE102" s="6"/>
    </row>
    <row r="103" spans="1:31" s="60" customFormat="1" ht="18.75" hidden="1" customHeight="1">
      <c r="A103" s="1401"/>
      <c r="C103" s="65"/>
      <c r="D103" s="53"/>
      <c r="E103" s="322" t="str">
        <f>FHD_NUM_P_63</f>
        <v/>
      </c>
      <c r="F103" s="150" t="str">
        <f>FHD_P_63</f>
        <v/>
      </c>
      <c r="G103" s="405" t="s">
        <v>845</v>
      </c>
      <c r="H103" s="350"/>
      <c r="I103" s="350"/>
      <c r="J103" s="64" t="str">
        <f>FHD_NOTE_P_63</f>
        <v/>
      </c>
      <c r="K103" s="319"/>
      <c r="L103" s="65"/>
      <c r="M103" s="65"/>
      <c r="R103" s="65"/>
      <c r="U103" s="320"/>
      <c r="AA103" s="6"/>
      <c r="AB103" s="6"/>
      <c r="AC103" s="6"/>
      <c r="AD103" s="6"/>
      <c r="AE103" s="6"/>
    </row>
    <row r="104" spans="1:31" s="60" customFormat="1" ht="18.75" hidden="1" customHeight="1">
      <c r="A104" s="1401"/>
      <c r="C104" s="65" t="s">
        <v>1743</v>
      </c>
      <c r="D104" s="53"/>
      <c r="E104" s="322" t="str">
        <f>FHD_NUM_P_64</f>
        <v/>
      </c>
      <c r="F104" s="150" t="str">
        <f>FHD_P_64</f>
        <v/>
      </c>
      <c r="G104" s="405" t="s">
        <v>845</v>
      </c>
      <c r="H104" s="321"/>
      <c r="I104" s="321"/>
      <c r="J104" s="64" t="str">
        <f>FHD_NOTE_P_64</f>
        <v/>
      </c>
      <c r="K104" s="319"/>
      <c r="L104" s="65"/>
      <c r="M104" s="65"/>
      <c r="R104" s="65"/>
      <c r="U104" s="320"/>
      <c r="AA104" s="6"/>
      <c r="AB104" s="6"/>
      <c r="AC104" s="6"/>
      <c r="AD104" s="6"/>
      <c r="AE104" s="6"/>
    </row>
    <row r="105" spans="1:31" s="60" customFormat="1" ht="18.75" hidden="1" customHeight="1">
      <c r="A105" s="1401"/>
      <c r="C105" s="65"/>
      <c r="D105" s="53"/>
      <c r="E105" s="322" t="str">
        <f>FHD_NUM_P_65</f>
        <v/>
      </c>
      <c r="F105" s="150" t="str">
        <f>FHD_P_65</f>
        <v/>
      </c>
      <c r="G105" s="405" t="s">
        <v>845</v>
      </c>
      <c r="H105" s="350"/>
      <c r="I105" s="350"/>
      <c r="J105" s="64" t="str">
        <f>FHD_NOTE_P_65</f>
        <v/>
      </c>
      <c r="K105" s="319"/>
      <c r="L105" s="65"/>
      <c r="M105" s="65"/>
      <c r="R105" s="65"/>
      <c r="U105" s="320"/>
      <c r="AA105" s="6"/>
      <c r="AB105" s="6"/>
      <c r="AC105" s="6"/>
      <c r="AD105" s="6"/>
      <c r="AE105" s="6"/>
    </row>
    <row r="106" spans="1:31" s="60" customFormat="1" ht="18.75" hidden="1" customHeight="1">
      <c r="A106" s="1401"/>
      <c r="C106" s="65"/>
      <c r="D106" s="53"/>
      <c r="E106" s="322" t="str">
        <f>FHD_NUM_P_66</f>
        <v/>
      </c>
      <c r="F106" s="334" t="str">
        <f>FHD_P_66</f>
        <v/>
      </c>
      <c r="G106" s="405" t="s">
        <v>845</v>
      </c>
      <c r="H106" s="350"/>
      <c r="I106" s="350"/>
      <c r="J106" s="64" t="str">
        <f>FHD_NOTE_P_66</f>
        <v/>
      </c>
      <c r="K106" s="319"/>
      <c r="L106" s="65"/>
      <c r="M106" s="65"/>
      <c r="R106" s="65"/>
      <c r="U106" s="320"/>
      <c r="AA106" s="6"/>
      <c r="AB106" s="6"/>
      <c r="AC106" s="6"/>
      <c r="AD106" s="6"/>
      <c r="AE106" s="6"/>
    </row>
    <row r="107" spans="1:31" s="60" customFormat="1" ht="18.75" hidden="1" customHeight="1">
      <c r="A107" s="1401"/>
      <c r="C107" s="65"/>
      <c r="D107" s="53"/>
      <c r="E107" s="322" t="str">
        <f>FHD_NUM_P_67</f>
        <v/>
      </c>
      <c r="F107" s="349" t="str">
        <f>FHD_P_67</f>
        <v/>
      </c>
      <c r="G107" s="405" t="s">
        <v>845</v>
      </c>
      <c r="H107" s="350"/>
      <c r="I107" s="350"/>
      <c r="J107" s="64" t="str">
        <f>FHD_NOTE_P_67</f>
        <v/>
      </c>
      <c r="K107" s="319"/>
      <c r="L107" s="65"/>
      <c r="M107" s="65"/>
      <c r="R107" s="65"/>
      <c r="U107" s="320"/>
      <c r="AA107" s="6"/>
      <c r="AB107" s="6"/>
      <c r="AC107" s="6"/>
      <c r="AD107" s="6"/>
      <c r="AE107" s="6"/>
    </row>
    <row r="108" spans="1:31" s="60" customFormat="1" ht="18.75" hidden="1" customHeight="1">
      <c r="A108" s="1401"/>
      <c r="C108" s="65"/>
      <c r="D108" s="53"/>
      <c r="E108" s="322" t="str">
        <f>FHD_NUM_P_68</f>
        <v/>
      </c>
      <c r="F108" s="334" t="str">
        <f>FHD_P_68</f>
        <v/>
      </c>
      <c r="G108" s="405" t="s">
        <v>845</v>
      </c>
      <c r="H108" s="350"/>
      <c r="I108" s="350"/>
      <c r="J108" s="64" t="str">
        <f>FHD_NOTE_P_68</f>
        <v/>
      </c>
      <c r="K108" s="319"/>
      <c r="L108" s="65"/>
      <c r="M108" s="65"/>
      <c r="R108" s="65"/>
      <c r="U108" s="320"/>
      <c r="AA108" s="6"/>
      <c r="AB108" s="6"/>
      <c r="AC108" s="6"/>
      <c r="AD108" s="6"/>
      <c r="AE108" s="6"/>
    </row>
    <row r="109" spans="1:31" s="60" customFormat="1" ht="18.75" hidden="1" customHeight="1">
      <c r="A109" s="1401"/>
      <c r="C109" s="65"/>
      <c r="D109" s="53"/>
      <c r="E109" s="322" t="str">
        <f>FHD_NUM_P_69</f>
        <v/>
      </c>
      <c r="F109" s="334" t="str">
        <f>FHD_P_69</f>
        <v/>
      </c>
      <c r="G109" s="405" t="s">
        <v>845</v>
      </c>
      <c r="H109" s="350"/>
      <c r="I109" s="350"/>
      <c r="J109" s="64" t="str">
        <f>FHD_NOTE_P_69</f>
        <v/>
      </c>
      <c r="K109" s="319"/>
      <c r="L109" s="65"/>
      <c r="M109" s="65"/>
      <c r="R109" s="65"/>
      <c r="U109" s="320"/>
      <c r="AA109" s="6"/>
      <c r="AB109" s="6"/>
      <c r="AC109" s="6"/>
      <c r="AD109" s="6"/>
      <c r="AE109" s="6"/>
    </row>
    <row r="110" spans="1:31" s="60" customFormat="1" ht="22.5" hidden="1" customHeight="1">
      <c r="A110" s="1401"/>
      <c r="C110" s="65"/>
      <c r="D110" s="53"/>
      <c r="E110" s="322" t="str">
        <f>FHD_NUM_P_70</f>
        <v/>
      </c>
      <c r="F110" s="150" t="str">
        <f>FHD_P_70</f>
        <v/>
      </c>
      <c r="G110" s="405" t="s">
        <v>1744</v>
      </c>
      <c r="H110" s="332"/>
      <c r="I110" s="332"/>
      <c r="J110" s="64" t="str">
        <f>FHD_NOTE_P_70</f>
        <v/>
      </c>
      <c r="K110" s="319"/>
      <c r="L110" s="65"/>
      <c r="M110" s="65"/>
      <c r="R110" s="65"/>
      <c r="U110" s="320"/>
      <c r="AA110" s="6"/>
      <c r="AB110" s="6"/>
      <c r="AC110" s="6"/>
      <c r="AD110" s="6"/>
      <c r="AE110" s="6"/>
    </row>
    <row r="111" spans="1:31" s="60" customFormat="1" ht="22.5" hidden="1" customHeight="1">
      <c r="A111" s="1401"/>
      <c r="C111" s="65"/>
      <c r="D111" s="53"/>
      <c r="E111" s="322" t="str">
        <f>FHD_NUM_P_71</f>
        <v/>
      </c>
      <c r="F111" s="150" t="str">
        <f>FHD_P_71</f>
        <v/>
      </c>
      <c r="G111" s="405" t="s">
        <v>1744</v>
      </c>
      <c r="H111" s="332"/>
      <c r="I111" s="332"/>
      <c r="J111" s="64" t="str">
        <f>FHD_NOTE_P_71</f>
        <v/>
      </c>
      <c r="K111" s="319"/>
      <c r="L111" s="65"/>
      <c r="M111" s="65"/>
      <c r="R111" s="65"/>
      <c r="U111" s="320"/>
      <c r="AA111" s="6"/>
      <c r="AB111" s="6"/>
      <c r="AC111" s="6"/>
      <c r="AD111" s="6"/>
      <c r="AE111" s="6"/>
    </row>
    <row r="112" spans="1:31" ht="18.75" customHeight="1">
      <c r="D112" s="53"/>
      <c r="E112" s="322" t="str">
        <f>FHD_NUM_P_72</f>
        <v>12</v>
      </c>
      <c r="F112" s="150" t="str">
        <f>FHD_P_72</f>
        <v>Среднесписочная численность основного производственного персонала</v>
      </c>
      <c r="G112" s="405" t="s">
        <v>1745</v>
      </c>
      <c r="H112" s="350"/>
      <c r="I112" s="350"/>
      <c r="J112" s="64" t="str">
        <f>FHD_NOTE_P_72</f>
        <v/>
      </c>
      <c r="K112" s="319"/>
    </row>
    <row r="113" spans="1:31" ht="18.75" hidden="1" customHeight="1">
      <c r="A113" s="593" t="s">
        <v>1746</v>
      </c>
      <c r="D113" s="53"/>
      <c r="E113" s="322" t="str">
        <f>FHD_NUM_P_73</f>
        <v/>
      </c>
      <c r="F113" s="150" t="str">
        <f>FHD_P_73</f>
        <v/>
      </c>
      <c r="G113" s="576" t="s">
        <v>1745</v>
      </c>
      <c r="H113" s="575"/>
      <c r="I113" s="575"/>
      <c r="J113" s="64" t="str">
        <f>FHD_NOTE_P_73</f>
        <v/>
      </c>
      <c r="K113" s="319"/>
    </row>
    <row r="114" spans="1:31" ht="33.75" customHeight="1">
      <c r="A114" s="593" t="s">
        <v>1747</v>
      </c>
      <c r="D114" s="53"/>
      <c r="E114" s="322" t="str">
        <f>FHD_NUM_P_74</f>
        <v>13</v>
      </c>
      <c r="F114" s="150" t="str">
        <f>FHD_P_74</f>
        <v>Удельный расход электрической энергии на подачу воды в сеть</v>
      </c>
      <c r="G114" s="405" t="s">
        <v>1748</v>
      </c>
      <c r="H114" s="350"/>
      <c r="I114" s="350"/>
      <c r="J114" s="64" t="str">
        <f>FHD_NOTE_P_74</f>
        <v/>
      </c>
      <c r="K114" s="319"/>
    </row>
    <row r="115" spans="1:31" s="9" customFormat="1" ht="18.75" customHeight="1">
      <c r="A115" s="1401" t="s">
        <v>1749</v>
      </c>
      <c r="B115" s="60"/>
      <c r="C115" s="65"/>
      <c r="D115" s="53"/>
      <c r="E115" s="322" t="str">
        <f>FHD_NUM_P_75</f>
        <v>14</v>
      </c>
      <c r="F115" s="150" t="str">
        <f>FHD_P_75</f>
        <v>Расход воды на собственные нужды, в том числе:</v>
      </c>
      <c r="G115" s="405" t="s">
        <v>1629</v>
      </c>
      <c r="H115" s="332"/>
      <c r="I115" s="332"/>
      <c r="J115" s="64" t="str">
        <f>FHD_NOTE_P_75</f>
        <v>Указывается доля общего расхода воды на собственные нужны от объема отпуска воды потребителям.</v>
      </c>
      <c r="K115" s="319"/>
      <c r="L115" s="65"/>
      <c r="M115" s="65"/>
      <c r="N115" s="60"/>
      <c r="O115" s="60"/>
      <c r="P115" s="60"/>
      <c r="Q115" s="60"/>
      <c r="R115" s="65"/>
      <c r="S115" s="60"/>
      <c r="T115" s="60"/>
      <c r="U115" s="320"/>
      <c r="V115" s="60"/>
      <c r="W115" s="60"/>
      <c r="X115" s="60"/>
      <c r="Y115" s="60"/>
      <c r="Z115" s="60"/>
      <c r="AA115" s="6"/>
      <c r="AB115" s="6"/>
      <c r="AC115" s="6"/>
      <c r="AD115" s="6"/>
      <c r="AE115" s="6"/>
    </row>
    <row r="116" spans="1:31" s="9" customFormat="1" ht="18.75" customHeight="1">
      <c r="A116" s="1401"/>
      <c r="B116" s="60"/>
      <c r="C116" s="65"/>
      <c r="D116" s="53"/>
      <c r="E116" s="322" t="str">
        <f>FHD_NUM_P_76</f>
        <v>14.1</v>
      </c>
      <c r="F116" s="150" t="str">
        <f>FHD_P_76</f>
        <v>Расход воды на хозяйственно-бытовые нужды</v>
      </c>
      <c r="G116" s="405" t="s">
        <v>1629</v>
      </c>
      <c r="H116" s="332"/>
      <c r="I116" s="332"/>
      <c r="J116" s="64" t="str">
        <f>FHD_NOTE_P_76</f>
        <v>Указывается доля расхода воды на хозяйственно-бытовые нужны от объема отпуска воды потребителям.</v>
      </c>
      <c r="K116" s="319"/>
      <c r="L116" s="65"/>
      <c r="M116" s="65"/>
      <c r="N116" s="60"/>
      <c r="O116" s="60"/>
      <c r="P116" s="60"/>
      <c r="Q116" s="60"/>
      <c r="R116" s="65"/>
      <c r="S116" s="60"/>
      <c r="T116" s="60"/>
      <c r="U116" s="320"/>
      <c r="V116" s="60"/>
      <c r="W116" s="60"/>
      <c r="X116" s="60"/>
      <c r="Y116" s="60"/>
      <c r="Z116" s="60"/>
      <c r="AA116" s="6"/>
      <c r="AB116" s="6"/>
      <c r="AC116" s="6"/>
      <c r="AD116" s="6"/>
      <c r="AE116" s="6"/>
    </row>
    <row r="117" spans="1:31" s="9" customFormat="1" ht="18.75" customHeight="1">
      <c r="A117" s="1401"/>
      <c r="B117" s="60"/>
      <c r="C117" s="65"/>
      <c r="D117" s="53"/>
      <c r="E117" s="322" t="str">
        <f>FHD_NUM_P_77</f>
        <v>15</v>
      </c>
      <c r="F117" s="150" t="str">
        <f>FHD_P_77</f>
        <v>Показатель использования производственных объектов (по объему перекачки), в том числе:</v>
      </c>
      <c r="G117" s="405" t="s">
        <v>1629</v>
      </c>
      <c r="H117" s="332"/>
      <c r="I117" s="332"/>
      <c r="J117" s="64"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319"/>
      <c r="L117" s="65"/>
      <c r="M117" s="65"/>
      <c r="N117" s="60"/>
      <c r="O117" s="60"/>
      <c r="P117" s="60"/>
      <c r="Q117" s="60"/>
      <c r="R117" s="65"/>
      <c r="S117" s="60"/>
      <c r="T117" s="60"/>
      <c r="U117" s="320"/>
      <c r="V117" s="60"/>
      <c r="W117" s="60"/>
      <c r="X117" s="60"/>
      <c r="Y117" s="60"/>
      <c r="Z117" s="60"/>
      <c r="AA117" s="6"/>
      <c r="AB117" s="6"/>
      <c r="AC117" s="6"/>
      <c r="AD117" s="6"/>
      <c r="AE117" s="6"/>
    </row>
    <row r="118" spans="1:31" s="65" customFormat="1" ht="0.75" customHeight="1">
      <c r="A118" s="1401"/>
      <c r="D118" s="324"/>
      <c r="E118" s="327" t="str">
        <f>E117&amp;".0"</f>
        <v>15.0</v>
      </c>
      <c r="F118" s="601"/>
      <c r="G118" s="931"/>
      <c r="H118" s="596"/>
      <c r="I118" s="596"/>
      <c r="J118" s="600"/>
    </row>
    <row r="119" spans="1:31" s="9" customFormat="1" ht="15" customHeight="1">
      <c r="A119" s="1401"/>
      <c r="B119" s="60"/>
      <c r="C119" s="65"/>
      <c r="D119" s="74"/>
      <c r="E119" s="577"/>
      <c r="F119" s="578" t="s">
        <v>1750</v>
      </c>
      <c r="G119" s="345"/>
      <c r="H119" s="346"/>
      <c r="I119" s="346"/>
      <c r="J119" s="205" t="s">
        <v>1751</v>
      </c>
      <c r="K119" s="319"/>
      <c r="L119" s="65"/>
      <c r="M119" s="65"/>
      <c r="N119" s="60"/>
      <c r="O119" s="60"/>
      <c r="P119" s="60"/>
      <c r="Q119" s="60"/>
      <c r="R119" s="65"/>
      <c r="S119" s="60"/>
      <c r="T119" s="60"/>
      <c r="U119" s="320"/>
      <c r="V119" s="60"/>
      <c r="W119" s="60"/>
      <c r="X119" s="60"/>
      <c r="Y119" s="60"/>
      <c r="Z119" s="60"/>
      <c r="AA119" s="6"/>
      <c r="AB119" s="6"/>
      <c r="AC119" s="6"/>
      <c r="AD119" s="6"/>
      <c r="AE119" s="6"/>
    </row>
    <row r="120" spans="1:31" ht="22.5" hidden="1" customHeight="1">
      <c r="A120" s="1401" t="s">
        <v>1752</v>
      </c>
      <c r="D120" s="53"/>
      <c r="E120" s="322" t="str">
        <f>FHD_NUM_P_78</f>
        <v/>
      </c>
      <c r="F120" s="150" t="str">
        <f>FHD_P_78</f>
        <v/>
      </c>
      <c r="G120" s="405" t="s">
        <v>1722</v>
      </c>
      <c r="H120" s="350"/>
      <c r="I120" s="350"/>
      <c r="J120" s="64" t="str">
        <f>FHD_NOTE_P_78</f>
        <v/>
      </c>
      <c r="K120" s="319"/>
    </row>
    <row r="121" spans="1:31" s="65" customFormat="1" ht="0.75" hidden="1" customHeight="1">
      <c r="A121" s="1401"/>
      <c r="D121" s="324"/>
      <c r="E121" s="327" t="str">
        <f>E120&amp;".0"</f>
        <v>.0</v>
      </c>
      <c r="F121" s="601"/>
      <c r="G121" s="931"/>
      <c r="H121" s="596"/>
      <c r="I121" s="596"/>
      <c r="J121" s="600"/>
    </row>
    <row r="122" spans="1:31" ht="15" hidden="1" customHeight="1">
      <c r="A122" s="1401"/>
      <c r="D122" s="74"/>
      <c r="E122" s="344"/>
      <c r="F122" s="107" t="s">
        <v>1568</v>
      </c>
      <c r="G122" s="345"/>
      <c r="H122" s="346"/>
      <c r="I122" s="346"/>
      <c r="J122" s="205" t="s">
        <v>1753</v>
      </c>
      <c r="K122" s="319"/>
    </row>
    <row r="123" spans="1:31" ht="22.5" hidden="1" customHeight="1">
      <c r="A123" s="1401"/>
      <c r="D123" s="53"/>
      <c r="E123" s="322" t="str">
        <f>FHD_NUM_P_79</f>
        <v/>
      </c>
      <c r="F123" s="150" t="str">
        <f>FHD_P_79</f>
        <v/>
      </c>
      <c r="G123" s="39" t="s">
        <v>1724</v>
      </c>
      <c r="H123" s="350"/>
      <c r="I123" s="350"/>
      <c r="J123" s="64" t="str">
        <f>FHD_NOTE_P_79</f>
        <v/>
      </c>
      <c r="K123" s="319"/>
    </row>
    <row r="124" spans="1:31" s="65" customFormat="1" ht="0.75" hidden="1" customHeight="1">
      <c r="A124" s="1401"/>
      <c r="D124" s="324"/>
      <c r="E124" s="327" t="str">
        <f>E123&amp;".0"</f>
        <v>.0</v>
      </c>
      <c r="F124" s="602"/>
      <c r="G124" s="931"/>
      <c r="H124" s="596"/>
      <c r="I124" s="596"/>
      <c r="J124" s="600"/>
    </row>
    <row r="125" spans="1:31" ht="15" hidden="1" customHeight="1">
      <c r="A125" s="1401"/>
      <c r="D125" s="74"/>
      <c r="E125" s="344"/>
      <c r="F125" s="107" t="s">
        <v>1568</v>
      </c>
      <c r="G125" s="345"/>
      <c r="H125" s="346"/>
      <c r="I125" s="346"/>
      <c r="J125" s="205" t="s">
        <v>1754</v>
      </c>
      <c r="K125" s="319"/>
    </row>
    <row r="126" spans="1:31" ht="22.5" hidden="1" customHeight="1">
      <c r="A126" s="1401"/>
      <c r="D126" s="53"/>
      <c r="E126" s="322" t="str">
        <f>FHD_NUM_P_80</f>
        <v/>
      </c>
      <c r="F126" s="150" t="str">
        <f>FHD_P_80</f>
        <v/>
      </c>
      <c r="G126" s="39" t="s">
        <v>1755</v>
      </c>
      <c r="H126" s="332"/>
      <c r="I126" s="332"/>
      <c r="J126" s="64" t="str">
        <f>FHD_NOTE_P_80</f>
        <v/>
      </c>
      <c r="K126" s="319"/>
    </row>
    <row r="127" spans="1:31" ht="18.75" hidden="1" customHeight="1">
      <c r="A127" s="1401"/>
      <c r="D127" s="53"/>
      <c r="E127" s="322" t="str">
        <f>FHD_NUM_P_81</f>
        <v/>
      </c>
      <c r="F127" s="150" t="str">
        <f>FHD_P_81</f>
        <v/>
      </c>
      <c r="G127" s="39" t="s">
        <v>1756</v>
      </c>
      <c r="H127" s="332"/>
      <c r="I127" s="332"/>
      <c r="J127" s="64" t="str">
        <f>FHD_NOTE_P_81</f>
        <v/>
      </c>
      <c r="K127" s="319"/>
    </row>
    <row r="128" spans="1:31" ht="18.75" hidden="1" customHeight="1">
      <c r="A128" s="1401"/>
      <c r="C128" s="65" t="s">
        <v>1743</v>
      </c>
      <c r="D128" s="53"/>
      <c r="E128" s="322" t="str">
        <f>FHD_NUM_P_82</f>
        <v/>
      </c>
      <c r="F128" s="150" t="str">
        <f>FHD_P_82</f>
        <v/>
      </c>
      <c r="G128" s="39" t="s">
        <v>294</v>
      </c>
      <c r="H128" s="241"/>
      <c r="I128" s="241"/>
      <c r="J128" s="64" t="str">
        <f>FHD_NOTE_P_82</f>
        <v/>
      </c>
      <c r="K128" s="319"/>
    </row>
    <row r="129" spans="1:31" ht="18.75" hidden="1" customHeight="1">
      <c r="A129" s="1401"/>
      <c r="C129" s="65" t="s">
        <v>1743</v>
      </c>
      <c r="D129" s="53"/>
      <c r="E129" s="322" t="str">
        <f>FHD_NUM_P_83</f>
        <v/>
      </c>
      <c r="F129" s="334" t="str">
        <f>FHD_P_83</f>
        <v/>
      </c>
      <c r="G129" s="39" t="s">
        <v>294</v>
      </c>
      <c r="H129" s="241"/>
      <c r="I129" s="241"/>
      <c r="J129" s="64" t="str">
        <f>FHD_NOTE_P_83</f>
        <v/>
      </c>
      <c r="K129" s="319"/>
    </row>
    <row r="130" spans="1:31" ht="18.75" hidden="1" customHeight="1">
      <c r="A130" s="1401"/>
      <c r="C130" s="65" t="s">
        <v>1743</v>
      </c>
      <c r="D130" s="53"/>
      <c r="E130" s="322" t="str">
        <f>FHD_NUM_P_84</f>
        <v/>
      </c>
      <c r="F130" s="334" t="str">
        <f>FHD_P_84</f>
        <v/>
      </c>
      <c r="G130" s="39" t="s">
        <v>294</v>
      </c>
      <c r="H130" s="241"/>
      <c r="I130" s="241"/>
      <c r="J130" s="64" t="str">
        <f>FHD_NOTE_P_84</f>
        <v/>
      </c>
      <c r="K130" s="319"/>
    </row>
    <row r="131" spans="1:31" ht="11.25" customHeight="1">
      <c r="D131" s="53"/>
    </row>
    <row r="132" spans="1:31" ht="12.75" customHeight="1">
      <c r="D132" s="53"/>
      <c r="E132" s="204"/>
      <c r="F132" s="1"/>
      <c r="G132" s="1"/>
      <c r="H132" s="1"/>
      <c r="I132" s="383"/>
      <c r="J132" s="353"/>
    </row>
    <row r="133" spans="1:31" s="209" customFormat="1" ht="11.25" customHeight="1">
      <c r="A133" s="591"/>
      <c r="B133" s="65"/>
      <c r="C133" s="65"/>
      <c r="F133" s="122"/>
      <c r="G133" s="9"/>
      <c r="H133" s="9"/>
      <c r="I133" s="9"/>
      <c r="K133" s="60"/>
      <c r="L133" s="65"/>
      <c r="M133" s="65"/>
      <c r="N133" s="60"/>
      <c r="O133" s="60"/>
      <c r="P133" s="60"/>
      <c r="Q133" s="60"/>
      <c r="R133" s="65"/>
      <c r="S133" s="60"/>
      <c r="T133" s="60"/>
      <c r="U133" s="320"/>
      <c r="V133" s="60"/>
      <c r="W133" s="60"/>
      <c r="X133" s="60"/>
      <c r="Y133" s="60"/>
      <c r="Z133" s="60"/>
      <c r="AA133" s="6"/>
      <c r="AB133" s="139"/>
      <c r="AC133" s="139"/>
      <c r="AD133" s="139"/>
      <c r="AE133" s="139"/>
    </row>
    <row r="134" spans="1:31" s="209" customFormat="1" ht="11.25" customHeight="1">
      <c r="A134" s="591"/>
      <c r="B134" s="65"/>
      <c r="C134" s="65"/>
      <c r="K134" s="60"/>
      <c r="L134" s="65"/>
      <c r="M134" s="65"/>
      <c r="N134" s="60"/>
      <c r="O134" s="60"/>
      <c r="P134" s="60"/>
      <c r="Q134" s="60"/>
      <c r="R134" s="65"/>
      <c r="S134" s="60"/>
      <c r="T134" s="60"/>
      <c r="U134" s="320"/>
      <c r="V134" s="60"/>
      <c r="W134" s="60"/>
      <c r="X134" s="60"/>
      <c r="Y134" s="60"/>
      <c r="Z134" s="60"/>
      <c r="AA134" s="6"/>
      <c r="AB134" s="139"/>
      <c r="AC134" s="139"/>
      <c r="AD134" s="139"/>
      <c r="AE134" s="139"/>
    </row>
    <row r="135" spans="1:31" s="209" customFormat="1" ht="11.25" customHeight="1">
      <c r="A135" s="591"/>
      <c r="B135" s="65"/>
      <c r="C135" s="65"/>
      <c r="K135" s="60"/>
      <c r="L135" s="65"/>
      <c r="M135" s="65"/>
      <c r="N135" s="60"/>
      <c r="O135" s="60"/>
      <c r="P135" s="60"/>
      <c r="Q135" s="60"/>
      <c r="R135" s="65"/>
      <c r="S135" s="60"/>
      <c r="T135" s="60"/>
      <c r="U135" s="320"/>
      <c r="V135" s="60"/>
      <c r="W135" s="60"/>
      <c r="X135" s="60"/>
      <c r="Y135" s="60"/>
      <c r="Z135" s="60"/>
      <c r="AA135" s="6"/>
      <c r="AB135" s="139"/>
      <c r="AC135" s="139"/>
      <c r="AD135" s="139"/>
      <c r="AE135" s="139"/>
    </row>
    <row r="136" spans="1:31" s="209" customFormat="1" ht="11.25" customHeight="1">
      <c r="A136" s="591"/>
      <c r="B136" s="65"/>
      <c r="C136" s="65"/>
      <c r="H136" s="139" t="str">
        <f>IF(H30-H31&lt;&gt;H72,"WARNING","")</f>
        <v/>
      </c>
      <c r="I136" s="139" t="str">
        <f>IF(I30-I31&lt;&gt;I72,"WARNING","")</f>
        <v/>
      </c>
      <c r="K136" s="60"/>
      <c r="L136" s="65"/>
      <c r="M136" s="65"/>
      <c r="N136" s="60"/>
      <c r="O136" s="60"/>
      <c r="P136" s="60"/>
      <c r="Q136" s="60"/>
      <c r="R136" s="65"/>
      <c r="S136" s="60"/>
      <c r="T136" s="60"/>
      <c r="U136" s="320"/>
      <c r="V136" s="60"/>
      <c r="W136" s="60"/>
      <c r="X136" s="60"/>
      <c r="Y136" s="60"/>
      <c r="Z136" s="60"/>
      <c r="AA136" s="6"/>
      <c r="AB136" s="139"/>
      <c r="AC136" s="139"/>
      <c r="AD136" s="139"/>
      <c r="AE136" s="139"/>
    </row>
    <row r="137" spans="1:31" s="209" customFormat="1" ht="11.25" customHeight="1">
      <c r="A137" s="591"/>
      <c r="B137" s="65"/>
      <c r="C137" s="65"/>
      <c r="K137" s="60"/>
      <c r="L137" s="65"/>
      <c r="M137" s="65"/>
      <c r="N137" s="60"/>
      <c r="O137" s="60"/>
      <c r="P137" s="60"/>
      <c r="Q137" s="60"/>
      <c r="R137" s="65"/>
      <c r="S137" s="60"/>
      <c r="T137" s="60"/>
      <c r="U137" s="320"/>
      <c r="V137" s="60"/>
      <c r="W137" s="60"/>
      <c r="X137" s="60"/>
      <c r="Y137" s="60"/>
      <c r="Z137" s="60"/>
      <c r="AA137" s="6"/>
      <c r="AB137" s="139"/>
      <c r="AC137" s="139"/>
      <c r="AD137" s="139"/>
      <c r="AE137" s="139"/>
    </row>
    <row r="138" spans="1:31" s="209" customFormat="1" ht="11.25" customHeight="1">
      <c r="A138" s="591"/>
      <c r="B138" s="65"/>
      <c r="C138" s="65"/>
      <c r="K138" s="60"/>
      <c r="L138" s="65"/>
      <c r="M138" s="65"/>
      <c r="N138" s="60"/>
      <c r="O138" s="60"/>
      <c r="P138" s="60"/>
      <c r="Q138" s="60"/>
      <c r="R138" s="65"/>
      <c r="S138" s="60"/>
      <c r="T138" s="60"/>
      <c r="U138" s="320"/>
      <c r="V138" s="60"/>
      <c r="W138" s="60"/>
      <c r="X138" s="60"/>
      <c r="Y138" s="60"/>
      <c r="Z138" s="60"/>
      <c r="AA138" s="6"/>
      <c r="AB138" s="139"/>
      <c r="AC138" s="139"/>
      <c r="AD138" s="139"/>
      <c r="AE138" s="139"/>
    </row>
    <row r="139" spans="1:31" s="209" customFormat="1" ht="11.25" customHeight="1">
      <c r="A139" s="591"/>
      <c r="B139" s="65"/>
      <c r="C139" s="65"/>
      <c r="K139" s="60"/>
      <c r="L139" s="65"/>
      <c r="M139" s="65"/>
      <c r="N139" s="60"/>
      <c r="O139" s="60"/>
      <c r="P139" s="60"/>
      <c r="Q139" s="60"/>
      <c r="R139" s="65"/>
      <c r="S139" s="60"/>
      <c r="T139" s="60"/>
      <c r="U139" s="320"/>
      <c r="V139" s="60"/>
      <c r="W139" s="60"/>
      <c r="X139" s="60"/>
      <c r="Y139" s="60"/>
      <c r="Z139" s="60"/>
      <c r="AA139" s="6"/>
      <c r="AB139" s="139"/>
      <c r="AC139" s="139"/>
      <c r="AD139" s="139"/>
      <c r="AE139" s="139"/>
    </row>
    <row r="140" spans="1:31" s="209" customFormat="1" ht="11.25" customHeight="1">
      <c r="A140" s="591"/>
      <c r="B140" s="65"/>
      <c r="C140" s="65"/>
      <c r="K140" s="60"/>
      <c r="L140" s="65"/>
      <c r="M140" s="65"/>
      <c r="N140" s="60"/>
      <c r="O140" s="60"/>
      <c r="P140" s="60"/>
      <c r="Q140" s="60"/>
      <c r="R140" s="65"/>
      <c r="S140" s="60"/>
      <c r="T140" s="60"/>
      <c r="U140" s="320"/>
      <c r="V140" s="60"/>
      <c r="W140" s="60"/>
      <c r="X140" s="60"/>
      <c r="Y140" s="60"/>
      <c r="Z140" s="60"/>
      <c r="AA140" s="6"/>
      <c r="AB140" s="139"/>
      <c r="AC140" s="139"/>
      <c r="AD140" s="139"/>
      <c r="AE140" s="139"/>
    </row>
    <row r="141" spans="1:31" s="209" customFormat="1" ht="11.25" customHeight="1">
      <c r="A141" s="591"/>
      <c r="B141" s="65"/>
      <c r="C141" s="65"/>
      <c r="K141" s="60"/>
      <c r="L141" s="65"/>
      <c r="M141" s="65"/>
      <c r="N141" s="60"/>
      <c r="O141" s="60"/>
      <c r="P141" s="60"/>
      <c r="Q141" s="60"/>
      <c r="R141" s="65"/>
      <c r="S141" s="60"/>
      <c r="T141" s="60"/>
      <c r="U141" s="320"/>
      <c r="V141" s="60"/>
      <c r="W141" s="60"/>
      <c r="X141" s="60"/>
      <c r="Y141" s="60"/>
      <c r="Z141" s="60"/>
      <c r="AA141" s="6"/>
      <c r="AB141" s="139"/>
      <c r="AC141" s="139"/>
      <c r="AD141" s="139"/>
      <c r="AE141" s="139"/>
    </row>
    <row r="142" spans="1:31" s="209" customFormat="1" ht="11.25" customHeight="1">
      <c r="A142" s="591"/>
      <c r="B142" s="65"/>
      <c r="C142" s="65"/>
      <c r="K142" s="60"/>
      <c r="L142" s="65"/>
      <c r="M142" s="65"/>
      <c r="N142" s="60"/>
      <c r="O142" s="60"/>
      <c r="P142" s="60"/>
      <c r="Q142" s="60"/>
      <c r="R142" s="65"/>
      <c r="S142" s="60"/>
      <c r="T142" s="60"/>
      <c r="U142" s="320"/>
      <c r="V142" s="60"/>
      <c r="W142" s="60"/>
      <c r="X142" s="60"/>
      <c r="Y142" s="60"/>
      <c r="Z142" s="60"/>
      <c r="AA142" s="6"/>
      <c r="AB142" s="139"/>
      <c r="AC142" s="139"/>
      <c r="AD142" s="139"/>
      <c r="AE142" s="139"/>
    </row>
    <row r="143" spans="1:31" s="209" customFormat="1" ht="11.25" customHeight="1">
      <c r="A143" s="591"/>
      <c r="B143" s="65"/>
      <c r="C143" s="65"/>
      <c r="K143" s="60"/>
      <c r="L143" s="65"/>
      <c r="M143" s="65"/>
      <c r="N143" s="60"/>
      <c r="O143" s="60"/>
      <c r="P143" s="60"/>
      <c r="Q143" s="60"/>
      <c r="R143" s="65"/>
      <c r="S143" s="60"/>
      <c r="T143" s="60"/>
      <c r="U143" s="320"/>
      <c r="V143" s="60"/>
      <c r="W143" s="60"/>
      <c r="X143" s="60"/>
      <c r="Y143" s="60"/>
      <c r="Z143" s="60"/>
      <c r="AA143" s="6"/>
      <c r="AB143" s="139"/>
      <c r="AC143" s="139"/>
      <c r="AD143" s="139"/>
      <c r="AE143" s="139"/>
    </row>
    <row r="144" spans="1:31" s="209" customFormat="1" ht="11.25" customHeight="1">
      <c r="A144" s="591"/>
      <c r="B144" s="65"/>
      <c r="C144" s="65"/>
      <c r="K144" s="60"/>
      <c r="L144" s="65"/>
      <c r="M144" s="65"/>
      <c r="N144" s="60"/>
      <c r="O144" s="60"/>
      <c r="P144" s="60"/>
      <c r="Q144" s="60"/>
      <c r="R144" s="65"/>
      <c r="S144" s="60"/>
      <c r="T144" s="60"/>
      <c r="U144" s="320"/>
      <c r="V144" s="60"/>
      <c r="W144" s="60"/>
      <c r="X144" s="60"/>
      <c r="Y144" s="60"/>
      <c r="Z144" s="60"/>
      <c r="AA144" s="6"/>
      <c r="AB144" s="139"/>
      <c r="AC144" s="139"/>
      <c r="AD144" s="139"/>
      <c r="AE144" s="139"/>
    </row>
    <row r="145" spans="1:31" s="209" customFormat="1" ht="11.25" customHeight="1">
      <c r="A145" s="591"/>
      <c r="B145" s="65"/>
      <c r="C145" s="65"/>
      <c r="K145" s="60"/>
      <c r="L145" s="65"/>
      <c r="M145" s="65"/>
      <c r="N145" s="60"/>
      <c r="O145" s="60"/>
      <c r="P145" s="60"/>
      <c r="Q145" s="60"/>
      <c r="R145" s="65"/>
      <c r="S145" s="60"/>
      <c r="T145" s="60"/>
      <c r="U145" s="320"/>
      <c r="V145" s="60"/>
      <c r="W145" s="60"/>
      <c r="X145" s="60"/>
      <c r="Y145" s="60"/>
      <c r="Z145" s="60"/>
      <c r="AA145" s="6"/>
      <c r="AB145" s="139"/>
      <c r="AC145" s="139"/>
      <c r="AD145" s="139"/>
      <c r="AE145" s="139"/>
    </row>
    <row r="146" spans="1:31" s="209" customFormat="1" ht="11.25" customHeight="1">
      <c r="A146" s="591"/>
      <c r="B146" s="65"/>
      <c r="C146" s="65"/>
      <c r="K146" s="60"/>
      <c r="L146" s="65"/>
      <c r="M146" s="65"/>
      <c r="N146" s="60"/>
      <c r="O146" s="60"/>
      <c r="P146" s="60"/>
      <c r="Q146" s="60"/>
      <c r="R146" s="65"/>
      <c r="S146" s="60"/>
      <c r="T146" s="60"/>
      <c r="U146" s="320"/>
      <c r="V146" s="60"/>
      <c r="W146" s="60"/>
      <c r="X146" s="60"/>
      <c r="Y146" s="60"/>
      <c r="Z146" s="60"/>
      <c r="AA146" s="6"/>
      <c r="AB146" s="139"/>
      <c r="AC146" s="139"/>
      <c r="AD146" s="139"/>
      <c r="AE146" s="139"/>
    </row>
    <row r="147" spans="1:31" s="209" customFormat="1" ht="11.25" customHeight="1">
      <c r="A147" s="591"/>
      <c r="B147" s="65"/>
      <c r="C147" s="65"/>
      <c r="K147" s="60"/>
      <c r="L147" s="65"/>
      <c r="M147" s="65"/>
      <c r="N147" s="60"/>
      <c r="O147" s="60"/>
      <c r="P147" s="60"/>
      <c r="Q147" s="60"/>
      <c r="R147" s="65"/>
      <c r="S147" s="60"/>
      <c r="T147" s="60"/>
      <c r="U147" s="320"/>
      <c r="V147" s="60"/>
      <c r="W147" s="60"/>
      <c r="X147" s="60"/>
      <c r="Y147" s="60"/>
      <c r="Z147" s="60"/>
      <c r="AA147" s="6"/>
      <c r="AB147" s="139"/>
      <c r="AC147" s="139"/>
      <c r="AD147" s="139"/>
      <c r="AE147" s="139"/>
    </row>
    <row r="148" spans="1:31" s="209" customFormat="1" ht="11.25" customHeight="1">
      <c r="A148" s="591"/>
      <c r="B148" s="65"/>
      <c r="C148" s="65"/>
      <c r="K148" s="60"/>
      <c r="L148" s="65"/>
      <c r="M148" s="65"/>
      <c r="N148" s="60"/>
      <c r="O148" s="60"/>
      <c r="P148" s="60"/>
      <c r="Q148" s="60"/>
      <c r="R148" s="65"/>
      <c r="S148" s="60"/>
      <c r="T148" s="60"/>
      <c r="U148" s="320"/>
      <c r="V148" s="60"/>
      <c r="W148" s="60"/>
      <c r="X148" s="60"/>
      <c r="Y148" s="60"/>
      <c r="Z148" s="60"/>
      <c r="AA148" s="6"/>
      <c r="AB148" s="139"/>
      <c r="AC148" s="139"/>
      <c r="AD148" s="139"/>
      <c r="AE148" s="139"/>
    </row>
    <row r="149" spans="1:31" s="209" customFormat="1" ht="11.25" customHeight="1">
      <c r="A149" s="591"/>
      <c r="B149" s="65"/>
      <c r="C149" s="65"/>
      <c r="K149" s="60"/>
      <c r="L149" s="65"/>
      <c r="M149" s="65"/>
      <c r="N149" s="60"/>
      <c r="O149" s="60"/>
      <c r="P149" s="60"/>
      <c r="Q149" s="60"/>
      <c r="R149" s="65"/>
      <c r="S149" s="60"/>
      <c r="T149" s="60"/>
      <c r="U149" s="320"/>
      <c r="V149" s="60"/>
      <c r="W149" s="60"/>
      <c r="X149" s="60"/>
      <c r="Y149" s="60"/>
      <c r="Z149" s="60"/>
      <c r="AA149" s="6"/>
      <c r="AB149" s="139"/>
      <c r="AC149" s="139"/>
      <c r="AD149" s="139"/>
      <c r="AE149" s="139"/>
    </row>
    <row r="150" spans="1:31" s="209" customFormat="1" ht="11.25" customHeight="1">
      <c r="A150" s="591"/>
      <c r="B150" s="65"/>
      <c r="C150" s="65"/>
      <c r="K150" s="60"/>
      <c r="L150" s="65"/>
      <c r="M150" s="65"/>
      <c r="N150" s="60"/>
      <c r="O150" s="60"/>
      <c r="P150" s="60"/>
      <c r="Q150" s="60"/>
      <c r="R150" s="65"/>
      <c r="S150" s="60"/>
      <c r="T150" s="60"/>
      <c r="U150" s="320"/>
      <c r="V150" s="60"/>
      <c r="W150" s="60"/>
      <c r="X150" s="60"/>
      <c r="Y150" s="60"/>
      <c r="Z150" s="60"/>
      <c r="AA150" s="6"/>
      <c r="AB150" s="139"/>
      <c r="AC150" s="139"/>
      <c r="AD150" s="139"/>
      <c r="AE150" s="139"/>
    </row>
    <row r="151" spans="1:31" s="209" customFormat="1" ht="11.25" customHeight="1">
      <c r="A151" s="591"/>
      <c r="B151" s="65"/>
      <c r="C151" s="65"/>
      <c r="K151" s="60"/>
      <c r="L151" s="65"/>
      <c r="M151" s="65"/>
      <c r="N151" s="60"/>
      <c r="O151" s="60"/>
      <c r="P151" s="60"/>
      <c r="Q151" s="60"/>
      <c r="R151" s="65"/>
      <c r="S151" s="60"/>
      <c r="T151" s="60"/>
      <c r="U151" s="320"/>
      <c r="V151" s="60"/>
      <c r="W151" s="60"/>
      <c r="X151" s="60"/>
      <c r="Y151" s="60"/>
      <c r="Z151" s="60"/>
      <c r="AA151" s="6"/>
      <c r="AB151" s="139"/>
      <c r="AC151" s="139"/>
      <c r="AD151" s="139"/>
      <c r="AE151" s="139"/>
    </row>
    <row r="152" spans="1:31" s="209" customFormat="1" ht="11.25" customHeight="1">
      <c r="A152" s="591"/>
      <c r="B152" s="65"/>
      <c r="C152" s="65"/>
      <c r="K152" s="60"/>
      <c r="L152" s="65"/>
      <c r="M152" s="65"/>
      <c r="N152" s="60"/>
      <c r="O152" s="60"/>
      <c r="P152" s="60"/>
      <c r="Q152" s="60"/>
      <c r="R152" s="65"/>
      <c r="S152" s="60"/>
      <c r="T152" s="60"/>
      <c r="U152" s="320"/>
      <c r="V152" s="60"/>
      <c r="W152" s="60"/>
      <c r="X152" s="60"/>
      <c r="Y152" s="60"/>
      <c r="Z152" s="60"/>
      <c r="AA152" s="6"/>
      <c r="AB152" s="139"/>
      <c r="AC152" s="139"/>
      <c r="AD152" s="139"/>
      <c r="AE152" s="139"/>
    </row>
    <row r="153" spans="1:31" s="209" customFormat="1" ht="11.25" customHeight="1">
      <c r="A153" s="591"/>
      <c r="B153" s="65"/>
      <c r="C153" s="65"/>
      <c r="K153" s="60"/>
      <c r="L153" s="65"/>
      <c r="M153" s="65"/>
      <c r="N153" s="60"/>
      <c r="O153" s="60"/>
      <c r="P153" s="60"/>
      <c r="Q153" s="60"/>
      <c r="R153" s="65"/>
      <c r="S153" s="60"/>
      <c r="T153" s="60"/>
      <c r="U153" s="320"/>
      <c r="V153" s="60"/>
      <c r="W153" s="60"/>
      <c r="X153" s="60"/>
      <c r="Y153" s="60"/>
      <c r="Z153" s="60"/>
      <c r="AA153" s="6"/>
      <c r="AB153" s="139"/>
      <c r="AC153" s="139"/>
      <c r="AD153" s="139"/>
      <c r="AE153" s="139"/>
    </row>
    <row r="154" spans="1:31" s="209" customFormat="1" ht="11.25" customHeight="1">
      <c r="A154" s="591"/>
      <c r="B154" s="65"/>
      <c r="C154" s="65"/>
      <c r="K154" s="60"/>
      <c r="L154" s="65"/>
      <c r="M154" s="65"/>
      <c r="N154" s="60"/>
      <c r="O154" s="60"/>
      <c r="P154" s="60"/>
      <c r="Q154" s="60"/>
      <c r="R154" s="65"/>
      <c r="S154" s="60"/>
      <c r="T154" s="60"/>
      <c r="U154" s="320"/>
      <c r="V154" s="60"/>
      <c r="W154" s="60"/>
      <c r="X154" s="60"/>
      <c r="Y154" s="60"/>
      <c r="Z154" s="60"/>
      <c r="AA154" s="6"/>
      <c r="AB154" s="139"/>
      <c r="AC154" s="139"/>
      <c r="AD154" s="139"/>
      <c r="AE154" s="139"/>
    </row>
    <row r="155" spans="1:31" s="209" customFormat="1" ht="11.25" customHeight="1">
      <c r="A155" s="591"/>
      <c r="B155" s="65"/>
      <c r="C155" s="65"/>
      <c r="K155" s="60"/>
      <c r="L155" s="65"/>
      <c r="M155" s="65"/>
      <c r="N155" s="60"/>
      <c r="O155" s="60"/>
      <c r="P155" s="60"/>
      <c r="Q155" s="60"/>
      <c r="R155" s="65"/>
      <c r="S155" s="60"/>
      <c r="T155" s="60"/>
      <c r="U155" s="320"/>
      <c r="V155" s="60"/>
      <c r="W155" s="60"/>
      <c r="X155" s="60"/>
      <c r="Y155" s="60"/>
      <c r="Z155" s="60"/>
      <c r="AA155" s="6"/>
      <c r="AB155" s="139"/>
      <c r="AC155" s="139"/>
      <c r="AD155" s="139"/>
      <c r="AE155" s="139"/>
    </row>
    <row r="156" spans="1:31" s="209" customFormat="1" ht="11.25" customHeight="1">
      <c r="A156" s="591"/>
      <c r="B156" s="65"/>
      <c r="C156" s="65"/>
      <c r="K156" s="60"/>
      <c r="L156" s="65"/>
      <c r="M156" s="65"/>
      <c r="N156" s="60"/>
      <c r="O156" s="60"/>
      <c r="P156" s="60"/>
      <c r="Q156" s="60"/>
      <c r="R156" s="65"/>
      <c r="S156" s="60"/>
      <c r="T156" s="60"/>
      <c r="U156" s="320"/>
      <c r="V156" s="60"/>
      <c r="W156" s="60"/>
      <c r="X156" s="60"/>
      <c r="Y156" s="60"/>
      <c r="Z156" s="60"/>
      <c r="AA156" s="6"/>
      <c r="AB156" s="139"/>
      <c r="AC156" s="139"/>
      <c r="AD156" s="139"/>
      <c r="AE156" s="139"/>
    </row>
    <row r="157" spans="1:31" s="209" customFormat="1" ht="11.25" customHeight="1">
      <c r="A157" s="591"/>
      <c r="B157" s="65"/>
      <c r="C157" s="65"/>
      <c r="K157" s="60"/>
      <c r="L157" s="65"/>
      <c r="M157" s="65"/>
      <c r="N157" s="60"/>
      <c r="O157" s="60"/>
      <c r="P157" s="60"/>
      <c r="Q157" s="60"/>
      <c r="R157" s="65"/>
      <c r="S157" s="60"/>
      <c r="T157" s="60"/>
      <c r="U157" s="320"/>
      <c r="V157" s="60"/>
      <c r="W157" s="60"/>
      <c r="X157" s="60"/>
      <c r="Y157" s="60"/>
      <c r="Z157" s="60"/>
      <c r="AA157" s="6"/>
      <c r="AB157" s="139"/>
      <c r="AC157" s="139"/>
      <c r="AD157" s="139"/>
      <c r="AE157" s="139"/>
    </row>
    <row r="158" spans="1:31" s="209" customFormat="1" ht="11.25" customHeight="1">
      <c r="A158" s="591"/>
      <c r="B158" s="65"/>
      <c r="C158" s="65"/>
      <c r="K158" s="60"/>
      <c r="L158" s="65"/>
      <c r="M158" s="65"/>
      <c r="N158" s="60"/>
      <c r="O158" s="60"/>
      <c r="P158" s="60"/>
      <c r="Q158" s="60"/>
      <c r="R158" s="65"/>
      <c r="S158" s="60"/>
      <c r="T158" s="60"/>
      <c r="U158" s="320"/>
      <c r="V158" s="60"/>
      <c r="W158" s="60"/>
      <c r="X158" s="60"/>
      <c r="Y158" s="60"/>
      <c r="Z158" s="60"/>
      <c r="AA158" s="6"/>
      <c r="AB158" s="139"/>
      <c r="AC158" s="139"/>
      <c r="AD158" s="139"/>
      <c r="AE158" s="139"/>
    </row>
    <row r="159" spans="1:31" s="209" customFormat="1" ht="11.25" customHeight="1">
      <c r="A159" s="591"/>
      <c r="B159" s="65"/>
      <c r="C159" s="65"/>
      <c r="K159" s="60"/>
      <c r="L159" s="65"/>
      <c r="M159" s="65"/>
      <c r="N159" s="60"/>
      <c r="O159" s="60"/>
      <c r="P159" s="60"/>
      <c r="Q159" s="60"/>
      <c r="R159" s="65"/>
      <c r="S159" s="60"/>
      <c r="T159" s="60"/>
      <c r="U159" s="320"/>
      <c r="V159" s="60"/>
      <c r="W159" s="60"/>
      <c r="X159" s="60"/>
      <c r="Y159" s="60"/>
      <c r="Z159" s="60"/>
      <c r="AA159" s="6"/>
      <c r="AB159" s="139"/>
      <c r="AC159" s="139"/>
      <c r="AD159" s="139"/>
      <c r="AE159" s="139"/>
    </row>
    <row r="160" spans="1:31" s="209" customFormat="1" ht="11.25" customHeight="1">
      <c r="A160" s="591"/>
      <c r="B160" s="65"/>
      <c r="C160" s="65"/>
      <c r="K160" s="60"/>
      <c r="L160" s="65"/>
      <c r="M160" s="65"/>
      <c r="N160" s="60"/>
      <c r="O160" s="60"/>
      <c r="P160" s="60"/>
      <c r="Q160" s="60"/>
      <c r="R160" s="65"/>
      <c r="S160" s="60"/>
      <c r="T160" s="60"/>
      <c r="U160" s="320"/>
      <c r="V160" s="60"/>
      <c r="W160" s="60"/>
      <c r="X160" s="60"/>
      <c r="Y160" s="60"/>
      <c r="Z160" s="60"/>
      <c r="AA160" s="6"/>
      <c r="AB160" s="139"/>
      <c r="AC160" s="139"/>
      <c r="AD160" s="139"/>
      <c r="AE160" s="139"/>
    </row>
    <row r="161" spans="1:31" s="209" customFormat="1" ht="11.25" customHeight="1">
      <c r="A161" s="591"/>
      <c r="B161" s="65"/>
      <c r="C161" s="65"/>
      <c r="K161" s="60"/>
      <c r="L161" s="65"/>
      <c r="M161" s="65"/>
      <c r="N161" s="60"/>
      <c r="O161" s="60"/>
      <c r="P161" s="60"/>
      <c r="Q161" s="60"/>
      <c r="R161" s="65"/>
      <c r="S161" s="60"/>
      <c r="T161" s="60"/>
      <c r="U161" s="320"/>
      <c r="V161" s="60"/>
      <c r="W161" s="60"/>
      <c r="X161" s="60"/>
      <c r="Y161" s="60"/>
      <c r="Z161" s="60"/>
      <c r="AA161" s="6"/>
      <c r="AB161" s="139"/>
      <c r="AC161" s="139"/>
      <c r="AD161" s="139"/>
      <c r="AE161" s="139"/>
    </row>
    <row r="162" spans="1:31" s="209" customFormat="1" ht="11.25" customHeight="1">
      <c r="A162" s="591"/>
      <c r="B162" s="65"/>
      <c r="C162" s="65"/>
      <c r="K162" s="60"/>
      <c r="L162" s="65"/>
      <c r="M162" s="65"/>
      <c r="N162" s="60"/>
      <c r="O162" s="60"/>
      <c r="P162" s="60"/>
      <c r="Q162" s="60"/>
      <c r="R162" s="65"/>
      <c r="S162" s="60"/>
      <c r="T162" s="60"/>
      <c r="U162" s="320"/>
      <c r="V162" s="60"/>
      <c r="W162" s="60"/>
      <c r="X162" s="60"/>
      <c r="Y162" s="60"/>
      <c r="Z162" s="60"/>
      <c r="AA162" s="6"/>
      <c r="AB162" s="139"/>
      <c r="AC162" s="139"/>
      <c r="AD162" s="139"/>
      <c r="AE162" s="139"/>
    </row>
    <row r="163" spans="1:31" s="209" customFormat="1" ht="11.25" customHeight="1">
      <c r="A163" s="591"/>
      <c r="B163" s="65"/>
      <c r="C163" s="65"/>
      <c r="K163" s="60"/>
      <c r="L163" s="65"/>
      <c r="M163" s="65"/>
      <c r="N163" s="60"/>
      <c r="O163" s="60"/>
      <c r="P163" s="60"/>
      <c r="Q163" s="60"/>
      <c r="R163" s="65"/>
      <c r="S163" s="60"/>
      <c r="T163" s="60"/>
      <c r="U163" s="320"/>
      <c r="V163" s="60"/>
      <c r="W163" s="60"/>
      <c r="X163" s="60"/>
      <c r="Y163" s="60"/>
      <c r="Z163" s="60"/>
      <c r="AA163" s="6"/>
      <c r="AB163" s="139"/>
      <c r="AC163" s="139"/>
      <c r="AD163" s="139"/>
      <c r="AE163" s="139"/>
    </row>
    <row r="164" spans="1:31" s="209" customFormat="1" ht="11.25" customHeight="1">
      <c r="A164" s="591"/>
      <c r="B164" s="65"/>
      <c r="C164" s="65"/>
      <c r="K164" s="60"/>
      <c r="L164" s="65"/>
      <c r="M164" s="65"/>
      <c r="N164" s="60"/>
      <c r="O164" s="60"/>
      <c r="P164" s="60"/>
      <c r="Q164" s="60"/>
      <c r="R164" s="65"/>
      <c r="S164" s="60"/>
      <c r="T164" s="60"/>
      <c r="U164" s="320"/>
      <c r="V164" s="60"/>
      <c r="W164" s="60"/>
      <c r="X164" s="60"/>
      <c r="Y164" s="60"/>
      <c r="Z164" s="60"/>
      <c r="AA164" s="6"/>
      <c r="AB164" s="139"/>
      <c r="AC164" s="139"/>
      <c r="AD164" s="139"/>
      <c r="AE164" s="139"/>
    </row>
    <row r="165" spans="1:31" s="209" customFormat="1" ht="11.25" customHeight="1">
      <c r="A165" s="591"/>
      <c r="B165" s="65"/>
      <c r="C165" s="65"/>
      <c r="K165" s="60"/>
      <c r="L165" s="65"/>
      <c r="M165" s="65"/>
      <c r="N165" s="60"/>
      <c r="O165" s="60"/>
      <c r="P165" s="60"/>
      <c r="Q165" s="60"/>
      <c r="R165" s="65"/>
      <c r="S165" s="60"/>
      <c r="T165" s="60"/>
      <c r="U165" s="320"/>
      <c r="V165" s="60"/>
      <c r="W165" s="60"/>
      <c r="X165" s="60"/>
      <c r="Y165" s="60"/>
      <c r="Z165" s="60"/>
      <c r="AA165" s="6"/>
      <c r="AB165" s="139"/>
      <c r="AC165" s="139"/>
      <c r="AD165" s="139"/>
      <c r="AE165" s="139"/>
    </row>
    <row r="166" spans="1:31" s="209" customFormat="1" ht="11.25" customHeight="1">
      <c r="A166" s="591"/>
      <c r="B166" s="65"/>
      <c r="C166" s="65"/>
      <c r="K166" s="60"/>
      <c r="L166" s="65"/>
      <c r="M166" s="65"/>
      <c r="N166" s="60"/>
      <c r="O166" s="60"/>
      <c r="P166" s="60"/>
      <c r="Q166" s="60"/>
      <c r="R166" s="65"/>
      <c r="S166" s="60"/>
      <c r="T166" s="60"/>
      <c r="U166" s="320"/>
      <c r="V166" s="60"/>
      <c r="W166" s="60"/>
      <c r="X166" s="60"/>
      <c r="Y166" s="60"/>
      <c r="Z166" s="60"/>
      <c r="AA166" s="6"/>
      <c r="AB166" s="139"/>
      <c r="AC166" s="139"/>
      <c r="AD166" s="139"/>
      <c r="AE166" s="139"/>
    </row>
    <row r="167" spans="1:31" s="209" customFormat="1" ht="11.25" customHeight="1">
      <c r="A167" s="591"/>
      <c r="B167" s="65"/>
      <c r="C167" s="65"/>
      <c r="K167" s="60"/>
      <c r="L167" s="65"/>
      <c r="M167" s="65"/>
      <c r="N167" s="60"/>
      <c r="O167" s="60"/>
      <c r="P167" s="60"/>
      <c r="Q167" s="60"/>
      <c r="R167" s="65"/>
      <c r="S167" s="60"/>
      <c r="T167" s="60"/>
      <c r="U167" s="320"/>
      <c r="V167" s="60"/>
      <c r="W167" s="60"/>
      <c r="X167" s="60"/>
      <c r="Y167" s="60"/>
      <c r="Z167" s="60"/>
      <c r="AA167" s="6"/>
      <c r="AB167" s="139"/>
      <c r="AC167" s="139"/>
      <c r="AD167" s="139"/>
      <c r="AE167" s="139"/>
    </row>
    <row r="168" spans="1:31" s="209" customFormat="1" ht="11.25" customHeight="1">
      <c r="A168" s="591"/>
      <c r="B168" s="65"/>
      <c r="C168" s="65"/>
      <c r="K168" s="60"/>
      <c r="L168" s="65"/>
      <c r="M168" s="65"/>
      <c r="N168" s="60"/>
      <c r="O168" s="60"/>
      <c r="P168" s="60"/>
      <c r="Q168" s="60"/>
      <c r="R168" s="65"/>
      <c r="S168" s="60"/>
      <c r="T168" s="60"/>
      <c r="U168" s="320"/>
      <c r="V168" s="60"/>
      <c r="W168" s="60"/>
      <c r="X168" s="60"/>
      <c r="Y168" s="60"/>
      <c r="Z168" s="60"/>
      <c r="AA168" s="6"/>
      <c r="AB168" s="139"/>
      <c r="AC168" s="139"/>
      <c r="AD168" s="139"/>
      <c r="AE168" s="139"/>
    </row>
    <row r="169" spans="1:31" s="209" customFormat="1" ht="11.25" customHeight="1">
      <c r="A169" s="591"/>
      <c r="B169" s="65"/>
      <c r="C169" s="65"/>
      <c r="K169" s="60"/>
      <c r="L169" s="65"/>
      <c r="M169" s="65"/>
      <c r="N169" s="60"/>
      <c r="O169" s="60"/>
      <c r="P169" s="60"/>
      <c r="Q169" s="60"/>
      <c r="R169" s="65"/>
      <c r="S169" s="60"/>
      <c r="T169" s="60"/>
      <c r="U169" s="320"/>
      <c r="V169" s="60"/>
      <c r="W169" s="60"/>
      <c r="X169" s="60"/>
      <c r="Y169" s="60"/>
      <c r="Z169" s="60"/>
      <c r="AA169" s="6"/>
      <c r="AB169" s="139"/>
      <c r="AC169" s="139"/>
      <c r="AD169" s="139"/>
      <c r="AE169" s="139"/>
    </row>
    <row r="170" spans="1:31" s="209" customFormat="1" ht="11.25" customHeight="1">
      <c r="A170" s="591"/>
      <c r="B170" s="65"/>
      <c r="C170" s="65"/>
      <c r="K170" s="60"/>
      <c r="L170" s="65"/>
      <c r="M170" s="65"/>
      <c r="N170" s="60"/>
      <c r="O170" s="60"/>
      <c r="P170" s="60"/>
      <c r="Q170" s="60"/>
      <c r="R170" s="65"/>
      <c r="S170" s="60"/>
      <c r="T170" s="60"/>
      <c r="U170" s="320"/>
      <c r="V170" s="60"/>
      <c r="W170" s="60"/>
      <c r="X170" s="60"/>
      <c r="Y170" s="60"/>
      <c r="Z170" s="60"/>
      <c r="AA170" s="6"/>
      <c r="AB170" s="139"/>
      <c r="AC170" s="139"/>
      <c r="AD170" s="139"/>
      <c r="AE170" s="139"/>
    </row>
    <row r="171" spans="1:31" s="209" customFormat="1" ht="11.25" customHeight="1">
      <c r="A171" s="591"/>
      <c r="B171" s="65"/>
      <c r="C171" s="65"/>
      <c r="K171" s="60"/>
      <c r="L171" s="65"/>
      <c r="M171" s="65"/>
      <c r="N171" s="60"/>
      <c r="O171" s="60"/>
      <c r="P171" s="60"/>
      <c r="Q171" s="60"/>
      <c r="R171" s="65"/>
      <c r="S171" s="60"/>
      <c r="T171" s="60"/>
      <c r="U171" s="320"/>
      <c r="V171" s="60"/>
      <c r="W171" s="60"/>
      <c r="X171" s="60"/>
      <c r="Y171" s="60"/>
      <c r="Z171" s="60"/>
      <c r="AA171" s="6"/>
      <c r="AB171" s="139"/>
      <c r="AC171" s="139"/>
      <c r="AD171" s="139"/>
      <c r="AE171" s="139"/>
    </row>
    <row r="172" spans="1:31" s="209" customFormat="1" ht="11.25" customHeight="1">
      <c r="A172" s="591"/>
      <c r="B172" s="65"/>
      <c r="C172" s="65"/>
      <c r="K172" s="60"/>
      <c r="L172" s="65"/>
      <c r="M172" s="65"/>
      <c r="N172" s="60"/>
      <c r="O172" s="60"/>
      <c r="P172" s="60"/>
      <c r="Q172" s="60"/>
      <c r="R172" s="65"/>
      <c r="S172" s="60"/>
      <c r="T172" s="60"/>
      <c r="U172" s="320"/>
      <c r="V172" s="60"/>
      <c r="W172" s="60"/>
      <c r="X172" s="60"/>
      <c r="Y172" s="60"/>
      <c r="Z172" s="60"/>
      <c r="AA172" s="6"/>
      <c r="AB172" s="139"/>
      <c r="AC172" s="139"/>
      <c r="AD172" s="139"/>
      <c r="AE172" s="139"/>
    </row>
    <row r="173" spans="1:31" s="209" customFormat="1" ht="11.25" customHeight="1">
      <c r="A173" s="591"/>
      <c r="B173" s="65"/>
      <c r="C173" s="65"/>
      <c r="K173" s="60"/>
      <c r="L173" s="65"/>
      <c r="M173" s="65"/>
      <c r="N173" s="60"/>
      <c r="O173" s="60"/>
      <c r="P173" s="60"/>
      <c r="Q173" s="60"/>
      <c r="R173" s="65"/>
      <c r="S173" s="60"/>
      <c r="T173" s="60"/>
      <c r="U173" s="320"/>
      <c r="V173" s="60"/>
      <c r="W173" s="60"/>
      <c r="X173" s="60"/>
      <c r="Y173" s="60"/>
      <c r="Z173" s="60"/>
      <c r="AA173" s="6"/>
      <c r="AB173" s="139"/>
      <c r="AC173" s="139"/>
      <c r="AD173" s="139"/>
      <c r="AE173" s="139"/>
    </row>
    <row r="174" spans="1:31" s="209" customFormat="1" ht="11.25" customHeight="1">
      <c r="A174" s="591"/>
      <c r="B174" s="65"/>
      <c r="C174" s="65"/>
      <c r="K174" s="60"/>
      <c r="L174" s="65"/>
      <c r="M174" s="65"/>
      <c r="N174" s="60"/>
      <c r="O174" s="60"/>
      <c r="P174" s="60"/>
      <c r="Q174" s="60"/>
      <c r="R174" s="65"/>
      <c r="S174" s="60"/>
      <c r="T174" s="60"/>
      <c r="U174" s="320"/>
      <c r="V174" s="60"/>
      <c r="W174" s="60"/>
      <c r="X174" s="60"/>
      <c r="Y174" s="60"/>
      <c r="Z174" s="60"/>
      <c r="AA174" s="6"/>
      <c r="AB174" s="139"/>
      <c r="AC174" s="139"/>
      <c r="AD174" s="139"/>
      <c r="AE174" s="139"/>
    </row>
    <row r="175" spans="1:31" s="209" customFormat="1" ht="11.25" customHeight="1">
      <c r="A175" s="591"/>
      <c r="B175" s="65"/>
      <c r="C175" s="65"/>
      <c r="K175" s="60"/>
      <c r="L175" s="65"/>
      <c r="M175" s="65"/>
      <c r="N175" s="60"/>
      <c r="O175" s="60"/>
      <c r="P175" s="60"/>
      <c r="Q175" s="60"/>
      <c r="R175" s="65"/>
      <c r="S175" s="60"/>
      <c r="T175" s="60"/>
      <c r="U175" s="320"/>
      <c r="V175" s="60"/>
      <c r="W175" s="60"/>
      <c r="X175" s="60"/>
      <c r="Y175" s="60"/>
      <c r="Z175" s="60"/>
      <c r="AA175" s="6"/>
      <c r="AB175" s="139"/>
      <c r="AC175" s="139"/>
      <c r="AD175" s="139"/>
      <c r="AE175" s="139"/>
    </row>
    <row r="176" spans="1:31" s="209" customFormat="1" ht="11.25" customHeight="1">
      <c r="A176" s="591"/>
      <c r="B176" s="65"/>
      <c r="C176" s="65"/>
      <c r="K176" s="60"/>
      <c r="L176" s="65"/>
      <c r="M176" s="65"/>
      <c r="N176" s="60"/>
      <c r="O176" s="60"/>
      <c r="P176" s="60"/>
      <c r="Q176" s="60"/>
      <c r="R176" s="65"/>
      <c r="S176" s="60"/>
      <c r="T176" s="60"/>
      <c r="U176" s="320"/>
      <c r="V176" s="60"/>
      <c r="W176" s="60"/>
      <c r="X176" s="60"/>
      <c r="Y176" s="60"/>
      <c r="Z176" s="60"/>
      <c r="AA176" s="6"/>
      <c r="AB176" s="139"/>
      <c r="AC176" s="139"/>
      <c r="AD176" s="139"/>
      <c r="AE176" s="139"/>
    </row>
    <row r="177" spans="1:31" s="209" customFormat="1" ht="11.25" customHeight="1">
      <c r="A177" s="591"/>
      <c r="B177" s="65"/>
      <c r="C177" s="65"/>
      <c r="K177" s="60"/>
      <c r="L177" s="65"/>
      <c r="M177" s="65"/>
      <c r="N177" s="60"/>
      <c r="O177" s="60"/>
      <c r="P177" s="60"/>
      <c r="Q177" s="60"/>
      <c r="R177" s="65"/>
      <c r="S177" s="60"/>
      <c r="T177" s="60"/>
      <c r="U177" s="320"/>
      <c r="V177" s="60"/>
      <c r="W177" s="60"/>
      <c r="X177" s="60"/>
      <c r="Y177" s="60"/>
      <c r="Z177" s="60"/>
      <c r="AA177" s="6"/>
      <c r="AB177" s="139"/>
      <c r="AC177" s="139"/>
      <c r="AD177" s="139"/>
      <c r="AE177" s="139"/>
    </row>
    <row r="178" spans="1:31" s="209" customFormat="1" ht="11.25" customHeight="1">
      <c r="A178" s="591"/>
      <c r="B178" s="65"/>
      <c r="C178" s="65"/>
      <c r="K178" s="60"/>
      <c r="L178" s="65"/>
      <c r="M178" s="65"/>
      <c r="N178" s="60"/>
      <c r="O178" s="60"/>
      <c r="P178" s="60"/>
      <c r="Q178" s="60"/>
      <c r="R178" s="65"/>
      <c r="S178" s="60"/>
      <c r="T178" s="60"/>
      <c r="U178" s="320"/>
      <c r="V178" s="60"/>
      <c r="W178" s="60"/>
      <c r="X178" s="60"/>
      <c r="Y178" s="60"/>
      <c r="Z178" s="60"/>
      <c r="AA178" s="6"/>
      <c r="AB178" s="139"/>
      <c r="AC178" s="139"/>
      <c r="AD178" s="139"/>
      <c r="AE178" s="139"/>
    </row>
    <row r="179" spans="1:31" s="209" customFormat="1" ht="11.25" customHeight="1">
      <c r="A179" s="591"/>
      <c r="B179" s="65"/>
      <c r="C179" s="65"/>
      <c r="K179" s="60"/>
      <c r="L179" s="65"/>
      <c r="M179" s="65"/>
      <c r="N179" s="60"/>
      <c r="O179" s="60"/>
      <c r="P179" s="60"/>
      <c r="Q179" s="60"/>
      <c r="R179" s="65"/>
      <c r="S179" s="60"/>
      <c r="T179" s="60"/>
      <c r="U179" s="320"/>
      <c r="V179" s="60"/>
      <c r="W179" s="60"/>
      <c r="X179" s="60"/>
      <c r="Y179" s="60"/>
      <c r="Z179" s="60"/>
      <c r="AA179" s="6"/>
      <c r="AB179" s="139"/>
      <c r="AC179" s="139"/>
      <c r="AD179" s="139"/>
      <c r="AE179" s="139"/>
    </row>
    <row r="180" spans="1:31" s="209" customFormat="1" ht="11.25" customHeight="1">
      <c r="A180" s="591"/>
      <c r="B180" s="65"/>
      <c r="C180" s="65"/>
      <c r="K180" s="60"/>
      <c r="L180" s="65"/>
      <c r="M180" s="65"/>
      <c r="N180" s="60"/>
      <c r="O180" s="60"/>
      <c r="P180" s="60"/>
      <c r="Q180" s="60"/>
      <c r="R180" s="65"/>
      <c r="S180" s="60"/>
      <c r="T180" s="60"/>
      <c r="U180" s="320"/>
      <c r="V180" s="60"/>
      <c r="W180" s="60"/>
      <c r="X180" s="60"/>
      <c r="Y180" s="60"/>
      <c r="Z180" s="60"/>
      <c r="AA180" s="6"/>
      <c r="AB180" s="139"/>
      <c r="AC180" s="139"/>
      <c r="AD180" s="139"/>
      <c r="AE180" s="139"/>
    </row>
    <row r="181" spans="1:31" s="209" customFormat="1" ht="11.25" customHeight="1">
      <c r="A181" s="591"/>
      <c r="B181" s="65"/>
      <c r="C181" s="65"/>
      <c r="K181" s="60"/>
      <c r="L181" s="65"/>
      <c r="M181" s="65"/>
      <c r="N181" s="60"/>
      <c r="O181" s="60"/>
      <c r="P181" s="60"/>
      <c r="Q181" s="60"/>
      <c r="R181" s="65"/>
      <c r="S181" s="60"/>
      <c r="T181" s="60"/>
      <c r="U181" s="320"/>
      <c r="V181" s="60"/>
      <c r="W181" s="60"/>
      <c r="X181" s="60"/>
      <c r="Y181" s="60"/>
      <c r="Z181" s="60"/>
      <c r="AA181" s="6"/>
      <c r="AB181" s="139"/>
      <c r="AC181" s="139"/>
      <c r="AD181" s="139"/>
      <c r="AE181" s="139"/>
    </row>
    <row r="182" spans="1:31" s="209" customFormat="1" ht="11.25" customHeight="1">
      <c r="A182" s="591"/>
      <c r="B182" s="65"/>
      <c r="C182" s="65"/>
      <c r="K182" s="60"/>
      <c r="L182" s="65"/>
      <c r="M182" s="65"/>
      <c r="N182" s="60"/>
      <c r="O182" s="60"/>
      <c r="P182" s="60"/>
      <c r="Q182" s="60"/>
      <c r="R182" s="65"/>
      <c r="S182" s="60"/>
      <c r="T182" s="60"/>
      <c r="U182" s="320"/>
      <c r="V182" s="60"/>
      <c r="W182" s="60"/>
      <c r="X182" s="60"/>
      <c r="Y182" s="60"/>
      <c r="Z182" s="60"/>
      <c r="AA182" s="6"/>
      <c r="AB182" s="139"/>
      <c r="AC182" s="139"/>
      <c r="AD182" s="139"/>
      <c r="AE182" s="139"/>
    </row>
    <row r="183" spans="1:31" s="209" customFormat="1" ht="11.25" customHeight="1">
      <c r="A183" s="591"/>
      <c r="B183" s="65"/>
      <c r="C183" s="65"/>
      <c r="K183" s="60"/>
      <c r="L183" s="65"/>
      <c r="M183" s="65"/>
      <c r="N183" s="60"/>
      <c r="O183" s="60"/>
      <c r="P183" s="60"/>
      <c r="Q183" s="60"/>
      <c r="R183" s="65"/>
      <c r="S183" s="60"/>
      <c r="T183" s="60"/>
      <c r="U183" s="320"/>
      <c r="V183" s="60"/>
      <c r="W183" s="60"/>
      <c r="X183" s="60"/>
      <c r="Y183" s="60"/>
      <c r="Z183" s="60"/>
      <c r="AA183" s="6"/>
      <c r="AB183" s="139"/>
      <c r="AC183" s="139"/>
      <c r="AD183" s="139"/>
      <c r="AE183" s="139"/>
    </row>
    <row r="184" spans="1:31" s="209" customFormat="1" ht="11.25" customHeight="1">
      <c r="A184" s="591"/>
      <c r="B184" s="65"/>
      <c r="C184" s="65"/>
      <c r="K184" s="60"/>
      <c r="L184" s="65"/>
      <c r="M184" s="65"/>
      <c r="N184" s="60"/>
      <c r="O184" s="60"/>
      <c r="P184" s="60"/>
      <c r="Q184" s="60"/>
      <c r="R184" s="65"/>
      <c r="S184" s="60"/>
      <c r="T184" s="60"/>
      <c r="U184" s="320"/>
      <c r="V184" s="60"/>
      <c r="W184" s="60"/>
      <c r="X184" s="60"/>
      <c r="Y184" s="60"/>
      <c r="Z184" s="60"/>
      <c r="AA184" s="6"/>
      <c r="AB184" s="139"/>
      <c r="AC184" s="139"/>
      <c r="AD184" s="139"/>
      <c r="AE184" s="139"/>
    </row>
    <row r="185" spans="1:31" s="209" customFormat="1" ht="11.25" customHeight="1">
      <c r="A185" s="591"/>
      <c r="B185" s="65"/>
      <c r="C185" s="65"/>
      <c r="K185" s="60"/>
      <c r="L185" s="65"/>
      <c r="M185" s="65"/>
      <c r="N185" s="60"/>
      <c r="O185" s="60"/>
      <c r="P185" s="60"/>
      <c r="Q185" s="60"/>
      <c r="R185" s="65"/>
      <c r="S185" s="60"/>
      <c r="T185" s="60"/>
      <c r="U185" s="320"/>
      <c r="V185" s="60"/>
      <c r="W185" s="60"/>
      <c r="X185" s="60"/>
      <c r="Y185" s="60"/>
      <c r="Z185" s="60"/>
      <c r="AA185" s="6"/>
      <c r="AB185" s="139"/>
      <c r="AC185" s="139"/>
      <c r="AD185" s="139"/>
      <c r="AE185" s="139"/>
    </row>
    <row r="186" spans="1:31" s="209" customFormat="1" ht="11.25" customHeight="1">
      <c r="A186" s="591"/>
      <c r="B186" s="65"/>
      <c r="C186" s="65"/>
      <c r="K186" s="60"/>
      <c r="L186" s="65"/>
      <c r="M186" s="65"/>
      <c r="N186" s="60"/>
      <c r="O186" s="60"/>
      <c r="P186" s="60"/>
      <c r="Q186" s="60"/>
      <c r="R186" s="65"/>
      <c r="S186" s="60"/>
      <c r="T186" s="60"/>
      <c r="U186" s="320"/>
      <c r="V186" s="60"/>
      <c r="W186" s="60"/>
      <c r="X186" s="60"/>
      <c r="Y186" s="60"/>
      <c r="Z186" s="60"/>
      <c r="AA186" s="6"/>
      <c r="AB186" s="139"/>
      <c r="AC186" s="139"/>
      <c r="AD186" s="139"/>
      <c r="AE186" s="139"/>
    </row>
    <row r="187" spans="1:31" s="209" customFormat="1" ht="11.25" customHeight="1">
      <c r="A187" s="591"/>
      <c r="B187" s="65"/>
      <c r="C187" s="65"/>
      <c r="K187" s="60"/>
      <c r="L187" s="65"/>
      <c r="M187" s="65"/>
      <c r="N187" s="60"/>
      <c r="O187" s="60"/>
      <c r="P187" s="60"/>
      <c r="Q187" s="60"/>
      <c r="R187" s="65"/>
      <c r="S187" s="60"/>
      <c r="T187" s="60"/>
      <c r="U187" s="320"/>
      <c r="V187" s="60"/>
      <c r="W187" s="60"/>
      <c r="X187" s="60"/>
      <c r="Y187" s="60"/>
      <c r="Z187" s="60"/>
      <c r="AA187" s="6"/>
      <c r="AB187" s="139"/>
      <c r="AC187" s="139"/>
      <c r="AD187" s="139"/>
      <c r="AE187" s="139"/>
    </row>
    <row r="188" spans="1:31" s="209" customFormat="1" ht="11.25" customHeight="1">
      <c r="A188" s="591"/>
      <c r="B188" s="65"/>
      <c r="C188" s="65"/>
      <c r="K188" s="60"/>
      <c r="L188" s="65"/>
      <c r="M188" s="65"/>
      <c r="N188" s="60"/>
      <c r="O188" s="60"/>
      <c r="P188" s="60"/>
      <c r="Q188" s="60"/>
      <c r="R188" s="65"/>
      <c r="S188" s="60"/>
      <c r="T188" s="60"/>
      <c r="U188" s="320"/>
      <c r="V188" s="60"/>
      <c r="W188" s="60"/>
      <c r="X188" s="60"/>
      <c r="Y188" s="60"/>
      <c r="Z188" s="60"/>
      <c r="AA188" s="6"/>
      <c r="AB188" s="139"/>
      <c r="AC188" s="139"/>
      <c r="AD188" s="139"/>
      <c r="AE188" s="139"/>
    </row>
    <row r="189" spans="1:31" s="209" customFormat="1" ht="11.25" customHeight="1">
      <c r="A189" s="591"/>
      <c r="B189" s="65"/>
      <c r="C189" s="65"/>
      <c r="K189" s="60"/>
      <c r="L189" s="65"/>
      <c r="M189" s="65"/>
      <c r="N189" s="60"/>
      <c r="O189" s="60"/>
      <c r="P189" s="60"/>
      <c r="Q189" s="60"/>
      <c r="R189" s="65"/>
      <c r="S189" s="60"/>
      <c r="T189" s="60"/>
      <c r="U189" s="320"/>
      <c r="V189" s="60"/>
      <c r="W189" s="60"/>
      <c r="X189" s="60"/>
      <c r="Y189" s="60"/>
      <c r="Z189" s="60"/>
      <c r="AA189" s="6"/>
      <c r="AB189" s="139"/>
      <c r="AC189" s="139"/>
      <c r="AD189" s="139"/>
      <c r="AE189" s="139"/>
    </row>
    <row r="190" spans="1:31" s="209" customFormat="1" ht="11.25" customHeight="1">
      <c r="A190" s="591"/>
      <c r="B190" s="65"/>
      <c r="C190" s="65"/>
      <c r="K190" s="60"/>
      <c r="L190" s="65"/>
      <c r="M190" s="65"/>
      <c r="N190" s="60"/>
      <c r="O190" s="60"/>
      <c r="P190" s="60"/>
      <c r="Q190" s="60"/>
      <c r="R190" s="65"/>
      <c r="S190" s="60"/>
      <c r="T190" s="60"/>
      <c r="U190" s="320"/>
      <c r="V190" s="60"/>
      <c r="W190" s="60"/>
      <c r="X190" s="60"/>
      <c r="Y190" s="60"/>
      <c r="Z190" s="60"/>
      <c r="AA190" s="6"/>
      <c r="AB190" s="139"/>
      <c r="AC190" s="139"/>
      <c r="AD190" s="139"/>
      <c r="AE190" s="139"/>
    </row>
    <row r="191" spans="1:31" s="209" customFormat="1" ht="11.25" customHeight="1">
      <c r="A191" s="591"/>
      <c r="B191" s="65"/>
      <c r="C191" s="65"/>
      <c r="K191" s="60"/>
      <c r="L191" s="65"/>
      <c r="M191" s="65"/>
      <c r="N191" s="60"/>
      <c r="O191" s="60"/>
      <c r="P191" s="60"/>
      <c r="Q191" s="60"/>
      <c r="R191" s="65"/>
      <c r="S191" s="60"/>
      <c r="T191" s="60"/>
      <c r="U191" s="320"/>
      <c r="V191" s="60"/>
      <c r="W191" s="60"/>
      <c r="X191" s="60"/>
      <c r="Y191" s="60"/>
      <c r="Z191" s="60"/>
      <c r="AA191" s="6"/>
      <c r="AB191" s="139"/>
      <c r="AC191" s="139"/>
      <c r="AD191" s="139"/>
      <c r="AE191" s="139"/>
    </row>
    <row r="192" spans="1:31" s="209" customFormat="1" ht="11.25" customHeight="1">
      <c r="A192" s="591"/>
      <c r="B192" s="65"/>
      <c r="C192" s="65"/>
      <c r="K192" s="60"/>
      <c r="L192" s="65"/>
      <c r="M192" s="65"/>
      <c r="N192" s="60"/>
      <c r="O192" s="60"/>
      <c r="P192" s="60"/>
      <c r="Q192" s="60"/>
      <c r="R192" s="65"/>
      <c r="S192" s="60"/>
      <c r="T192" s="60"/>
      <c r="U192" s="320"/>
      <c r="V192" s="60"/>
      <c r="W192" s="60"/>
      <c r="X192" s="60"/>
      <c r="Y192" s="60"/>
      <c r="Z192" s="60"/>
      <c r="AA192" s="6"/>
      <c r="AB192" s="139"/>
      <c r="AC192" s="139"/>
      <c r="AD192" s="139"/>
      <c r="AE192" s="139"/>
    </row>
    <row r="193" spans="1:31" s="209" customFormat="1" ht="11.25" customHeight="1">
      <c r="A193" s="591"/>
      <c r="B193" s="65"/>
      <c r="C193" s="65"/>
      <c r="K193" s="60"/>
      <c r="L193" s="65"/>
      <c r="M193" s="65"/>
      <c r="N193" s="60"/>
      <c r="O193" s="60"/>
      <c r="P193" s="60"/>
      <c r="Q193" s="60"/>
      <c r="R193" s="65"/>
      <c r="S193" s="60"/>
      <c r="T193" s="60"/>
      <c r="U193" s="320"/>
      <c r="V193" s="60"/>
      <c r="W193" s="60"/>
      <c r="X193" s="60"/>
      <c r="Y193" s="60"/>
      <c r="Z193" s="60"/>
      <c r="AA193" s="6"/>
      <c r="AB193" s="139"/>
      <c r="AC193" s="139"/>
      <c r="AD193" s="139"/>
      <c r="AE193" s="139"/>
    </row>
    <row r="194" spans="1:31" s="209" customFormat="1" ht="11.25" customHeight="1">
      <c r="A194" s="591"/>
      <c r="B194" s="65"/>
      <c r="C194" s="65"/>
      <c r="K194" s="60"/>
      <c r="L194" s="65"/>
      <c r="M194" s="65"/>
      <c r="N194" s="60"/>
      <c r="O194" s="60"/>
      <c r="P194" s="60"/>
      <c r="Q194" s="60"/>
      <c r="R194" s="65"/>
      <c r="S194" s="60"/>
      <c r="T194" s="60"/>
      <c r="U194" s="320"/>
      <c r="V194" s="60"/>
      <c r="W194" s="60"/>
      <c r="X194" s="60"/>
      <c r="Y194" s="60"/>
      <c r="Z194" s="60"/>
      <c r="AA194" s="6"/>
      <c r="AB194" s="139"/>
      <c r="AC194" s="139"/>
      <c r="AD194" s="139"/>
      <c r="AE194" s="139"/>
    </row>
    <row r="195" spans="1:31" s="209" customFormat="1" ht="11.25" customHeight="1">
      <c r="A195" s="591"/>
      <c r="B195" s="65"/>
      <c r="C195" s="65"/>
      <c r="K195" s="60"/>
      <c r="L195" s="65"/>
      <c r="M195" s="65"/>
      <c r="N195" s="60"/>
      <c r="O195" s="60"/>
      <c r="P195" s="60"/>
      <c r="Q195" s="60"/>
      <c r="R195" s="65"/>
      <c r="S195" s="60"/>
      <c r="T195" s="60"/>
      <c r="U195" s="320"/>
      <c r="V195" s="60"/>
      <c r="W195" s="60"/>
      <c r="X195" s="60"/>
      <c r="Y195" s="60"/>
      <c r="Z195" s="60"/>
      <c r="AA195" s="6"/>
      <c r="AB195" s="139"/>
      <c r="AC195" s="139"/>
      <c r="AD195" s="139"/>
      <c r="AE195" s="139"/>
    </row>
    <row r="196" spans="1:31" s="209" customFormat="1" ht="11.25" customHeight="1">
      <c r="A196" s="591"/>
      <c r="B196" s="65"/>
      <c r="C196" s="65"/>
      <c r="K196" s="60"/>
      <c r="L196" s="65"/>
      <c r="M196" s="65"/>
      <c r="N196" s="60"/>
      <c r="O196" s="60"/>
      <c r="P196" s="60"/>
      <c r="Q196" s="60"/>
      <c r="R196" s="65"/>
      <c r="S196" s="60"/>
      <c r="T196" s="60"/>
      <c r="U196" s="320"/>
      <c r="V196" s="60"/>
      <c r="W196" s="60"/>
      <c r="X196" s="60"/>
      <c r="Y196" s="60"/>
      <c r="Z196" s="60"/>
      <c r="AA196" s="6"/>
      <c r="AB196" s="139"/>
      <c r="AC196" s="139"/>
      <c r="AD196" s="139"/>
      <c r="AE196" s="139"/>
    </row>
    <row r="197" spans="1:31" s="209" customFormat="1" ht="11.25" customHeight="1">
      <c r="A197" s="591"/>
      <c r="B197" s="65"/>
      <c r="C197" s="65"/>
      <c r="K197" s="60"/>
      <c r="L197" s="65"/>
      <c r="M197" s="65"/>
      <c r="N197" s="60"/>
      <c r="O197" s="60"/>
      <c r="P197" s="60"/>
      <c r="Q197" s="60"/>
      <c r="R197" s="65"/>
      <c r="S197" s="60"/>
      <c r="T197" s="60"/>
      <c r="U197" s="320"/>
      <c r="V197" s="60"/>
      <c r="W197" s="60"/>
      <c r="X197" s="60"/>
      <c r="Y197" s="60"/>
      <c r="Z197" s="60"/>
      <c r="AA197" s="6"/>
      <c r="AB197" s="139"/>
      <c r="AC197" s="139"/>
      <c r="AD197" s="139"/>
      <c r="AE197" s="139"/>
    </row>
    <row r="198" spans="1:31" s="209" customFormat="1" ht="11.25" customHeight="1">
      <c r="A198" s="591"/>
      <c r="B198" s="65"/>
      <c r="C198" s="65"/>
      <c r="K198" s="60"/>
      <c r="L198" s="65"/>
      <c r="M198" s="65"/>
      <c r="N198" s="60"/>
      <c r="O198" s="60"/>
      <c r="P198" s="60"/>
      <c r="Q198" s="60"/>
      <c r="R198" s="65"/>
      <c r="S198" s="60"/>
      <c r="T198" s="60"/>
      <c r="U198" s="320"/>
      <c r="V198" s="60"/>
      <c r="W198" s="60"/>
      <c r="X198" s="60"/>
      <c r="Y198" s="60"/>
      <c r="Z198" s="60"/>
      <c r="AA198" s="6"/>
      <c r="AB198" s="139"/>
      <c r="AC198" s="139"/>
      <c r="AD198" s="139"/>
      <c r="AE198" s="139"/>
    </row>
    <row r="199" spans="1:31" s="209" customFormat="1" ht="11.25" customHeight="1">
      <c r="A199" s="591"/>
      <c r="B199" s="65"/>
      <c r="C199" s="65"/>
      <c r="K199" s="60"/>
      <c r="L199" s="65"/>
      <c r="M199" s="65"/>
      <c r="N199" s="60"/>
      <c r="O199" s="60"/>
      <c r="P199" s="60"/>
      <c r="Q199" s="60"/>
      <c r="R199" s="65"/>
      <c r="S199" s="60"/>
      <c r="T199" s="60"/>
      <c r="U199" s="320"/>
      <c r="V199" s="60"/>
      <c r="W199" s="60"/>
      <c r="X199" s="60"/>
      <c r="Y199" s="60"/>
      <c r="Z199" s="60"/>
      <c r="AA199" s="6"/>
      <c r="AB199" s="139"/>
      <c r="AC199" s="139"/>
      <c r="AD199" s="139"/>
      <c r="AE199" s="139"/>
    </row>
    <row r="200" spans="1:31" s="209" customFormat="1" ht="11.25" customHeight="1">
      <c r="A200" s="591"/>
      <c r="B200" s="65"/>
      <c r="C200" s="65"/>
      <c r="K200" s="60"/>
      <c r="L200" s="65"/>
      <c r="M200" s="65"/>
      <c r="N200" s="60"/>
      <c r="O200" s="60"/>
      <c r="P200" s="60"/>
      <c r="Q200" s="60"/>
      <c r="R200" s="65"/>
      <c r="S200" s="60"/>
      <c r="T200" s="60"/>
      <c r="U200" s="320"/>
      <c r="V200" s="60"/>
      <c r="W200" s="60"/>
      <c r="X200" s="60"/>
      <c r="Y200" s="60"/>
      <c r="Z200" s="60"/>
      <c r="AA200" s="6"/>
      <c r="AB200" s="139"/>
      <c r="AC200" s="139"/>
      <c r="AD200" s="139"/>
      <c r="AE200" s="139"/>
    </row>
    <row r="201" spans="1:31" s="209" customFormat="1" ht="11.25" customHeight="1">
      <c r="A201" s="591"/>
      <c r="B201" s="65"/>
      <c r="C201" s="65"/>
      <c r="K201" s="60"/>
      <c r="L201" s="65"/>
      <c r="M201" s="65"/>
      <c r="N201" s="60"/>
      <c r="O201" s="60"/>
      <c r="P201" s="60"/>
      <c r="Q201" s="60"/>
      <c r="R201" s="65"/>
      <c r="S201" s="60"/>
      <c r="T201" s="60"/>
      <c r="U201" s="320"/>
      <c r="V201" s="60"/>
      <c r="W201" s="60"/>
      <c r="X201" s="60"/>
      <c r="Y201" s="60"/>
      <c r="Z201" s="60"/>
      <c r="AA201" s="6"/>
      <c r="AB201" s="139"/>
      <c r="AC201" s="139"/>
      <c r="AD201" s="139"/>
      <c r="AE201" s="139"/>
    </row>
    <row r="202" spans="1:31" s="209" customFormat="1" ht="11.25" customHeight="1">
      <c r="A202" s="591"/>
      <c r="B202" s="65"/>
      <c r="C202" s="65"/>
      <c r="K202" s="60"/>
      <c r="L202" s="65"/>
      <c r="M202" s="65"/>
      <c r="N202" s="60"/>
      <c r="O202" s="60"/>
      <c r="P202" s="60"/>
      <c r="Q202" s="60"/>
      <c r="R202" s="65"/>
      <c r="S202" s="60"/>
      <c r="T202" s="60"/>
      <c r="U202" s="320"/>
      <c r="V202" s="60"/>
      <c r="W202" s="60"/>
      <c r="X202" s="60"/>
      <c r="Y202" s="60"/>
      <c r="Z202" s="60"/>
      <c r="AA202" s="6"/>
      <c r="AB202" s="139"/>
      <c r="AC202" s="139"/>
      <c r="AD202" s="139"/>
      <c r="AE202" s="139"/>
    </row>
    <row r="203" spans="1:31" s="209" customFormat="1" ht="11.25" customHeight="1">
      <c r="A203" s="591"/>
      <c r="B203" s="65"/>
      <c r="C203" s="65"/>
      <c r="K203" s="60"/>
      <c r="L203" s="65"/>
      <c r="M203" s="65"/>
      <c r="N203" s="60"/>
      <c r="O203" s="60"/>
      <c r="P203" s="60"/>
      <c r="Q203" s="60"/>
      <c r="R203" s="65"/>
      <c r="S203" s="60"/>
      <c r="T203" s="60"/>
      <c r="U203" s="320"/>
      <c r="V203" s="60"/>
      <c r="W203" s="60"/>
      <c r="X203" s="60"/>
      <c r="Y203" s="60"/>
      <c r="Z203" s="60"/>
      <c r="AA203" s="6"/>
      <c r="AB203" s="139"/>
      <c r="AC203" s="139"/>
      <c r="AD203" s="139"/>
      <c r="AE203" s="139"/>
    </row>
    <row r="204" spans="1:31" s="209" customFormat="1" ht="11.25" customHeight="1">
      <c r="A204" s="591"/>
      <c r="B204" s="65"/>
      <c r="C204" s="65"/>
      <c r="K204" s="60"/>
      <c r="L204" s="65"/>
      <c r="M204" s="65"/>
      <c r="N204" s="60"/>
      <c r="O204" s="60"/>
      <c r="P204" s="60"/>
      <c r="Q204" s="60"/>
      <c r="R204" s="65"/>
      <c r="S204" s="60"/>
      <c r="T204" s="60"/>
      <c r="U204" s="320"/>
      <c r="V204" s="60"/>
      <c r="W204" s="60"/>
      <c r="X204" s="60"/>
      <c r="Y204" s="60"/>
      <c r="Z204" s="60"/>
      <c r="AA204" s="6"/>
      <c r="AB204" s="139"/>
      <c r="AC204" s="139"/>
      <c r="AD204" s="139"/>
      <c r="AE204" s="139"/>
    </row>
    <row r="205" spans="1:31" s="209" customFormat="1" ht="11.25" customHeight="1">
      <c r="A205" s="591"/>
      <c r="B205" s="65"/>
      <c r="C205" s="65"/>
      <c r="K205" s="60"/>
      <c r="L205" s="65"/>
      <c r="M205" s="65"/>
      <c r="N205" s="60"/>
      <c r="O205" s="60"/>
      <c r="P205" s="60"/>
      <c r="Q205" s="60"/>
      <c r="R205" s="65"/>
      <c r="S205" s="60"/>
      <c r="T205" s="60"/>
      <c r="U205" s="320"/>
      <c r="V205" s="60"/>
      <c r="W205" s="60"/>
      <c r="X205" s="60"/>
      <c r="Y205" s="60"/>
      <c r="Z205" s="60"/>
      <c r="AA205" s="6"/>
      <c r="AB205" s="139"/>
      <c r="AC205" s="139"/>
      <c r="AD205" s="139"/>
      <c r="AE205" s="139"/>
    </row>
    <row r="206" spans="1:31" s="209" customFormat="1" ht="11.25" customHeight="1">
      <c r="A206" s="591"/>
      <c r="B206" s="65"/>
      <c r="C206" s="65"/>
      <c r="K206" s="60"/>
      <c r="L206" s="65"/>
      <c r="M206" s="65"/>
      <c r="N206" s="60"/>
      <c r="O206" s="60"/>
      <c r="P206" s="60"/>
      <c r="Q206" s="60"/>
      <c r="R206" s="65"/>
      <c r="S206" s="60"/>
      <c r="T206" s="60"/>
      <c r="U206" s="320"/>
      <c r="V206" s="60"/>
      <c r="W206" s="60"/>
      <c r="X206" s="60"/>
      <c r="Y206" s="60"/>
      <c r="Z206" s="60"/>
      <c r="AA206" s="6"/>
      <c r="AB206" s="139"/>
      <c r="AC206" s="139"/>
      <c r="AD206" s="139"/>
      <c r="AE206" s="139"/>
    </row>
    <row r="207" spans="1:31" s="209" customFormat="1" ht="11.25" customHeight="1">
      <c r="A207" s="591"/>
      <c r="B207" s="65"/>
      <c r="C207" s="65"/>
      <c r="K207" s="60"/>
      <c r="L207" s="65"/>
      <c r="M207" s="65"/>
      <c r="N207" s="60"/>
      <c r="O207" s="60"/>
      <c r="P207" s="60"/>
      <c r="Q207" s="60"/>
      <c r="R207" s="65"/>
      <c r="S207" s="60"/>
      <c r="T207" s="60"/>
      <c r="U207" s="320"/>
      <c r="V207" s="60"/>
      <c r="W207" s="60"/>
      <c r="X207" s="60"/>
      <c r="Y207" s="60"/>
      <c r="Z207" s="60"/>
      <c r="AA207" s="6"/>
      <c r="AB207" s="139"/>
      <c r="AC207" s="139"/>
      <c r="AD207" s="139"/>
      <c r="AE207" s="139"/>
    </row>
    <row r="208" spans="1:31" s="209" customFormat="1" ht="11.25" customHeight="1">
      <c r="A208" s="591"/>
      <c r="B208" s="65"/>
      <c r="C208" s="65"/>
      <c r="K208" s="60"/>
      <c r="L208" s="65"/>
      <c r="M208" s="65"/>
      <c r="N208" s="60"/>
      <c r="O208" s="60"/>
      <c r="P208" s="60"/>
      <c r="Q208" s="60"/>
      <c r="R208" s="65"/>
      <c r="S208" s="60"/>
      <c r="T208" s="60"/>
      <c r="U208" s="320"/>
      <c r="V208" s="60"/>
      <c r="W208" s="60"/>
      <c r="X208" s="60"/>
      <c r="Y208" s="60"/>
      <c r="Z208" s="60"/>
      <c r="AA208" s="6"/>
      <c r="AB208" s="139"/>
      <c r="AC208" s="139"/>
      <c r="AD208" s="139"/>
      <c r="AE208" s="139"/>
    </row>
    <row r="209" spans="1:31" s="209" customFormat="1" ht="11.25" customHeight="1">
      <c r="A209" s="591"/>
      <c r="B209" s="65"/>
      <c r="C209" s="65"/>
      <c r="K209" s="60"/>
      <c r="L209" s="65"/>
      <c r="M209" s="65"/>
      <c r="N209" s="60"/>
      <c r="O209" s="60"/>
      <c r="P209" s="60"/>
      <c r="Q209" s="60"/>
      <c r="R209" s="65"/>
      <c r="S209" s="60"/>
      <c r="T209" s="60"/>
      <c r="U209" s="320"/>
      <c r="V209" s="60"/>
      <c r="W209" s="60"/>
      <c r="X209" s="60"/>
      <c r="Y209" s="60"/>
      <c r="Z209" s="60"/>
      <c r="AA209" s="6"/>
      <c r="AB209" s="139"/>
      <c r="AC209" s="139"/>
      <c r="AD209" s="139"/>
      <c r="AE209" s="139"/>
    </row>
    <row r="210" spans="1:31" s="209" customFormat="1" ht="11.25" customHeight="1">
      <c r="A210" s="591"/>
      <c r="B210" s="65"/>
      <c r="C210" s="65"/>
      <c r="K210" s="60"/>
      <c r="L210" s="65"/>
      <c r="M210" s="65"/>
      <c r="N210" s="60"/>
      <c r="O210" s="60"/>
      <c r="P210" s="60"/>
      <c r="Q210" s="60"/>
      <c r="R210" s="65"/>
      <c r="S210" s="60"/>
      <c r="T210" s="60"/>
      <c r="U210" s="320"/>
      <c r="V210" s="60"/>
      <c r="W210" s="60"/>
      <c r="X210" s="60"/>
      <c r="Y210" s="60"/>
      <c r="Z210" s="60"/>
      <c r="AA210" s="6"/>
      <c r="AB210" s="139"/>
      <c r="AC210" s="139"/>
      <c r="AD210" s="139"/>
      <c r="AE210" s="139"/>
    </row>
    <row r="211" spans="1:31" s="209" customFormat="1" ht="11.25" customHeight="1">
      <c r="A211" s="591"/>
      <c r="B211" s="65"/>
      <c r="C211" s="65"/>
      <c r="K211" s="60"/>
      <c r="L211" s="65"/>
      <c r="M211" s="65"/>
      <c r="N211" s="60"/>
      <c r="O211" s="60"/>
      <c r="P211" s="60"/>
      <c r="Q211" s="60"/>
      <c r="R211" s="65"/>
      <c r="S211" s="60"/>
      <c r="T211" s="60"/>
      <c r="U211" s="320"/>
      <c r="V211" s="60"/>
      <c r="W211" s="60"/>
      <c r="X211" s="60"/>
      <c r="Y211" s="60"/>
      <c r="Z211" s="60"/>
      <c r="AA211" s="6"/>
      <c r="AB211" s="139"/>
      <c r="AC211" s="139"/>
      <c r="AD211" s="139"/>
      <c r="AE211" s="139"/>
    </row>
    <row r="212" spans="1:31" s="209" customFormat="1" ht="11.25" customHeight="1">
      <c r="A212" s="591"/>
      <c r="B212" s="65"/>
      <c r="C212" s="65"/>
      <c r="K212" s="60"/>
      <c r="L212" s="65"/>
      <c r="M212" s="65"/>
      <c r="N212" s="60"/>
      <c r="O212" s="60"/>
      <c r="P212" s="60"/>
      <c r="Q212" s="60"/>
      <c r="R212" s="65"/>
      <c r="S212" s="60"/>
      <c r="T212" s="60"/>
      <c r="U212" s="320"/>
      <c r="V212" s="60"/>
      <c r="W212" s="60"/>
      <c r="X212" s="60"/>
      <c r="Y212" s="60"/>
      <c r="Z212" s="60"/>
      <c r="AA212" s="6"/>
      <c r="AB212" s="139"/>
      <c r="AC212" s="139"/>
      <c r="AD212" s="139"/>
      <c r="AE212" s="139"/>
    </row>
    <row r="213" spans="1:31" s="209" customFormat="1" ht="11.25" customHeight="1">
      <c r="A213" s="591"/>
      <c r="B213" s="65"/>
      <c r="C213" s="65"/>
      <c r="K213" s="60"/>
      <c r="L213" s="65"/>
      <c r="M213" s="65"/>
      <c r="N213" s="60"/>
      <c r="O213" s="60"/>
      <c r="P213" s="60"/>
      <c r="Q213" s="60"/>
      <c r="R213" s="65"/>
      <c r="S213" s="60"/>
      <c r="T213" s="60"/>
      <c r="U213" s="320"/>
      <c r="V213" s="60"/>
      <c r="W213" s="60"/>
      <c r="X213" s="60"/>
      <c r="Y213" s="60"/>
      <c r="Z213" s="60"/>
      <c r="AA213" s="6"/>
      <c r="AB213" s="139"/>
      <c r="AC213" s="139"/>
      <c r="AD213" s="139"/>
      <c r="AE213" s="139"/>
    </row>
    <row r="214" spans="1:31" s="209" customFormat="1" ht="11.25" customHeight="1">
      <c r="A214" s="591"/>
      <c r="B214" s="65"/>
      <c r="C214" s="65"/>
      <c r="K214" s="60"/>
      <c r="L214" s="65"/>
      <c r="M214" s="65"/>
      <c r="N214" s="60"/>
      <c r="O214" s="60"/>
      <c r="P214" s="60"/>
      <c r="Q214" s="60"/>
      <c r="R214" s="65"/>
      <c r="S214" s="60"/>
      <c r="T214" s="60"/>
      <c r="U214" s="320"/>
      <c r="V214" s="60"/>
      <c r="W214" s="60"/>
      <c r="X214" s="60"/>
      <c r="Y214" s="60"/>
      <c r="Z214" s="60"/>
      <c r="AA214" s="6"/>
      <c r="AB214" s="139"/>
      <c r="AC214" s="139"/>
      <c r="AD214" s="139"/>
      <c r="AE214" s="139"/>
    </row>
    <row r="215" spans="1:31" s="209" customFormat="1" ht="11.25" customHeight="1">
      <c r="A215" s="591"/>
      <c r="B215" s="65"/>
      <c r="C215" s="65"/>
      <c r="K215" s="60"/>
      <c r="L215" s="65"/>
      <c r="M215" s="65"/>
      <c r="N215" s="60"/>
      <c r="O215" s="60"/>
      <c r="P215" s="60"/>
      <c r="Q215" s="60"/>
      <c r="R215" s="65"/>
      <c r="S215" s="60"/>
      <c r="T215" s="60"/>
      <c r="U215" s="320"/>
      <c r="V215" s="60"/>
      <c r="W215" s="60"/>
      <c r="X215" s="60"/>
      <c r="Y215" s="60"/>
      <c r="Z215" s="60"/>
      <c r="AA215" s="6"/>
      <c r="AB215" s="139"/>
      <c r="AC215" s="139"/>
      <c r="AD215" s="139"/>
      <c r="AE215" s="139"/>
    </row>
    <row r="216" spans="1:31" s="209" customFormat="1" ht="11.25" customHeight="1">
      <c r="A216" s="591"/>
      <c r="B216" s="65"/>
      <c r="C216" s="65"/>
      <c r="K216" s="60"/>
      <c r="L216" s="65"/>
      <c r="M216" s="65"/>
      <c r="N216" s="60"/>
      <c r="O216" s="60"/>
      <c r="P216" s="60"/>
      <c r="Q216" s="60"/>
      <c r="R216" s="65"/>
      <c r="S216" s="60"/>
      <c r="T216" s="60"/>
      <c r="U216" s="320"/>
      <c r="V216" s="60"/>
      <c r="W216" s="60"/>
      <c r="X216" s="60"/>
      <c r="Y216" s="60"/>
      <c r="Z216" s="60"/>
      <c r="AA216" s="6"/>
      <c r="AB216" s="139"/>
      <c r="AC216" s="139"/>
      <c r="AD216" s="139"/>
      <c r="AE216" s="139"/>
    </row>
    <row r="217" spans="1:31" s="209" customFormat="1" ht="11.25" customHeight="1">
      <c r="A217" s="591"/>
      <c r="B217" s="65"/>
      <c r="C217" s="65"/>
      <c r="K217" s="60"/>
      <c r="L217" s="65"/>
      <c r="M217" s="65"/>
      <c r="N217" s="60"/>
      <c r="O217" s="60"/>
      <c r="P217" s="60"/>
      <c r="Q217" s="60"/>
      <c r="R217" s="65"/>
      <c r="S217" s="60"/>
      <c r="T217" s="60"/>
      <c r="U217" s="320"/>
      <c r="V217" s="60"/>
      <c r="W217" s="60"/>
      <c r="X217" s="60"/>
      <c r="Y217" s="60"/>
      <c r="Z217" s="60"/>
      <c r="AA217" s="6"/>
      <c r="AB217" s="139"/>
      <c r="AC217" s="139"/>
      <c r="AD217" s="139"/>
      <c r="AE217" s="139"/>
    </row>
    <row r="218" spans="1:31" s="209" customFormat="1" ht="11.25" customHeight="1">
      <c r="A218" s="591"/>
      <c r="B218" s="65"/>
      <c r="C218" s="65"/>
      <c r="K218" s="60"/>
      <c r="L218" s="65"/>
      <c r="M218" s="65"/>
      <c r="N218" s="60"/>
      <c r="O218" s="60"/>
      <c r="P218" s="60"/>
      <c r="Q218" s="60"/>
      <c r="R218" s="65"/>
      <c r="S218" s="60"/>
      <c r="T218" s="60"/>
      <c r="U218" s="320"/>
      <c r="V218" s="60"/>
      <c r="W218" s="60"/>
      <c r="X218" s="60"/>
      <c r="Y218" s="60"/>
      <c r="Z218" s="60"/>
      <c r="AA218" s="6"/>
      <c r="AB218" s="139"/>
      <c r="AC218" s="139"/>
      <c r="AD218" s="139"/>
      <c r="AE218" s="139"/>
    </row>
    <row r="219" spans="1:31" s="209" customFormat="1" ht="11.25" customHeight="1">
      <c r="A219" s="591"/>
      <c r="B219" s="65"/>
      <c r="C219" s="65"/>
      <c r="K219" s="60"/>
      <c r="L219" s="65"/>
      <c r="M219" s="65"/>
      <c r="N219" s="60"/>
      <c r="O219" s="60"/>
      <c r="P219" s="60"/>
      <c r="Q219" s="60"/>
      <c r="R219" s="65"/>
      <c r="S219" s="60"/>
      <c r="T219" s="60"/>
      <c r="U219" s="320"/>
      <c r="V219" s="60"/>
      <c r="W219" s="60"/>
      <c r="X219" s="60"/>
      <c r="Y219" s="60"/>
      <c r="Z219" s="60"/>
      <c r="AA219" s="6"/>
      <c r="AB219" s="139"/>
      <c r="AC219" s="139"/>
      <c r="AD219" s="139"/>
      <c r="AE219" s="139"/>
    </row>
    <row r="220" spans="1:31" s="209" customFormat="1" ht="11.25" customHeight="1">
      <c r="A220" s="591"/>
      <c r="B220" s="65"/>
      <c r="C220" s="65"/>
      <c r="K220" s="60"/>
      <c r="L220" s="65"/>
      <c r="M220" s="65"/>
      <c r="N220" s="60"/>
      <c r="O220" s="60"/>
      <c r="P220" s="60"/>
      <c r="Q220" s="60"/>
      <c r="R220" s="65"/>
      <c r="S220" s="60"/>
      <c r="T220" s="60"/>
      <c r="U220" s="320"/>
      <c r="V220" s="60"/>
      <c r="W220" s="60"/>
      <c r="X220" s="60"/>
      <c r="Y220" s="60"/>
      <c r="Z220" s="60"/>
      <c r="AA220" s="6"/>
      <c r="AB220" s="139"/>
      <c r="AC220" s="139"/>
      <c r="AD220" s="139"/>
      <c r="AE220" s="139"/>
    </row>
    <row r="221" spans="1:31" s="209" customFormat="1" ht="11.25" customHeight="1">
      <c r="A221" s="591"/>
      <c r="B221" s="65"/>
      <c r="C221" s="65"/>
      <c r="K221" s="60"/>
      <c r="L221" s="65"/>
      <c r="M221" s="65"/>
      <c r="N221" s="60"/>
      <c r="O221" s="60"/>
      <c r="P221" s="60"/>
      <c r="Q221" s="60"/>
      <c r="R221" s="65"/>
      <c r="S221" s="60"/>
      <c r="T221" s="60"/>
      <c r="U221" s="320"/>
      <c r="V221" s="60"/>
      <c r="W221" s="60"/>
      <c r="X221" s="60"/>
      <c r="Y221" s="60"/>
      <c r="Z221" s="60"/>
      <c r="AA221" s="6"/>
      <c r="AB221" s="139"/>
      <c r="AC221" s="139"/>
      <c r="AD221" s="139"/>
      <c r="AE221" s="139"/>
    </row>
    <row r="222" spans="1:31" s="209" customFormat="1" ht="11.25" customHeight="1">
      <c r="A222" s="591"/>
      <c r="B222" s="65"/>
      <c r="C222" s="65"/>
      <c r="K222" s="60"/>
      <c r="L222" s="65"/>
      <c r="M222" s="65"/>
      <c r="N222" s="60"/>
      <c r="O222" s="60"/>
      <c r="P222" s="60"/>
      <c r="Q222" s="60"/>
      <c r="R222" s="65"/>
      <c r="S222" s="60"/>
      <c r="T222" s="60"/>
      <c r="U222" s="320"/>
      <c r="V222" s="60"/>
      <c r="W222" s="60"/>
      <c r="X222" s="60"/>
      <c r="Y222" s="60"/>
      <c r="Z222" s="60"/>
      <c r="AA222" s="6"/>
      <c r="AB222" s="139"/>
      <c r="AC222" s="139"/>
      <c r="AD222" s="139"/>
      <c r="AE222" s="139"/>
    </row>
    <row r="223" spans="1:31" s="209" customFormat="1" ht="11.25" customHeight="1">
      <c r="A223" s="591"/>
      <c r="B223" s="65"/>
      <c r="C223" s="65"/>
      <c r="K223" s="60"/>
      <c r="L223" s="65"/>
      <c r="M223" s="65"/>
      <c r="N223" s="60"/>
      <c r="O223" s="60"/>
      <c r="P223" s="60"/>
      <c r="Q223" s="60"/>
      <c r="R223" s="65"/>
      <c r="S223" s="60"/>
      <c r="T223" s="60"/>
      <c r="U223" s="320"/>
      <c r="V223" s="60"/>
      <c r="W223" s="60"/>
      <c r="X223" s="60"/>
      <c r="Y223" s="60"/>
      <c r="Z223" s="60"/>
      <c r="AA223" s="6"/>
      <c r="AB223" s="139"/>
      <c r="AC223" s="139"/>
      <c r="AD223" s="139"/>
      <c r="AE223" s="139"/>
    </row>
    <row r="224" spans="1:31" s="209" customFormat="1" ht="11.25" customHeight="1">
      <c r="A224" s="591"/>
      <c r="B224" s="65"/>
      <c r="C224" s="65"/>
      <c r="K224" s="60"/>
      <c r="L224" s="65"/>
      <c r="M224" s="65"/>
      <c r="N224" s="60"/>
      <c r="O224" s="60"/>
      <c r="P224" s="60"/>
      <c r="Q224" s="60"/>
      <c r="R224" s="65"/>
      <c r="S224" s="60"/>
      <c r="T224" s="60"/>
      <c r="U224" s="320"/>
      <c r="V224" s="60"/>
      <c r="W224" s="60"/>
      <c r="X224" s="60"/>
      <c r="Y224" s="60"/>
      <c r="Z224" s="60"/>
      <c r="AA224" s="6"/>
      <c r="AB224" s="139"/>
      <c r="AC224" s="139"/>
      <c r="AD224" s="139"/>
      <c r="AE224" s="139"/>
    </row>
    <row r="225" spans="1:31" s="209" customFormat="1" ht="11.25" customHeight="1">
      <c r="A225" s="591"/>
      <c r="B225" s="65"/>
      <c r="C225" s="65"/>
      <c r="K225" s="60"/>
      <c r="L225" s="65"/>
      <c r="M225" s="65"/>
      <c r="N225" s="60"/>
      <c r="O225" s="60"/>
      <c r="P225" s="60"/>
      <c r="Q225" s="60"/>
      <c r="R225" s="65"/>
      <c r="S225" s="60"/>
      <c r="T225" s="60"/>
      <c r="U225" s="320"/>
      <c r="V225" s="60"/>
      <c r="W225" s="60"/>
      <c r="X225" s="60"/>
      <c r="Y225" s="60"/>
      <c r="Z225" s="60"/>
      <c r="AA225" s="6"/>
      <c r="AB225" s="139"/>
      <c r="AC225" s="139"/>
      <c r="AD225" s="139"/>
      <c r="AE225" s="139"/>
    </row>
    <row r="226" spans="1:31" s="209" customFormat="1" ht="11.25" customHeight="1">
      <c r="A226" s="591"/>
      <c r="B226" s="65"/>
      <c r="C226" s="65"/>
      <c r="K226" s="60"/>
      <c r="L226" s="65"/>
      <c r="M226" s="65"/>
      <c r="N226" s="60"/>
      <c r="O226" s="60"/>
      <c r="P226" s="60"/>
      <c r="Q226" s="60"/>
      <c r="R226" s="65"/>
      <c r="S226" s="60"/>
      <c r="T226" s="60"/>
      <c r="U226" s="320"/>
      <c r="V226" s="60"/>
      <c r="W226" s="60"/>
      <c r="X226" s="60"/>
      <c r="Y226" s="60"/>
      <c r="Z226" s="60"/>
      <c r="AA226" s="6"/>
      <c r="AB226" s="139"/>
      <c r="AC226" s="139"/>
      <c r="AD226" s="139"/>
      <c r="AE226" s="139"/>
    </row>
    <row r="227" spans="1:31" s="209" customFormat="1" ht="11.25" customHeight="1">
      <c r="A227" s="591"/>
      <c r="B227" s="65"/>
      <c r="C227" s="65"/>
      <c r="K227" s="60"/>
      <c r="L227" s="65"/>
      <c r="M227" s="65"/>
      <c r="N227" s="60"/>
      <c r="O227" s="60"/>
      <c r="P227" s="60"/>
      <c r="Q227" s="60"/>
      <c r="R227" s="65"/>
      <c r="S227" s="60"/>
      <c r="T227" s="60"/>
      <c r="U227" s="320"/>
      <c r="V227" s="60"/>
      <c r="W227" s="60"/>
      <c r="X227" s="60"/>
      <c r="Y227" s="60"/>
      <c r="Z227" s="60"/>
      <c r="AA227" s="6"/>
      <c r="AB227" s="139"/>
      <c r="AC227" s="139"/>
      <c r="AD227" s="139"/>
      <c r="AE227" s="139"/>
    </row>
    <row r="228" spans="1:31" s="209" customFormat="1" ht="11.25" customHeight="1">
      <c r="A228" s="591"/>
      <c r="B228" s="65"/>
      <c r="C228" s="65"/>
      <c r="K228" s="60"/>
      <c r="L228" s="65"/>
      <c r="M228" s="65"/>
      <c r="N228" s="60"/>
      <c r="O228" s="60"/>
      <c r="P228" s="60"/>
      <c r="Q228" s="60"/>
      <c r="R228" s="65"/>
      <c r="S228" s="60"/>
      <c r="T228" s="60"/>
      <c r="U228" s="320"/>
      <c r="V228" s="60"/>
      <c r="W228" s="60"/>
      <c r="X228" s="60"/>
      <c r="Y228" s="60"/>
      <c r="Z228" s="60"/>
      <c r="AA228" s="6"/>
      <c r="AB228" s="139"/>
      <c r="AC228" s="139"/>
      <c r="AD228" s="139"/>
      <c r="AE228" s="139"/>
    </row>
    <row r="229" spans="1:31" s="209" customFormat="1" ht="11.25" customHeight="1">
      <c r="A229" s="591"/>
      <c r="B229" s="65"/>
      <c r="C229" s="65"/>
      <c r="K229" s="60"/>
      <c r="L229" s="65"/>
      <c r="M229" s="65"/>
      <c r="N229" s="60"/>
      <c r="O229" s="60"/>
      <c r="P229" s="60"/>
      <c r="Q229" s="60"/>
      <c r="R229" s="65"/>
      <c r="S229" s="60"/>
      <c r="T229" s="60"/>
      <c r="U229" s="320"/>
      <c r="V229" s="60"/>
      <c r="W229" s="60"/>
      <c r="X229" s="60"/>
      <c r="Y229" s="60"/>
      <c r="Z229" s="60"/>
      <c r="AA229" s="6"/>
      <c r="AB229" s="139"/>
      <c r="AC229" s="139"/>
      <c r="AD229" s="139"/>
      <c r="AE229" s="139"/>
    </row>
    <row r="230" spans="1:31" s="209" customFormat="1" ht="11.25" customHeight="1">
      <c r="A230" s="591"/>
      <c r="B230" s="65"/>
      <c r="C230" s="65"/>
      <c r="K230" s="60"/>
      <c r="L230" s="65"/>
      <c r="M230" s="65"/>
      <c r="N230" s="60"/>
      <c r="O230" s="60"/>
      <c r="P230" s="60"/>
      <c r="Q230" s="60"/>
      <c r="R230" s="65"/>
      <c r="S230" s="60"/>
      <c r="T230" s="60"/>
      <c r="U230" s="320"/>
      <c r="V230" s="60"/>
      <c r="W230" s="60"/>
      <c r="X230" s="60"/>
      <c r="Y230" s="60"/>
      <c r="Z230" s="60"/>
      <c r="AA230" s="6"/>
      <c r="AB230" s="139"/>
      <c r="AC230" s="139"/>
      <c r="AD230" s="139"/>
      <c r="AE230" s="139"/>
    </row>
    <row r="231" spans="1:31" s="209" customFormat="1" ht="11.25" customHeight="1">
      <c r="A231" s="591"/>
      <c r="B231" s="65"/>
      <c r="C231" s="65"/>
      <c r="K231" s="60"/>
      <c r="L231" s="65"/>
      <c r="M231" s="65"/>
      <c r="N231" s="60"/>
      <c r="O231" s="60"/>
      <c r="P231" s="60"/>
      <c r="Q231" s="60"/>
      <c r="R231" s="65"/>
      <c r="S231" s="60"/>
      <c r="T231" s="60"/>
      <c r="U231" s="320"/>
      <c r="V231" s="60"/>
      <c r="W231" s="60"/>
      <c r="X231" s="60"/>
      <c r="Y231" s="60"/>
      <c r="Z231" s="60"/>
      <c r="AA231" s="6"/>
      <c r="AB231" s="139"/>
      <c r="AC231" s="139"/>
      <c r="AD231" s="139"/>
      <c r="AE231" s="139"/>
    </row>
    <row r="232" spans="1:31" s="209" customFormat="1" ht="11.25" customHeight="1">
      <c r="A232" s="591"/>
      <c r="B232" s="65"/>
      <c r="C232" s="65"/>
      <c r="K232" s="60"/>
      <c r="L232" s="65"/>
      <c r="M232" s="65"/>
      <c r="N232" s="60"/>
      <c r="O232" s="60"/>
      <c r="P232" s="60"/>
      <c r="Q232" s="60"/>
      <c r="R232" s="65"/>
      <c r="S232" s="60"/>
      <c r="T232" s="60"/>
      <c r="U232" s="320"/>
      <c r="V232" s="60"/>
      <c r="W232" s="60"/>
      <c r="X232" s="60"/>
      <c r="Y232" s="60"/>
      <c r="Z232" s="60"/>
      <c r="AA232" s="6"/>
      <c r="AB232" s="139"/>
      <c r="AC232" s="139"/>
      <c r="AD232" s="139"/>
      <c r="AE232" s="139"/>
    </row>
    <row r="233" spans="1:31" s="209" customFormat="1" ht="11.25" customHeight="1">
      <c r="A233" s="591"/>
      <c r="B233" s="65"/>
      <c r="C233" s="65"/>
      <c r="K233" s="60"/>
      <c r="L233" s="65"/>
      <c r="M233" s="65"/>
      <c r="N233" s="60"/>
      <c r="O233" s="60"/>
      <c r="P233" s="60"/>
      <c r="Q233" s="60"/>
      <c r="R233" s="65"/>
      <c r="S233" s="60"/>
      <c r="T233" s="60"/>
      <c r="U233" s="320"/>
      <c r="V233" s="60"/>
      <c r="W233" s="60"/>
      <c r="X233" s="60"/>
      <c r="Y233" s="60"/>
      <c r="Z233" s="60"/>
      <c r="AA233" s="6"/>
      <c r="AB233" s="139"/>
      <c r="AC233" s="139"/>
      <c r="AD233" s="139"/>
      <c r="AE233" s="139"/>
    </row>
    <row r="234" spans="1:31" s="209" customFormat="1" ht="11.25" customHeight="1">
      <c r="A234" s="591"/>
      <c r="B234" s="65"/>
      <c r="C234" s="65"/>
      <c r="K234" s="60"/>
      <c r="L234" s="65"/>
      <c r="M234" s="65"/>
      <c r="N234" s="60"/>
      <c r="O234" s="60"/>
      <c r="P234" s="60"/>
      <c r="Q234" s="60"/>
      <c r="R234" s="65"/>
      <c r="S234" s="60"/>
      <c r="T234" s="60"/>
      <c r="U234" s="320"/>
      <c r="V234" s="60"/>
      <c r="W234" s="60"/>
      <c r="X234" s="60"/>
      <c r="Y234" s="60"/>
      <c r="Z234" s="60"/>
      <c r="AA234" s="6"/>
      <c r="AB234" s="139"/>
      <c r="AC234" s="139"/>
      <c r="AD234" s="139"/>
      <c r="AE234" s="139"/>
    </row>
    <row r="235" spans="1:31" s="209" customFormat="1" ht="11.25" customHeight="1">
      <c r="A235" s="591"/>
      <c r="B235" s="65"/>
      <c r="C235" s="65"/>
      <c r="K235" s="60"/>
      <c r="L235" s="65"/>
      <c r="M235" s="65"/>
      <c r="N235" s="60"/>
      <c r="O235" s="60"/>
      <c r="P235" s="60"/>
      <c r="Q235" s="60"/>
      <c r="R235" s="65"/>
      <c r="S235" s="60"/>
      <c r="T235" s="60"/>
      <c r="U235" s="320"/>
      <c r="V235" s="60"/>
      <c r="W235" s="60"/>
      <c r="X235" s="60"/>
      <c r="Y235" s="60"/>
      <c r="Z235" s="60"/>
      <c r="AA235" s="6"/>
      <c r="AB235" s="139"/>
      <c r="AC235" s="139"/>
      <c r="AD235" s="139"/>
      <c r="AE235" s="139"/>
    </row>
    <row r="236" spans="1:31" s="209" customFormat="1" ht="11.25" customHeight="1">
      <c r="A236" s="591"/>
      <c r="B236" s="65"/>
      <c r="C236" s="65"/>
      <c r="K236" s="60"/>
      <c r="L236" s="65"/>
      <c r="M236" s="65"/>
      <c r="N236" s="60"/>
      <c r="O236" s="60"/>
      <c r="P236" s="60"/>
      <c r="Q236" s="60"/>
      <c r="R236" s="65"/>
      <c r="S236" s="60"/>
      <c r="T236" s="60"/>
      <c r="U236" s="320"/>
      <c r="V236" s="60"/>
      <c r="W236" s="60"/>
      <c r="X236" s="60"/>
      <c r="Y236" s="60"/>
      <c r="Z236" s="60"/>
      <c r="AA236" s="6"/>
      <c r="AB236" s="139"/>
      <c r="AC236" s="139"/>
      <c r="AD236" s="139"/>
      <c r="AE236" s="139"/>
    </row>
    <row r="237" spans="1:31" s="209" customFormat="1" ht="11.25" customHeight="1">
      <c r="A237" s="591"/>
      <c r="B237" s="65"/>
      <c r="C237" s="65"/>
      <c r="K237" s="60"/>
      <c r="L237" s="65"/>
      <c r="M237" s="65"/>
      <c r="N237" s="60"/>
      <c r="O237" s="60"/>
      <c r="P237" s="60"/>
      <c r="Q237" s="60"/>
      <c r="R237" s="65"/>
      <c r="S237" s="60"/>
      <c r="T237" s="60"/>
      <c r="U237" s="320"/>
      <c r="V237" s="60"/>
      <c r="W237" s="60"/>
      <c r="X237" s="60"/>
      <c r="Y237" s="60"/>
      <c r="Z237" s="60"/>
      <c r="AA237" s="6"/>
      <c r="AB237" s="139"/>
      <c r="AC237" s="139"/>
      <c r="AD237" s="139"/>
      <c r="AE237" s="139"/>
    </row>
    <row r="238" spans="1:31" s="209" customFormat="1" ht="11.25" customHeight="1">
      <c r="A238" s="591"/>
      <c r="B238" s="65"/>
      <c r="C238" s="65"/>
      <c r="K238" s="60"/>
      <c r="L238" s="65"/>
      <c r="M238" s="65"/>
      <c r="N238" s="60"/>
      <c r="O238" s="60"/>
      <c r="P238" s="60"/>
      <c r="Q238" s="60"/>
      <c r="R238" s="65"/>
      <c r="S238" s="60"/>
      <c r="T238" s="60"/>
      <c r="U238" s="320"/>
      <c r="V238" s="60"/>
      <c r="W238" s="60"/>
      <c r="X238" s="60"/>
      <c r="Y238" s="60"/>
      <c r="Z238" s="60"/>
      <c r="AA238" s="6"/>
      <c r="AB238" s="139"/>
      <c r="AC238" s="139"/>
      <c r="AD238" s="139"/>
      <c r="AE238" s="139"/>
    </row>
    <row r="239" spans="1:31" s="209" customFormat="1" ht="11.25" customHeight="1">
      <c r="A239" s="591"/>
      <c r="B239" s="65"/>
      <c r="C239" s="65"/>
      <c r="K239" s="60"/>
      <c r="L239" s="65"/>
      <c r="M239" s="65"/>
      <c r="N239" s="60"/>
      <c r="O239" s="60"/>
      <c r="P239" s="60"/>
      <c r="Q239" s="60"/>
      <c r="R239" s="65"/>
      <c r="S239" s="60"/>
      <c r="T239" s="60"/>
      <c r="U239" s="320"/>
      <c r="V239" s="60"/>
      <c r="W239" s="60"/>
      <c r="X239" s="60"/>
      <c r="Y239" s="60"/>
      <c r="Z239" s="60"/>
      <c r="AA239" s="6"/>
      <c r="AB239" s="139"/>
      <c r="AC239" s="139"/>
      <c r="AD239" s="139"/>
      <c r="AE239" s="139"/>
    </row>
    <row r="240" spans="1:31" s="209" customFormat="1" ht="11.25" customHeight="1">
      <c r="A240" s="591"/>
      <c r="B240" s="65"/>
      <c r="C240" s="65"/>
      <c r="K240" s="60"/>
      <c r="L240" s="65"/>
      <c r="M240" s="65"/>
      <c r="N240" s="60"/>
      <c r="O240" s="60"/>
      <c r="P240" s="60"/>
      <c r="Q240" s="60"/>
      <c r="R240" s="65"/>
      <c r="S240" s="60"/>
      <c r="T240" s="60"/>
      <c r="U240" s="320"/>
      <c r="V240" s="60"/>
      <c r="W240" s="60"/>
      <c r="X240" s="60"/>
      <c r="Y240" s="60"/>
      <c r="Z240" s="60"/>
      <c r="AA240" s="6"/>
      <c r="AB240" s="139"/>
      <c r="AC240" s="139"/>
      <c r="AD240" s="139"/>
      <c r="AE240" s="139"/>
    </row>
    <row r="241" spans="1:31" s="209" customFormat="1" ht="11.25" customHeight="1">
      <c r="A241" s="591"/>
      <c r="B241" s="65"/>
      <c r="C241" s="65"/>
      <c r="K241" s="60"/>
      <c r="L241" s="65"/>
      <c r="M241" s="65"/>
      <c r="N241" s="60"/>
      <c r="O241" s="60"/>
      <c r="P241" s="60"/>
      <c r="Q241" s="60"/>
      <c r="R241" s="65"/>
      <c r="S241" s="60"/>
      <c r="T241" s="60"/>
      <c r="U241" s="320"/>
      <c r="V241" s="60"/>
      <c r="W241" s="60"/>
      <c r="X241" s="60"/>
      <c r="Y241" s="60"/>
      <c r="Z241" s="60"/>
      <c r="AA241" s="6"/>
      <c r="AB241" s="139"/>
      <c r="AC241" s="139"/>
      <c r="AD241" s="139"/>
      <c r="AE241" s="139"/>
    </row>
    <row r="242" spans="1:31" s="209" customFormat="1" ht="11.25" customHeight="1">
      <c r="A242" s="591"/>
      <c r="B242" s="65"/>
      <c r="C242" s="65"/>
      <c r="K242" s="60"/>
      <c r="L242" s="65"/>
      <c r="M242" s="65"/>
      <c r="N242" s="60"/>
      <c r="O242" s="60"/>
      <c r="P242" s="60"/>
      <c r="Q242" s="60"/>
      <c r="R242" s="65"/>
      <c r="S242" s="60"/>
      <c r="T242" s="60"/>
      <c r="U242" s="320"/>
      <c r="V242" s="60"/>
      <c r="W242" s="60"/>
      <c r="X242" s="60"/>
      <c r="Y242" s="60"/>
      <c r="Z242" s="60"/>
      <c r="AA242" s="6"/>
      <c r="AB242" s="139"/>
      <c r="AC242" s="139"/>
      <c r="AD242" s="139"/>
      <c r="AE242" s="139"/>
    </row>
    <row r="243" spans="1:31" s="209" customFormat="1" ht="11.25" customHeight="1">
      <c r="A243" s="591"/>
      <c r="B243" s="65"/>
      <c r="C243" s="65"/>
      <c r="K243" s="60"/>
      <c r="L243" s="65"/>
      <c r="M243" s="65"/>
      <c r="N243" s="60"/>
      <c r="O243" s="60"/>
      <c r="P243" s="60"/>
      <c r="Q243" s="60"/>
      <c r="R243" s="65"/>
      <c r="S243" s="60"/>
      <c r="T243" s="60"/>
      <c r="U243" s="320"/>
      <c r="V243" s="60"/>
      <c r="W243" s="60"/>
      <c r="X243" s="60"/>
      <c r="Y243" s="60"/>
      <c r="Z243" s="60"/>
      <c r="AA243" s="6"/>
      <c r="AB243" s="139"/>
      <c r="AC243" s="139"/>
      <c r="AD243" s="139"/>
      <c r="AE243" s="139"/>
    </row>
    <row r="244" spans="1:31" s="209" customFormat="1" ht="11.25" customHeight="1">
      <c r="A244" s="591"/>
      <c r="B244" s="65"/>
      <c r="C244" s="65"/>
      <c r="K244" s="60"/>
      <c r="L244" s="65"/>
      <c r="M244" s="65"/>
      <c r="N244" s="60"/>
      <c r="O244" s="60"/>
      <c r="P244" s="60"/>
      <c r="Q244" s="60"/>
      <c r="R244" s="65"/>
      <c r="S244" s="60"/>
      <c r="T244" s="60"/>
      <c r="U244" s="320"/>
      <c r="V244" s="60"/>
      <c r="W244" s="60"/>
      <c r="X244" s="60"/>
      <c r="Y244" s="60"/>
      <c r="Z244" s="60"/>
      <c r="AA244" s="6"/>
      <c r="AB244" s="139"/>
      <c r="AC244" s="139"/>
      <c r="AD244" s="139"/>
      <c r="AE244" s="139"/>
    </row>
    <row r="245" spans="1:31" s="209" customFormat="1" ht="11.25" customHeight="1">
      <c r="A245" s="591"/>
      <c r="B245" s="65"/>
      <c r="C245" s="65"/>
      <c r="K245" s="60"/>
      <c r="L245" s="65"/>
      <c r="M245" s="65"/>
      <c r="N245" s="60"/>
      <c r="O245" s="60"/>
      <c r="P245" s="60"/>
      <c r="Q245" s="60"/>
      <c r="R245" s="65"/>
      <c r="S245" s="60"/>
      <c r="T245" s="60"/>
      <c r="U245" s="320"/>
      <c r="V245" s="60"/>
      <c r="W245" s="60"/>
      <c r="X245" s="60"/>
      <c r="Y245" s="60"/>
      <c r="Z245" s="60"/>
      <c r="AA245" s="6"/>
      <c r="AB245" s="139"/>
      <c r="AC245" s="139"/>
      <c r="AD245" s="139"/>
      <c r="AE245" s="139"/>
    </row>
    <row r="246" spans="1:31" s="209" customFormat="1" ht="11.25" customHeight="1">
      <c r="A246" s="591"/>
      <c r="B246" s="65"/>
      <c r="C246" s="65"/>
      <c r="K246" s="60"/>
      <c r="L246" s="65"/>
      <c r="M246" s="65"/>
      <c r="N246" s="60"/>
      <c r="O246" s="60"/>
      <c r="P246" s="60"/>
      <c r="Q246" s="60"/>
      <c r="R246" s="65"/>
      <c r="S246" s="60"/>
      <c r="T246" s="60"/>
      <c r="U246" s="320"/>
      <c r="V246" s="60"/>
      <c r="W246" s="60"/>
      <c r="X246" s="60"/>
      <c r="Y246" s="60"/>
      <c r="Z246" s="60"/>
      <c r="AA246" s="6"/>
      <c r="AB246" s="139"/>
      <c r="AC246" s="139"/>
      <c r="AD246" s="139"/>
      <c r="AE246" s="139"/>
    </row>
    <row r="247" spans="1:31" s="209" customFormat="1" ht="11.25" customHeight="1">
      <c r="A247" s="591"/>
      <c r="B247" s="65"/>
      <c r="C247" s="65"/>
      <c r="K247" s="60"/>
      <c r="L247" s="65"/>
      <c r="M247" s="65"/>
      <c r="N247" s="60"/>
      <c r="O247" s="60"/>
      <c r="P247" s="60"/>
      <c r="Q247" s="60"/>
      <c r="R247" s="65"/>
      <c r="S247" s="60"/>
      <c r="T247" s="60"/>
      <c r="U247" s="320"/>
      <c r="V247" s="60"/>
      <c r="W247" s="60"/>
      <c r="X247" s="60"/>
      <c r="Y247" s="60"/>
      <c r="Z247" s="60"/>
      <c r="AA247" s="6"/>
      <c r="AB247" s="139"/>
      <c r="AC247" s="139"/>
      <c r="AD247" s="139"/>
      <c r="AE247" s="139"/>
    </row>
    <row r="248" spans="1:31" s="209" customFormat="1" ht="11.25" customHeight="1">
      <c r="A248" s="591"/>
      <c r="B248" s="65"/>
      <c r="C248" s="65"/>
      <c r="K248" s="60"/>
      <c r="L248" s="65"/>
      <c r="M248" s="65"/>
      <c r="N248" s="60"/>
      <c r="O248" s="60"/>
      <c r="P248" s="60"/>
      <c r="Q248" s="60"/>
      <c r="R248" s="65"/>
      <c r="S248" s="60"/>
      <c r="T248" s="60"/>
      <c r="U248" s="320"/>
      <c r="V248" s="60"/>
      <c r="W248" s="60"/>
      <c r="X248" s="60"/>
      <c r="Y248" s="60"/>
      <c r="Z248" s="60"/>
      <c r="AA248" s="6"/>
      <c r="AB248" s="139"/>
      <c r="AC248" s="139"/>
      <c r="AD248" s="139"/>
      <c r="AE248" s="139"/>
    </row>
    <row r="249" spans="1:31" s="209" customFormat="1" ht="11.25" customHeight="1">
      <c r="A249" s="591"/>
      <c r="B249" s="65"/>
      <c r="C249" s="65"/>
      <c r="K249" s="60"/>
      <c r="L249" s="65"/>
      <c r="M249" s="65"/>
      <c r="N249" s="60"/>
      <c r="O249" s="60"/>
      <c r="P249" s="60"/>
      <c r="Q249" s="60"/>
      <c r="R249" s="65"/>
      <c r="S249" s="60"/>
      <c r="T249" s="60"/>
      <c r="U249" s="320"/>
      <c r="V249" s="60"/>
      <c r="W249" s="60"/>
      <c r="X249" s="60"/>
      <c r="Y249" s="60"/>
      <c r="Z249" s="60"/>
      <c r="AA249" s="6"/>
      <c r="AB249" s="139"/>
      <c r="AC249" s="139"/>
      <c r="AD249" s="139"/>
      <c r="AE249" s="139"/>
    </row>
    <row r="250" spans="1:31" s="209" customFormat="1" ht="11.25" customHeight="1">
      <c r="A250" s="591"/>
      <c r="B250" s="65"/>
      <c r="C250" s="65"/>
      <c r="K250" s="60"/>
      <c r="L250" s="65"/>
      <c r="M250" s="65"/>
      <c r="N250" s="60"/>
      <c r="O250" s="60"/>
      <c r="P250" s="60"/>
      <c r="Q250" s="60"/>
      <c r="R250" s="65"/>
      <c r="S250" s="60"/>
      <c r="T250" s="60"/>
      <c r="U250" s="320"/>
      <c r="V250" s="60"/>
      <c r="W250" s="60"/>
      <c r="X250" s="60"/>
      <c r="Y250" s="60"/>
      <c r="Z250" s="60"/>
      <c r="AA250" s="6"/>
      <c r="AB250" s="139"/>
      <c r="AC250" s="139"/>
      <c r="AD250" s="139"/>
      <c r="AE250" s="139"/>
    </row>
    <row r="251" spans="1:31" s="209" customFormat="1" ht="11.25" customHeight="1">
      <c r="A251" s="591"/>
      <c r="B251" s="65"/>
      <c r="C251" s="65"/>
      <c r="K251" s="60"/>
      <c r="L251" s="65"/>
      <c r="M251" s="65"/>
      <c r="N251" s="60"/>
      <c r="O251" s="60"/>
      <c r="P251" s="60"/>
      <c r="Q251" s="60"/>
      <c r="R251" s="65"/>
      <c r="S251" s="60"/>
      <c r="T251" s="60"/>
      <c r="U251" s="320"/>
      <c r="V251" s="60"/>
      <c r="W251" s="60"/>
      <c r="X251" s="60"/>
      <c r="Y251" s="60"/>
      <c r="Z251" s="60"/>
      <c r="AA251" s="6"/>
      <c r="AB251" s="139"/>
      <c r="AC251" s="139"/>
      <c r="AD251" s="139"/>
      <c r="AE251" s="139"/>
    </row>
    <row r="252" spans="1:31" s="209" customFormat="1" ht="11.25" customHeight="1">
      <c r="A252" s="591"/>
      <c r="B252" s="65"/>
      <c r="C252" s="65"/>
      <c r="K252" s="60"/>
      <c r="L252" s="65"/>
      <c r="M252" s="65"/>
      <c r="N252" s="60"/>
      <c r="O252" s="60"/>
      <c r="P252" s="60"/>
      <c r="Q252" s="60"/>
      <c r="R252" s="65"/>
      <c r="S252" s="60"/>
      <c r="T252" s="60"/>
      <c r="U252" s="320"/>
      <c r="V252" s="60"/>
      <c r="W252" s="60"/>
      <c r="X252" s="60"/>
      <c r="Y252" s="60"/>
      <c r="Z252" s="60"/>
      <c r="AA252" s="6"/>
      <c r="AB252" s="139"/>
      <c r="AC252" s="139"/>
      <c r="AD252" s="139"/>
      <c r="AE252" s="139"/>
    </row>
    <row r="253" spans="1:31" s="209" customFormat="1" ht="11.25" customHeight="1">
      <c r="A253" s="591"/>
      <c r="B253" s="65"/>
      <c r="C253" s="65"/>
      <c r="K253" s="60"/>
      <c r="L253" s="65"/>
      <c r="M253" s="65"/>
      <c r="N253" s="60"/>
      <c r="O253" s="60"/>
      <c r="P253" s="60"/>
      <c r="Q253" s="60"/>
      <c r="R253" s="65"/>
      <c r="S253" s="60"/>
      <c r="T253" s="60"/>
      <c r="U253" s="320"/>
      <c r="V253" s="60"/>
      <c r="W253" s="60"/>
      <c r="X253" s="60"/>
      <c r="Y253" s="60"/>
      <c r="Z253" s="60"/>
      <c r="AA253" s="6"/>
      <c r="AB253" s="139"/>
      <c r="AC253" s="139"/>
      <c r="AD253" s="139"/>
      <c r="AE253" s="139"/>
    </row>
    <row r="254" spans="1:31" s="209" customFormat="1" ht="11.25" customHeight="1">
      <c r="A254" s="591"/>
      <c r="B254" s="65"/>
      <c r="C254" s="65"/>
      <c r="K254" s="60"/>
      <c r="L254" s="65"/>
      <c r="M254" s="65"/>
      <c r="N254" s="60"/>
      <c r="O254" s="60"/>
      <c r="P254" s="60"/>
      <c r="Q254" s="60"/>
      <c r="R254" s="65"/>
      <c r="S254" s="60"/>
      <c r="T254" s="60"/>
      <c r="U254" s="320"/>
      <c r="V254" s="60"/>
      <c r="W254" s="60"/>
      <c r="X254" s="60"/>
      <c r="Y254" s="60"/>
      <c r="Z254" s="60"/>
      <c r="AA254" s="6"/>
      <c r="AB254" s="139"/>
      <c r="AC254" s="139"/>
      <c r="AD254" s="139"/>
      <c r="AE254" s="139"/>
    </row>
    <row r="255" spans="1:31" s="209" customFormat="1" ht="11.25" customHeight="1">
      <c r="A255" s="591"/>
      <c r="B255" s="65"/>
      <c r="C255" s="65"/>
      <c r="K255" s="60"/>
      <c r="L255" s="65"/>
      <c r="M255" s="65"/>
      <c r="N255" s="60"/>
      <c r="O255" s="60"/>
      <c r="P255" s="60"/>
      <c r="Q255" s="60"/>
      <c r="R255" s="65"/>
      <c r="S255" s="60"/>
      <c r="T255" s="60"/>
      <c r="U255" s="320"/>
      <c r="V255" s="60"/>
      <c r="W255" s="60"/>
      <c r="X255" s="60"/>
      <c r="Y255" s="60"/>
      <c r="Z255" s="60"/>
      <c r="AA255" s="6"/>
      <c r="AB255" s="139"/>
      <c r="AC255" s="139"/>
      <c r="AD255" s="139"/>
      <c r="AE255" s="139"/>
    </row>
    <row r="256" spans="1:31" s="209" customFormat="1" ht="11.25" customHeight="1">
      <c r="A256" s="591"/>
      <c r="B256" s="65"/>
      <c r="C256" s="65"/>
      <c r="K256" s="60"/>
      <c r="L256" s="65"/>
      <c r="M256" s="65"/>
      <c r="N256" s="60"/>
      <c r="O256" s="60"/>
      <c r="P256" s="60"/>
      <c r="Q256" s="60"/>
      <c r="R256" s="65"/>
      <c r="S256" s="60"/>
      <c r="T256" s="60"/>
      <c r="U256" s="320"/>
      <c r="V256" s="60"/>
      <c r="W256" s="60"/>
      <c r="X256" s="60"/>
      <c r="Y256" s="60"/>
      <c r="Z256" s="60"/>
      <c r="AA256" s="6"/>
      <c r="AB256" s="139"/>
      <c r="AC256" s="139"/>
      <c r="AD256" s="139"/>
      <c r="AE256" s="139"/>
    </row>
    <row r="257" spans="1:31" s="209" customFormat="1" ht="11.25" customHeight="1">
      <c r="A257" s="591"/>
      <c r="B257" s="65"/>
      <c r="C257" s="65"/>
      <c r="K257" s="60"/>
      <c r="L257" s="65"/>
      <c r="M257" s="65"/>
      <c r="N257" s="60"/>
      <c r="O257" s="60"/>
      <c r="P257" s="60"/>
      <c r="Q257" s="60"/>
      <c r="R257" s="65"/>
      <c r="S257" s="60"/>
      <c r="T257" s="60"/>
      <c r="U257" s="320"/>
      <c r="V257" s="60"/>
      <c r="W257" s="60"/>
      <c r="X257" s="60"/>
      <c r="Y257" s="60"/>
      <c r="Z257" s="60"/>
      <c r="AA257" s="6"/>
      <c r="AB257" s="139"/>
      <c r="AC257" s="139"/>
      <c r="AD257" s="139"/>
      <c r="AE257" s="139"/>
    </row>
    <row r="258" spans="1:31" s="209" customFormat="1" ht="11.25" customHeight="1">
      <c r="A258" s="591"/>
      <c r="B258" s="65"/>
      <c r="C258" s="65"/>
      <c r="K258" s="60"/>
      <c r="L258" s="65"/>
      <c r="M258" s="65"/>
      <c r="N258" s="60"/>
      <c r="O258" s="60"/>
      <c r="P258" s="60"/>
      <c r="Q258" s="60"/>
      <c r="R258" s="65"/>
      <c r="S258" s="60"/>
      <c r="T258" s="60"/>
      <c r="U258" s="320"/>
      <c r="V258" s="60"/>
      <c r="W258" s="60"/>
      <c r="X258" s="60"/>
      <c r="Y258" s="60"/>
      <c r="Z258" s="60"/>
      <c r="AA258" s="6"/>
      <c r="AB258" s="139"/>
      <c r="AC258" s="139"/>
      <c r="AD258" s="139"/>
      <c r="AE258" s="139"/>
    </row>
    <row r="259" spans="1:31" s="209" customFormat="1" ht="11.25" customHeight="1">
      <c r="A259" s="591"/>
      <c r="B259" s="65"/>
      <c r="C259" s="65"/>
      <c r="K259" s="60"/>
      <c r="L259" s="65"/>
      <c r="M259" s="65"/>
      <c r="N259" s="60"/>
      <c r="O259" s="60"/>
      <c r="P259" s="60"/>
      <c r="Q259" s="60"/>
      <c r="R259" s="65"/>
      <c r="S259" s="60"/>
      <c r="T259" s="60"/>
      <c r="U259" s="320"/>
      <c r="V259" s="60"/>
      <c r="W259" s="60"/>
      <c r="X259" s="60"/>
      <c r="Y259" s="60"/>
      <c r="Z259" s="60"/>
      <c r="AA259" s="6"/>
      <c r="AB259" s="139"/>
      <c r="AC259" s="139"/>
      <c r="AD259" s="139"/>
      <c r="AE259" s="139"/>
    </row>
    <row r="260" spans="1:31" s="209" customFormat="1" ht="11.25" customHeight="1">
      <c r="A260" s="591"/>
      <c r="B260" s="65"/>
      <c r="C260" s="65"/>
      <c r="K260" s="60"/>
      <c r="L260" s="65"/>
      <c r="M260" s="65"/>
      <c r="N260" s="60"/>
      <c r="O260" s="60"/>
      <c r="P260" s="60"/>
      <c r="Q260" s="60"/>
      <c r="R260" s="65"/>
      <c r="S260" s="60"/>
      <c r="T260" s="60"/>
      <c r="U260" s="320"/>
      <c r="V260" s="60"/>
      <c r="W260" s="60"/>
      <c r="X260" s="60"/>
      <c r="Y260" s="60"/>
      <c r="Z260" s="60"/>
      <c r="AA260" s="6"/>
      <c r="AB260" s="139"/>
      <c r="AC260" s="139"/>
      <c r="AD260" s="139"/>
      <c r="AE260" s="139"/>
    </row>
    <row r="261" spans="1:31" s="209" customFormat="1" ht="11.25" customHeight="1">
      <c r="A261" s="591"/>
      <c r="B261" s="65"/>
      <c r="C261" s="65"/>
      <c r="K261" s="60"/>
      <c r="L261" s="65"/>
      <c r="M261" s="65"/>
      <c r="N261" s="60"/>
      <c r="O261" s="60"/>
      <c r="P261" s="60"/>
      <c r="Q261" s="60"/>
      <c r="R261" s="65"/>
      <c r="S261" s="60"/>
      <c r="T261" s="60"/>
      <c r="U261" s="320"/>
      <c r="V261" s="60"/>
      <c r="W261" s="60"/>
      <c r="X261" s="60"/>
      <c r="Y261" s="60"/>
      <c r="Z261" s="60"/>
      <c r="AA261" s="6"/>
      <c r="AB261" s="139"/>
      <c r="AC261" s="139"/>
      <c r="AD261" s="139"/>
      <c r="AE261" s="139"/>
    </row>
    <row r="262" spans="1:31" s="209" customFormat="1" ht="11.25" customHeight="1">
      <c r="A262" s="591"/>
      <c r="B262" s="65"/>
      <c r="C262" s="65"/>
      <c r="K262" s="60"/>
      <c r="L262" s="65"/>
      <c r="M262" s="65"/>
      <c r="N262" s="60"/>
      <c r="O262" s="60"/>
      <c r="P262" s="60"/>
      <c r="Q262" s="60"/>
      <c r="R262" s="65"/>
      <c r="S262" s="60"/>
      <c r="T262" s="60"/>
      <c r="U262" s="320"/>
      <c r="V262" s="60"/>
      <c r="W262" s="60"/>
      <c r="X262" s="60"/>
      <c r="Y262" s="60"/>
      <c r="Z262" s="60"/>
      <c r="AA262" s="6"/>
      <c r="AB262" s="139"/>
      <c r="AC262" s="139"/>
      <c r="AD262" s="139"/>
      <c r="AE262" s="139"/>
    </row>
    <row r="263" spans="1:31" s="209" customFormat="1" ht="11.25" customHeight="1">
      <c r="A263" s="591"/>
      <c r="B263" s="65"/>
      <c r="C263" s="65"/>
      <c r="K263" s="60"/>
      <c r="L263" s="65"/>
      <c r="M263" s="65"/>
      <c r="N263" s="60"/>
      <c r="O263" s="60"/>
      <c r="P263" s="60"/>
      <c r="Q263" s="60"/>
      <c r="R263" s="65"/>
      <c r="S263" s="60"/>
      <c r="T263" s="60"/>
      <c r="U263" s="320"/>
      <c r="V263" s="60"/>
      <c r="W263" s="60"/>
      <c r="X263" s="60"/>
      <c r="Y263" s="60"/>
      <c r="Z263" s="60"/>
      <c r="AA263" s="6"/>
      <c r="AB263" s="139"/>
      <c r="AC263" s="139"/>
      <c r="AD263" s="139"/>
      <c r="AE263" s="139"/>
    </row>
    <row r="264" spans="1:31" s="209" customFormat="1" ht="11.25" customHeight="1">
      <c r="A264" s="591"/>
      <c r="B264" s="65"/>
      <c r="C264" s="65"/>
      <c r="K264" s="60"/>
      <c r="L264" s="65"/>
      <c r="M264" s="65"/>
      <c r="N264" s="60"/>
      <c r="O264" s="60"/>
      <c r="P264" s="60"/>
      <c r="Q264" s="60"/>
      <c r="R264" s="65"/>
      <c r="S264" s="60"/>
      <c r="T264" s="60"/>
      <c r="U264" s="320"/>
      <c r="V264" s="60"/>
      <c r="W264" s="60"/>
      <c r="X264" s="60"/>
      <c r="Y264" s="60"/>
      <c r="Z264" s="60"/>
      <c r="AA264" s="6"/>
      <c r="AB264" s="139"/>
      <c r="AC264" s="139"/>
      <c r="AD264" s="139"/>
      <c r="AE264" s="139"/>
    </row>
    <row r="265" spans="1:31" s="209" customFormat="1" ht="11.25" customHeight="1">
      <c r="A265" s="591"/>
      <c r="B265" s="65"/>
      <c r="C265" s="65"/>
      <c r="K265" s="60"/>
      <c r="L265" s="65"/>
      <c r="M265" s="65"/>
      <c r="N265" s="60"/>
      <c r="O265" s="60"/>
      <c r="P265" s="60"/>
      <c r="Q265" s="60"/>
      <c r="R265" s="65"/>
      <c r="S265" s="60"/>
      <c r="T265" s="60"/>
      <c r="U265" s="320"/>
      <c r="V265" s="60"/>
      <c r="W265" s="60"/>
      <c r="X265" s="60"/>
      <c r="Y265" s="60"/>
      <c r="Z265" s="60"/>
      <c r="AA265" s="6"/>
      <c r="AB265" s="139"/>
      <c r="AC265" s="139"/>
      <c r="AD265" s="139"/>
      <c r="AE265" s="139"/>
    </row>
    <row r="266" spans="1:31" s="209" customFormat="1" ht="11.25" customHeight="1">
      <c r="A266" s="591"/>
      <c r="B266" s="65"/>
      <c r="C266" s="65"/>
      <c r="K266" s="60"/>
      <c r="L266" s="65"/>
      <c r="M266" s="65"/>
      <c r="N266" s="60"/>
      <c r="O266" s="60"/>
      <c r="P266" s="60"/>
      <c r="Q266" s="60"/>
      <c r="R266" s="65"/>
      <c r="S266" s="60"/>
      <c r="T266" s="60"/>
      <c r="U266" s="320"/>
      <c r="V266" s="60"/>
      <c r="W266" s="60"/>
      <c r="X266" s="60"/>
      <c r="Y266" s="60"/>
      <c r="Z266" s="60"/>
      <c r="AA266" s="6"/>
      <c r="AB266" s="139"/>
      <c r="AC266" s="139"/>
      <c r="AD266" s="139"/>
      <c r="AE266" s="139"/>
    </row>
    <row r="267" spans="1:31" s="209" customFormat="1" ht="11.25" customHeight="1">
      <c r="A267" s="591"/>
      <c r="B267" s="65"/>
      <c r="C267" s="65"/>
      <c r="K267" s="60"/>
      <c r="L267" s="65"/>
      <c r="M267" s="65"/>
      <c r="N267" s="60"/>
      <c r="O267" s="60"/>
      <c r="P267" s="60"/>
      <c r="Q267" s="60"/>
      <c r="R267" s="65"/>
      <c r="S267" s="60"/>
      <c r="T267" s="60"/>
      <c r="U267" s="320"/>
      <c r="V267" s="60"/>
      <c r="W267" s="60"/>
      <c r="X267" s="60"/>
      <c r="Y267" s="60"/>
      <c r="Z267" s="60"/>
      <c r="AA267" s="6"/>
      <c r="AB267" s="139"/>
      <c r="AC267" s="139"/>
      <c r="AD267" s="139"/>
      <c r="AE267" s="139"/>
    </row>
    <row r="268" spans="1:31" s="209" customFormat="1" ht="11.25" customHeight="1">
      <c r="A268" s="591"/>
      <c r="B268" s="65"/>
      <c r="C268" s="65"/>
      <c r="K268" s="60"/>
      <c r="L268" s="65"/>
      <c r="M268" s="65"/>
      <c r="N268" s="60"/>
      <c r="O268" s="60"/>
      <c r="P268" s="60"/>
      <c r="Q268" s="60"/>
      <c r="R268" s="65"/>
      <c r="S268" s="60"/>
      <c r="T268" s="60"/>
      <c r="U268" s="320"/>
      <c r="V268" s="60"/>
      <c r="W268" s="60"/>
      <c r="X268" s="60"/>
      <c r="Y268" s="60"/>
      <c r="Z268" s="60"/>
      <c r="AA268" s="6"/>
      <c r="AB268" s="139"/>
      <c r="AC268" s="139"/>
      <c r="AD268" s="139"/>
      <c r="AE268" s="139"/>
    </row>
    <row r="269" spans="1:31" s="209" customFormat="1" ht="11.25" customHeight="1">
      <c r="A269" s="591"/>
      <c r="B269" s="65"/>
      <c r="C269" s="65"/>
      <c r="K269" s="60"/>
      <c r="L269" s="65"/>
      <c r="M269" s="65"/>
      <c r="N269" s="60"/>
      <c r="O269" s="60"/>
      <c r="P269" s="60"/>
      <c r="Q269" s="60"/>
      <c r="R269" s="65"/>
      <c r="S269" s="60"/>
      <c r="T269" s="60"/>
      <c r="U269" s="320"/>
      <c r="V269" s="60"/>
      <c r="W269" s="60"/>
      <c r="X269" s="60"/>
      <c r="Y269" s="60"/>
      <c r="Z269" s="60"/>
      <c r="AA269" s="6"/>
      <c r="AB269" s="139"/>
      <c r="AC269" s="139"/>
      <c r="AD269" s="139"/>
      <c r="AE269" s="139"/>
    </row>
    <row r="270" spans="1:31" s="209" customFormat="1" ht="11.25" customHeight="1">
      <c r="A270" s="591"/>
      <c r="B270" s="65"/>
      <c r="C270" s="65"/>
      <c r="K270" s="60"/>
      <c r="L270" s="65"/>
      <c r="M270" s="65"/>
      <c r="N270" s="60"/>
      <c r="O270" s="60"/>
      <c r="P270" s="60"/>
      <c r="Q270" s="60"/>
      <c r="R270" s="65"/>
      <c r="S270" s="60"/>
      <c r="T270" s="60"/>
      <c r="U270" s="320"/>
      <c r="V270" s="60"/>
      <c r="W270" s="60"/>
      <c r="X270" s="60"/>
      <c r="Y270" s="60"/>
      <c r="Z270" s="60"/>
      <c r="AA270" s="6"/>
      <c r="AB270" s="139"/>
      <c r="AC270" s="139"/>
      <c r="AD270" s="139"/>
      <c r="AE270" s="139"/>
    </row>
    <row r="271" spans="1:31" s="209" customFormat="1" ht="11.25" customHeight="1">
      <c r="A271" s="591"/>
      <c r="B271" s="65"/>
      <c r="C271" s="65"/>
      <c r="K271" s="60"/>
      <c r="L271" s="65"/>
      <c r="M271" s="65"/>
      <c r="N271" s="60"/>
      <c r="O271" s="60"/>
      <c r="P271" s="60"/>
      <c r="Q271" s="60"/>
      <c r="R271" s="65"/>
      <c r="S271" s="60"/>
      <c r="T271" s="60"/>
      <c r="U271" s="320"/>
      <c r="V271" s="60"/>
      <c r="W271" s="60"/>
      <c r="X271" s="60"/>
      <c r="Y271" s="60"/>
      <c r="Z271" s="60"/>
      <c r="AA271" s="6"/>
      <c r="AB271" s="139"/>
      <c r="AC271" s="139"/>
      <c r="AD271" s="139"/>
      <c r="AE271" s="139"/>
    </row>
    <row r="272" spans="1:31" s="209" customFormat="1" ht="11.25" customHeight="1">
      <c r="A272" s="591"/>
      <c r="B272" s="65"/>
      <c r="C272" s="65"/>
      <c r="K272" s="60"/>
      <c r="L272" s="65"/>
      <c r="M272" s="65"/>
      <c r="N272" s="60"/>
      <c r="O272" s="60"/>
      <c r="P272" s="60"/>
      <c r="Q272" s="60"/>
      <c r="R272" s="65"/>
      <c r="S272" s="60"/>
      <c r="T272" s="60"/>
      <c r="U272" s="320"/>
      <c r="V272" s="60"/>
      <c r="W272" s="60"/>
      <c r="X272" s="60"/>
      <c r="Y272" s="60"/>
      <c r="Z272" s="60"/>
      <c r="AA272" s="6"/>
      <c r="AB272" s="139"/>
      <c r="AC272" s="139"/>
      <c r="AD272" s="139"/>
      <c r="AE272" s="139"/>
    </row>
    <row r="273" spans="1:31" s="209" customFormat="1" ht="11.25" customHeight="1">
      <c r="A273" s="591"/>
      <c r="B273" s="65"/>
      <c r="C273" s="65"/>
      <c r="K273" s="60"/>
      <c r="L273" s="65"/>
      <c r="M273" s="65"/>
      <c r="N273" s="60"/>
      <c r="O273" s="60"/>
      <c r="P273" s="60"/>
      <c r="Q273" s="60"/>
      <c r="R273" s="65"/>
      <c r="S273" s="60"/>
      <c r="T273" s="60"/>
      <c r="U273" s="320"/>
      <c r="V273" s="60"/>
      <c r="W273" s="60"/>
      <c r="X273" s="60"/>
      <c r="Y273" s="60"/>
      <c r="Z273" s="60"/>
      <c r="AA273" s="6"/>
      <c r="AB273" s="139"/>
      <c r="AC273" s="139"/>
      <c r="AD273" s="139"/>
      <c r="AE273" s="139"/>
    </row>
    <row r="274" spans="1:31" s="209" customFormat="1" ht="11.25" customHeight="1">
      <c r="A274" s="591"/>
      <c r="B274" s="65"/>
      <c r="C274" s="65"/>
      <c r="K274" s="60"/>
      <c r="L274" s="65"/>
      <c r="M274" s="65"/>
      <c r="N274" s="60"/>
      <c r="O274" s="60"/>
      <c r="P274" s="60"/>
      <c r="Q274" s="60"/>
      <c r="R274" s="65"/>
      <c r="S274" s="60"/>
      <c r="T274" s="60"/>
      <c r="U274" s="320"/>
      <c r="V274" s="60"/>
      <c r="W274" s="60"/>
      <c r="X274" s="60"/>
      <c r="Y274" s="60"/>
      <c r="Z274" s="60"/>
      <c r="AA274" s="6"/>
      <c r="AB274" s="139"/>
      <c r="AC274" s="139"/>
      <c r="AD274" s="139"/>
      <c r="AE274" s="139"/>
    </row>
    <row r="275" spans="1:31" s="209" customFormat="1" ht="11.25" customHeight="1">
      <c r="A275" s="591"/>
      <c r="B275" s="65"/>
      <c r="C275" s="65"/>
      <c r="K275" s="60"/>
      <c r="L275" s="65"/>
      <c r="M275" s="65"/>
      <c r="N275" s="60"/>
      <c r="O275" s="60"/>
      <c r="P275" s="60"/>
      <c r="Q275" s="60"/>
      <c r="R275" s="65"/>
      <c r="S275" s="60"/>
      <c r="T275" s="60"/>
      <c r="U275" s="320"/>
      <c r="V275" s="60"/>
      <c r="W275" s="60"/>
      <c r="X275" s="60"/>
      <c r="Y275" s="60"/>
      <c r="Z275" s="60"/>
      <c r="AA275" s="6"/>
      <c r="AB275" s="139"/>
      <c r="AC275" s="139"/>
      <c r="AD275" s="139"/>
      <c r="AE275" s="139"/>
    </row>
    <row r="276" spans="1:31" s="209" customFormat="1" ht="11.25" customHeight="1">
      <c r="A276" s="591"/>
      <c r="B276" s="65"/>
      <c r="C276" s="65"/>
      <c r="K276" s="60"/>
      <c r="L276" s="65"/>
      <c r="M276" s="65"/>
      <c r="N276" s="60"/>
      <c r="O276" s="60"/>
      <c r="P276" s="60"/>
      <c r="Q276" s="60"/>
      <c r="R276" s="65"/>
      <c r="S276" s="60"/>
      <c r="T276" s="60"/>
      <c r="U276" s="320"/>
      <c r="V276" s="60"/>
      <c r="W276" s="60"/>
      <c r="X276" s="60"/>
      <c r="Y276" s="60"/>
      <c r="Z276" s="60"/>
      <c r="AA276" s="6"/>
      <c r="AB276" s="139"/>
      <c r="AC276" s="139"/>
      <c r="AD276" s="139"/>
      <c r="AE276" s="139"/>
    </row>
    <row r="277" spans="1:31" s="209" customFormat="1" ht="11.25" customHeight="1">
      <c r="A277" s="591"/>
      <c r="B277" s="65"/>
      <c r="C277" s="65"/>
      <c r="K277" s="60"/>
      <c r="L277" s="65"/>
      <c r="M277" s="65"/>
      <c r="N277" s="60"/>
      <c r="O277" s="60"/>
      <c r="P277" s="60"/>
      <c r="Q277" s="60"/>
      <c r="R277" s="65"/>
      <c r="S277" s="60"/>
      <c r="T277" s="60"/>
      <c r="U277" s="320"/>
      <c r="V277" s="60"/>
      <c r="W277" s="60"/>
      <c r="X277" s="60"/>
      <c r="Y277" s="60"/>
      <c r="Z277" s="60"/>
      <c r="AA277" s="6"/>
      <c r="AB277" s="139"/>
      <c r="AC277" s="139"/>
      <c r="AD277" s="139"/>
      <c r="AE277" s="139"/>
    </row>
    <row r="278" spans="1:31" s="209" customFormat="1" ht="11.25" customHeight="1">
      <c r="A278" s="591"/>
      <c r="B278" s="65"/>
      <c r="C278" s="65"/>
      <c r="K278" s="60"/>
      <c r="L278" s="65"/>
      <c r="M278" s="65"/>
      <c r="N278" s="60"/>
      <c r="O278" s="60"/>
      <c r="P278" s="60"/>
      <c r="Q278" s="60"/>
      <c r="R278" s="65"/>
      <c r="S278" s="60"/>
      <c r="T278" s="60"/>
      <c r="U278" s="320"/>
      <c r="V278" s="60"/>
      <c r="W278" s="60"/>
      <c r="X278" s="60"/>
      <c r="Y278" s="60"/>
      <c r="Z278" s="60"/>
      <c r="AA278" s="6"/>
      <c r="AB278" s="139"/>
      <c r="AC278" s="139"/>
      <c r="AD278" s="139"/>
      <c r="AE278" s="139"/>
    </row>
    <row r="279" spans="1:31" s="209" customFormat="1" ht="11.25" customHeight="1">
      <c r="A279" s="591"/>
      <c r="B279" s="65"/>
      <c r="C279" s="65"/>
      <c r="K279" s="60"/>
      <c r="L279" s="65"/>
      <c r="M279" s="65"/>
      <c r="N279" s="60"/>
      <c r="O279" s="60"/>
      <c r="P279" s="60"/>
      <c r="Q279" s="60"/>
      <c r="R279" s="65"/>
      <c r="S279" s="60"/>
      <c r="T279" s="60"/>
      <c r="U279" s="320"/>
      <c r="V279" s="60"/>
      <c r="W279" s="60"/>
      <c r="X279" s="60"/>
      <c r="Y279" s="60"/>
      <c r="Z279" s="60"/>
      <c r="AA279" s="6"/>
      <c r="AB279" s="139"/>
      <c r="AC279" s="139"/>
      <c r="AD279" s="139"/>
      <c r="AE279" s="139"/>
    </row>
    <row r="280" spans="1:31" s="209" customFormat="1" ht="11.25" customHeight="1">
      <c r="A280" s="591"/>
      <c r="B280" s="65"/>
      <c r="C280" s="65"/>
      <c r="K280" s="60"/>
      <c r="L280" s="65"/>
      <c r="M280" s="65"/>
      <c r="N280" s="60"/>
      <c r="O280" s="60"/>
      <c r="P280" s="60"/>
      <c r="Q280" s="60"/>
      <c r="R280" s="65"/>
      <c r="S280" s="60"/>
      <c r="T280" s="60"/>
      <c r="U280" s="320"/>
      <c r="V280" s="60"/>
      <c r="W280" s="60"/>
      <c r="X280" s="60"/>
      <c r="Y280" s="60"/>
      <c r="Z280" s="60"/>
      <c r="AA280" s="6"/>
      <c r="AB280" s="139"/>
      <c r="AC280" s="139"/>
      <c r="AD280" s="139"/>
      <c r="AE280" s="139"/>
    </row>
    <row r="281" spans="1:31" s="209" customFormat="1" ht="11.25" customHeight="1">
      <c r="A281" s="591"/>
      <c r="B281" s="65"/>
      <c r="C281" s="65"/>
      <c r="K281" s="60"/>
      <c r="L281" s="65"/>
      <c r="M281" s="65"/>
      <c r="N281" s="60"/>
      <c r="O281" s="60"/>
      <c r="P281" s="60"/>
      <c r="Q281" s="60"/>
      <c r="R281" s="65"/>
      <c r="S281" s="60"/>
      <c r="T281" s="60"/>
      <c r="U281" s="320"/>
      <c r="V281" s="60"/>
      <c r="W281" s="60"/>
      <c r="X281" s="60"/>
      <c r="Y281" s="60"/>
      <c r="Z281" s="60"/>
      <c r="AA281" s="6"/>
      <c r="AB281" s="139"/>
      <c r="AC281" s="139"/>
      <c r="AD281" s="139"/>
      <c r="AE281" s="139"/>
    </row>
    <row r="282" spans="1:31" s="209" customFormat="1" ht="11.25" customHeight="1">
      <c r="A282" s="591"/>
      <c r="B282" s="65"/>
      <c r="C282" s="65"/>
      <c r="K282" s="60"/>
      <c r="L282" s="65"/>
      <c r="M282" s="65"/>
      <c r="N282" s="60"/>
      <c r="O282" s="60"/>
      <c r="P282" s="60"/>
      <c r="Q282" s="60"/>
      <c r="R282" s="65"/>
      <c r="S282" s="60"/>
      <c r="T282" s="60"/>
      <c r="U282" s="320"/>
      <c r="V282" s="60"/>
      <c r="W282" s="60"/>
      <c r="X282" s="60"/>
      <c r="Y282" s="60"/>
      <c r="Z282" s="60"/>
      <c r="AA282" s="6"/>
      <c r="AB282" s="139"/>
      <c r="AC282" s="139"/>
      <c r="AD282" s="139"/>
      <c r="AE282" s="139"/>
    </row>
    <row r="283" spans="1:31" s="209" customFormat="1" ht="11.25" customHeight="1">
      <c r="A283" s="591"/>
      <c r="B283" s="65"/>
      <c r="C283" s="65"/>
      <c r="K283" s="60"/>
      <c r="L283" s="65"/>
      <c r="M283" s="65"/>
      <c r="N283" s="60"/>
      <c r="O283" s="60"/>
      <c r="P283" s="60"/>
      <c r="Q283" s="60"/>
      <c r="R283" s="65"/>
      <c r="S283" s="60"/>
      <c r="T283" s="60"/>
      <c r="U283" s="320"/>
      <c r="V283" s="60"/>
      <c r="W283" s="60"/>
      <c r="X283" s="60"/>
      <c r="Y283" s="60"/>
      <c r="Z283" s="60"/>
      <c r="AA283" s="6"/>
      <c r="AB283" s="139"/>
      <c r="AC283" s="139"/>
      <c r="AD283" s="139"/>
      <c r="AE283" s="139"/>
    </row>
    <row r="284" spans="1:31" s="209" customFormat="1" ht="11.25" customHeight="1">
      <c r="A284" s="591"/>
      <c r="B284" s="65"/>
      <c r="C284" s="65"/>
      <c r="K284" s="60"/>
      <c r="L284" s="65"/>
      <c r="M284" s="65"/>
      <c r="N284" s="60"/>
      <c r="O284" s="60"/>
      <c r="P284" s="60"/>
      <c r="Q284" s="60"/>
      <c r="R284" s="65"/>
      <c r="S284" s="60"/>
      <c r="T284" s="60"/>
      <c r="U284" s="320"/>
      <c r="V284" s="60"/>
      <c r="W284" s="60"/>
      <c r="X284" s="60"/>
      <c r="Y284" s="60"/>
      <c r="Z284" s="60"/>
      <c r="AA284" s="6"/>
      <c r="AB284" s="139"/>
      <c r="AC284" s="139"/>
      <c r="AD284" s="139"/>
      <c r="AE284" s="139"/>
    </row>
    <row r="285" spans="1:31" s="209" customFormat="1" ht="11.25" customHeight="1">
      <c r="A285" s="591"/>
      <c r="B285" s="65"/>
      <c r="C285" s="65"/>
      <c r="K285" s="60"/>
      <c r="L285" s="65"/>
      <c r="M285" s="65"/>
      <c r="N285" s="60"/>
      <c r="O285" s="60"/>
      <c r="P285" s="60"/>
      <c r="Q285" s="60"/>
      <c r="R285" s="65"/>
      <c r="S285" s="60"/>
      <c r="T285" s="60"/>
      <c r="U285" s="320"/>
      <c r="V285" s="60"/>
      <c r="W285" s="60"/>
      <c r="X285" s="60"/>
      <c r="Y285" s="60"/>
      <c r="Z285" s="60"/>
      <c r="AA285" s="6"/>
      <c r="AB285" s="139"/>
      <c r="AC285" s="139"/>
      <c r="AD285" s="139"/>
      <c r="AE285" s="139"/>
    </row>
    <row r="286" spans="1:31" s="209" customFormat="1" ht="11.25" customHeight="1">
      <c r="A286" s="591"/>
      <c r="B286" s="65"/>
      <c r="C286" s="65"/>
      <c r="K286" s="60"/>
      <c r="L286" s="65"/>
      <c r="M286" s="65"/>
      <c r="N286" s="60"/>
      <c r="O286" s="60"/>
      <c r="P286" s="60"/>
      <c r="Q286" s="60"/>
      <c r="R286" s="65"/>
      <c r="S286" s="60"/>
      <c r="T286" s="60"/>
      <c r="U286" s="320"/>
      <c r="V286" s="60"/>
      <c r="W286" s="60"/>
      <c r="X286" s="60"/>
      <c r="Y286" s="60"/>
      <c r="Z286" s="60"/>
      <c r="AA286" s="6"/>
      <c r="AB286" s="139"/>
      <c r="AC286" s="139"/>
      <c r="AD286" s="139"/>
      <c r="AE286" s="139"/>
    </row>
    <row r="287" spans="1:31" s="209" customFormat="1" ht="11.25" customHeight="1">
      <c r="A287" s="591"/>
      <c r="B287" s="65"/>
      <c r="C287" s="65"/>
      <c r="K287" s="60"/>
      <c r="L287" s="65"/>
      <c r="M287" s="65"/>
      <c r="N287" s="60"/>
      <c r="O287" s="60"/>
      <c r="P287" s="60"/>
      <c r="Q287" s="60"/>
      <c r="R287" s="65"/>
      <c r="S287" s="60"/>
      <c r="T287" s="60"/>
      <c r="U287" s="320"/>
      <c r="V287" s="60"/>
      <c r="W287" s="60"/>
      <c r="X287" s="60"/>
      <c r="Y287" s="60"/>
      <c r="Z287" s="60"/>
      <c r="AA287" s="6"/>
      <c r="AB287" s="139"/>
      <c r="AC287" s="139"/>
      <c r="AD287" s="139"/>
      <c r="AE287" s="139"/>
    </row>
    <row r="288" spans="1:31" s="209" customFormat="1" ht="11.25" customHeight="1">
      <c r="A288" s="591"/>
      <c r="B288" s="65"/>
      <c r="C288" s="65"/>
      <c r="K288" s="60"/>
      <c r="L288" s="65"/>
      <c r="M288" s="65"/>
      <c r="N288" s="60"/>
      <c r="O288" s="60"/>
      <c r="P288" s="60"/>
      <c r="Q288" s="60"/>
      <c r="R288" s="65"/>
      <c r="S288" s="60"/>
      <c r="T288" s="60"/>
      <c r="U288" s="320"/>
      <c r="V288" s="60"/>
      <c r="W288" s="60"/>
      <c r="X288" s="60"/>
      <c r="Y288" s="60"/>
      <c r="Z288" s="60"/>
      <c r="AA288" s="6"/>
      <c r="AB288" s="139"/>
      <c r="AC288" s="139"/>
      <c r="AD288" s="139"/>
      <c r="AE288" s="139"/>
    </row>
    <row r="292" spans="1:31" ht="11.25" customHeight="1">
      <c r="A292" s="594"/>
      <c r="B292" s="9"/>
      <c r="K292" s="9"/>
      <c r="N292" s="9"/>
      <c r="O292" s="9"/>
      <c r="P292" s="9"/>
      <c r="Q292" s="9"/>
      <c r="S292" s="9"/>
      <c r="T292" s="9"/>
      <c r="U292" s="9"/>
      <c r="V292" s="9"/>
      <c r="W292" s="9"/>
      <c r="X292" s="9"/>
      <c r="Y292" s="9"/>
      <c r="Z292" s="9"/>
      <c r="AA292" s="9"/>
      <c r="AB292" s="9"/>
      <c r="AC292" s="9"/>
      <c r="AD292" s="9"/>
      <c r="AE292" s="9"/>
    </row>
    <row r="293" spans="1:31" ht="11.25" customHeight="1">
      <c r="A293" s="594"/>
      <c r="B293" s="9"/>
      <c r="K293" s="9"/>
      <c r="N293" s="9"/>
      <c r="O293" s="9"/>
      <c r="P293" s="9"/>
      <c r="Q293" s="9"/>
      <c r="S293" s="9"/>
      <c r="T293" s="9"/>
      <c r="U293" s="9"/>
      <c r="V293" s="9"/>
      <c r="W293" s="9"/>
      <c r="X293" s="9"/>
      <c r="Y293" s="9"/>
      <c r="Z293" s="9"/>
      <c r="AA293" s="9"/>
      <c r="AB293" s="9"/>
      <c r="AC293" s="9"/>
      <c r="AD293" s="9"/>
      <c r="AE293" s="9"/>
    </row>
    <row r="294" spans="1:31" ht="11.25" customHeight="1">
      <c r="A294" s="594"/>
      <c r="B294" s="9"/>
      <c r="K294" s="9"/>
      <c r="N294" s="9"/>
      <c r="O294" s="9"/>
      <c r="P294" s="9"/>
      <c r="Q294" s="9"/>
      <c r="S294" s="9"/>
      <c r="T294" s="9"/>
      <c r="U294" s="9"/>
      <c r="V294" s="9"/>
      <c r="W294" s="9"/>
      <c r="X294" s="9"/>
      <c r="Y294" s="9"/>
      <c r="Z294" s="9"/>
      <c r="AA294" s="9"/>
      <c r="AB294" s="9"/>
      <c r="AC294" s="9"/>
      <c r="AD294" s="9"/>
      <c r="AE294" s="9"/>
    </row>
    <row r="295" spans="1:31" ht="11.25" customHeight="1">
      <c r="A295" s="594"/>
      <c r="B295" s="9"/>
      <c r="K295" s="9"/>
      <c r="N295" s="9"/>
      <c r="O295" s="9"/>
      <c r="P295" s="9"/>
      <c r="Q295" s="9"/>
      <c r="S295" s="9"/>
      <c r="T295" s="9"/>
      <c r="U295" s="9"/>
      <c r="V295" s="9"/>
      <c r="W295" s="9"/>
      <c r="X295" s="9"/>
      <c r="Y295" s="9"/>
      <c r="Z295" s="9"/>
      <c r="AA295" s="9"/>
      <c r="AB295" s="9"/>
      <c r="AC295" s="9"/>
      <c r="AD295" s="9"/>
      <c r="AE295" s="9"/>
    </row>
    <row r="296" spans="1:31" ht="11.25" customHeight="1">
      <c r="A296" s="594"/>
      <c r="B296" s="9"/>
      <c r="K296" s="9"/>
      <c r="N296" s="9"/>
      <c r="O296" s="9"/>
      <c r="P296" s="9"/>
      <c r="Q296" s="9"/>
      <c r="S296" s="9"/>
      <c r="T296" s="9"/>
      <c r="U296" s="9"/>
      <c r="V296" s="9"/>
      <c r="W296" s="9"/>
      <c r="X296" s="9"/>
      <c r="Y296" s="9"/>
      <c r="Z296" s="9"/>
      <c r="AA296" s="9"/>
      <c r="AB296" s="9"/>
      <c r="AC296" s="9"/>
      <c r="AD296" s="9"/>
      <c r="AE296" s="9"/>
    </row>
    <row r="297" spans="1:31" ht="11.25" customHeight="1">
      <c r="A297" s="594"/>
      <c r="B297" s="9"/>
      <c r="K297" s="9"/>
      <c r="N297" s="9"/>
      <c r="O297" s="9"/>
      <c r="P297" s="9"/>
      <c r="Q297" s="9"/>
      <c r="S297" s="9"/>
      <c r="T297" s="9"/>
      <c r="U297" s="9"/>
      <c r="V297" s="9"/>
      <c r="W297" s="9"/>
      <c r="X297" s="9"/>
      <c r="Y297" s="9"/>
      <c r="Z297" s="9"/>
      <c r="AA297" s="9"/>
      <c r="AB297" s="9"/>
      <c r="AC297" s="9"/>
      <c r="AD297" s="9"/>
      <c r="AE297" s="9"/>
    </row>
    <row r="298" spans="1:31" ht="11.25" customHeight="1">
      <c r="A298" s="594"/>
      <c r="B298" s="9"/>
      <c r="K298" s="9"/>
      <c r="N298" s="9"/>
      <c r="O298" s="9"/>
      <c r="P298" s="9"/>
      <c r="Q298" s="9"/>
      <c r="S298" s="9"/>
      <c r="T298" s="9"/>
      <c r="U298" s="9"/>
      <c r="V298" s="9"/>
      <c r="W298" s="9"/>
      <c r="X298" s="9"/>
      <c r="Y298" s="9"/>
      <c r="Z298" s="9"/>
      <c r="AA298" s="9"/>
      <c r="AB298" s="9"/>
      <c r="AC298" s="9"/>
      <c r="AD298" s="9"/>
      <c r="AE298" s="9"/>
    </row>
    <row r="299" spans="1:31" ht="11.25" customHeight="1">
      <c r="A299" s="594"/>
      <c r="B299" s="9"/>
      <c r="K299" s="9"/>
      <c r="N299" s="9"/>
      <c r="O299" s="9"/>
      <c r="P299" s="9"/>
      <c r="Q299" s="9"/>
      <c r="S299" s="9"/>
      <c r="T299" s="9"/>
      <c r="U299" s="9"/>
      <c r="V299" s="9"/>
      <c r="W299" s="9"/>
      <c r="X299" s="9"/>
      <c r="Y299" s="9"/>
      <c r="Z299" s="9"/>
      <c r="AA299" s="9"/>
      <c r="AB299" s="9"/>
      <c r="AC299" s="9"/>
      <c r="AD299" s="9"/>
      <c r="AE299" s="9"/>
    </row>
    <row r="300" spans="1:31" ht="11.25" customHeight="1">
      <c r="A300" s="594"/>
      <c r="B300" s="9"/>
      <c r="K300" s="9"/>
      <c r="N300" s="9"/>
      <c r="O300" s="9"/>
      <c r="P300" s="9"/>
      <c r="Q300" s="9"/>
      <c r="S300" s="9"/>
      <c r="T300" s="9"/>
      <c r="U300" s="9"/>
      <c r="V300" s="9"/>
      <c r="W300" s="9"/>
      <c r="X300" s="9"/>
      <c r="Y300" s="9"/>
      <c r="Z300" s="9"/>
      <c r="AA300" s="9"/>
      <c r="AB300" s="9"/>
      <c r="AC300" s="9"/>
      <c r="AD300" s="9"/>
      <c r="AE300" s="9"/>
    </row>
    <row r="301" spans="1:31" ht="11.25" customHeight="1">
      <c r="A301" s="594"/>
      <c r="B301" s="9"/>
      <c r="K301" s="9"/>
      <c r="N301" s="9"/>
      <c r="O301" s="9"/>
      <c r="P301" s="9"/>
      <c r="Q301" s="9"/>
      <c r="S301" s="9"/>
      <c r="T301" s="9"/>
      <c r="U301" s="9"/>
      <c r="V301" s="9"/>
      <c r="W301" s="9"/>
      <c r="X301" s="9"/>
      <c r="Y301" s="9"/>
      <c r="Z301" s="9"/>
      <c r="AA301" s="9"/>
      <c r="AB301" s="9"/>
      <c r="AC301" s="9"/>
      <c r="AD301" s="9"/>
      <c r="AE301" s="9"/>
    </row>
    <row r="302" spans="1:31" ht="11.25" customHeight="1">
      <c r="A302" s="594"/>
      <c r="B302" s="9"/>
      <c r="K302" s="9"/>
      <c r="N302" s="9"/>
      <c r="O302" s="9"/>
      <c r="P302" s="9"/>
      <c r="Q302" s="9"/>
      <c r="S302" s="9"/>
      <c r="T302" s="9"/>
      <c r="U302" s="9"/>
      <c r="V302" s="9"/>
      <c r="W302" s="9"/>
      <c r="X302" s="9"/>
      <c r="Y302" s="9"/>
      <c r="Z302" s="9"/>
      <c r="AA302" s="9"/>
      <c r="AB302" s="9"/>
      <c r="AC302" s="9"/>
      <c r="AD302" s="9"/>
      <c r="AE302" s="9"/>
    </row>
  </sheetData>
  <sheetProtection formatColumns="0" formatRows="0" insertRows="0" deleteColumns="0" deleteRows="0" sort="0" autoFilter="0"/>
  <mergeCells count="18">
    <mergeCell ref="B2:B7"/>
    <mergeCell ref="J25:J29"/>
    <mergeCell ref="F25:G25"/>
    <mergeCell ref="F26:G26"/>
    <mergeCell ref="F27:G27"/>
    <mergeCell ref="E28:G28"/>
    <mergeCell ref="A120:A130"/>
    <mergeCell ref="E21:I21"/>
    <mergeCell ref="E22:I22"/>
    <mergeCell ref="A33:A40"/>
    <mergeCell ref="B34:B39"/>
    <mergeCell ref="A41:A43"/>
    <mergeCell ref="A67:A68"/>
    <mergeCell ref="A82:A90"/>
    <mergeCell ref="A91:A95"/>
    <mergeCell ref="A96:A98"/>
    <mergeCell ref="A99:A111"/>
    <mergeCell ref="A115:A119"/>
  </mergeCells>
  <dataValidations count="11">
    <dataValidation allowBlank="1" showInputMessage="1" showErrorMessage="1" prompt="Для выбора выполните двойной щелчок левой клавиши мыши по соответствующей ячейке." sqref="H68:I68 H66:I66" xr:uid="{00000000-0002-0000-2700-000000000000}"/>
    <dataValidation type="decimal" allowBlank="1" showErrorMessage="1" errorTitle="Ошибка" error="Введите значение от 0 до 100%" sqref="H90:I90 H95:I95" xr:uid="{00000000-0002-0000-2700-000001000000}">
      <formula1>0</formula1>
      <formula2>100</formula2>
    </dataValidation>
    <dataValidation type="decimal" allowBlank="1" showErrorMessage="1" errorTitle="Ошибка" error="Допускается ввод только действительных чисел!" sqref="H123:I123 H120:I120 H126:I126 H75:I80" xr:uid="{00000000-0002-0000-2700-000002000000}">
      <formula1>-9.99999999999999E+37</formula1>
      <formula2>9.99999999999999E+37</formula2>
    </dataValidation>
    <dataValidation type="decimal" allowBlank="1" showErrorMessage="1" errorTitle="Ошибка" error="Допускается ввод только действительных чисел!" sqref="H72:I73" xr:uid="{00000000-0002-0000-2700-000003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xr:uid="{00000000-0002-0000-2700-000004000000}">
      <formula1>900</formula1>
    </dataValidation>
    <dataValidation type="list" allowBlank="1" showInputMessage="1" showErrorMessage="1" errorTitle="Ошибка" error="Выберите значение из списка" prompt="Выберите значение из списка" sqref="G93" xr:uid="{00000000-0002-0000-2700-000005000000}">
      <formula1>kind_of_volume_te_unit</formula1>
    </dataValidation>
    <dataValidation type="list" allowBlank="1" showInputMessage="1" showErrorMessage="1" errorTitle="Ошибка" error="Выберите значение из списка" prompt="Выберите значение из списка" sqref="F2" xr:uid="{00000000-0002-0000-2700-000006000000}">
      <formula1>kind_of_fuels</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xr:uid="{00000000-0002-0000-2700-000007000000}">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xr:uid="{00000000-0002-0000-2700-000008000000}">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xr:uid="{00000000-0002-0000-2700-000009000000}">
      <formula1>900</formula1>
    </dataValidation>
    <dataValidation type="list" allowBlank="1" showInputMessage="1" showErrorMessage="1" errorTitle="Ошибка" error="Выберите значение из списка" prompt="Выберите значение из списка" sqref="H7:I7" xr:uid="{00000000-0002-0000-2700-00000A000000}">
      <formula1>kind_of_purchase_method</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34FBD-362E-3D6E-0EEE-507E0D2DAA3A}">
  <sheetPr>
    <tabColor theme="9" tint="-0.249977111117893"/>
  </sheetPr>
  <dimension ref="A1:CE27"/>
  <sheetViews>
    <sheetView showGridLines="0" topLeftCell="C4" zoomScale="90" workbookViewId="0"/>
  </sheetViews>
  <sheetFormatPr defaultColWidth="9.140625" defaultRowHeight="11.25" customHeight="1"/>
  <cols>
    <col min="1" max="1" width="14.7109375" style="366" hidden="1" customWidth="1"/>
    <col min="2" max="2" width="17" style="6" hidden="1" customWidth="1"/>
    <col min="3" max="3" width="3.7109375" style="9" customWidth="1"/>
    <col min="4" max="4" width="1.85546875" style="9" hidden="1" customWidth="1"/>
    <col min="5" max="6" width="7.7109375" style="9" customWidth="1"/>
    <col min="7" max="7" width="29.7109375" style="9" customWidth="1"/>
    <col min="8" max="8" width="3.7109375" style="9" customWidth="1"/>
    <col min="9" max="9" width="5.42578125" style="9" customWidth="1"/>
    <col min="10" max="10" width="24.5703125" style="9" customWidth="1"/>
    <col min="11" max="11" width="24.42578125" style="9" customWidth="1"/>
    <col min="12" max="12" width="3.7109375" style="9" customWidth="1"/>
    <col min="13" max="13" width="6.28515625" style="9" customWidth="1"/>
    <col min="14" max="14" width="25.85546875" style="9" customWidth="1"/>
    <col min="15" max="18" width="18.7109375" style="9" customWidth="1"/>
    <col min="19" max="19" width="93.42578125" style="9" customWidth="1"/>
    <col min="20" max="20" width="10.5703125" style="9" customWidth="1"/>
    <col min="21" max="21" width="10.5703125" style="65" customWidth="1"/>
    <col min="22" max="22" width="11.7109375" style="65" customWidth="1"/>
    <col min="23" max="27" width="10.5703125" style="6" customWidth="1"/>
    <col min="28" max="83" width="9.140625" style="9"/>
  </cols>
  <sheetData>
    <row r="1" spans="1:83" ht="11.25" hidden="1" customHeight="1"/>
    <row r="2" spans="1:83" ht="11.25" hidden="1" customHeight="1"/>
    <row r="3" spans="1:83" ht="11.25" hidden="1" customHeight="1"/>
    <row r="4" spans="1:83" ht="3" customHeight="1">
      <c r="K4" s="75"/>
      <c r="L4" s="75"/>
      <c r="M4" s="75"/>
    </row>
    <row r="5" spans="1:83" ht="33.75" customHeight="1">
      <c r="D5" s="237"/>
      <c r="E5" s="1310"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1310"/>
      <c r="G5" s="1310"/>
      <c r="H5" s="1310"/>
      <c r="I5" s="1310"/>
      <c r="J5" s="1310"/>
      <c r="K5" s="1310"/>
      <c r="L5" s="56"/>
      <c r="M5" s="56"/>
    </row>
    <row r="6" spans="1:83" s="9" customFormat="1" ht="16.5" customHeight="1">
      <c r="A6" s="366"/>
      <c r="B6" s="6"/>
      <c r="D6" s="641"/>
      <c r="E6" s="1170" t="str">
        <f>IF(org=0,"Не определено",org)</f>
        <v>ИМУП «ПОСЖИЛКОМСЕРВИС»</v>
      </c>
      <c r="F6" s="1170"/>
      <c r="G6" s="1170"/>
      <c r="H6" s="1170"/>
      <c r="I6" s="1170"/>
      <c r="J6" s="1170"/>
      <c r="K6" s="1170"/>
      <c r="L6" s="56"/>
      <c r="M6" s="56"/>
      <c r="U6" s="65"/>
      <c r="V6" s="65"/>
      <c r="W6" s="6"/>
      <c r="X6" s="6"/>
      <c r="Y6" s="6"/>
      <c r="Z6" s="6"/>
      <c r="AA6" s="6"/>
    </row>
    <row r="7" spans="1:83" ht="11.25" customHeight="1">
      <c r="G7" s="56"/>
      <c r="H7" s="56"/>
      <c r="I7" s="56"/>
      <c r="J7" s="56"/>
      <c r="K7" s="367"/>
      <c r="L7" s="367"/>
      <c r="M7" s="367"/>
      <c r="R7" s="445"/>
    </row>
    <row r="8" spans="1:83" s="209" customFormat="1" ht="5.25" customHeight="1">
      <c r="A8" s="369"/>
      <c r="B8" s="139"/>
      <c r="G8" s="579"/>
      <c r="H8" s="579"/>
      <c r="I8" s="579"/>
      <c r="J8" s="579"/>
      <c r="K8" s="616"/>
      <c r="L8" s="616"/>
      <c r="M8" s="616"/>
      <c r="R8" s="617"/>
      <c r="U8" s="65"/>
      <c r="V8" s="65"/>
      <c r="W8" s="139"/>
      <c r="X8" s="139"/>
      <c r="Y8" s="139"/>
      <c r="Z8" s="139"/>
      <c r="AA8" s="139"/>
    </row>
    <row r="9" spans="1:83" ht="18.75" customHeight="1">
      <c r="D9" s="64"/>
      <c r="E9" s="1065" t="s">
        <v>288</v>
      </c>
      <c r="F9" s="1070"/>
      <c r="G9" s="1070"/>
      <c r="H9" s="1070"/>
      <c r="I9" s="1070"/>
      <c r="J9" s="1070"/>
      <c r="K9" s="1070"/>
      <c r="L9" s="1070"/>
      <c r="M9" s="1070"/>
      <c r="N9" s="1070"/>
      <c r="O9" s="1070"/>
      <c r="P9" s="1070"/>
      <c r="Q9" s="1070"/>
      <c r="R9" s="1064"/>
      <c r="S9" s="1083" t="s">
        <v>289</v>
      </c>
      <c r="T9" s="202"/>
    </row>
    <row r="10" spans="1:83" ht="33.75" customHeight="1">
      <c r="D10" s="327" t="s">
        <v>88</v>
      </c>
      <c r="E10" s="1083" t="s">
        <v>88</v>
      </c>
      <c r="F10" s="1083"/>
      <c r="G10" s="39" t="s">
        <v>290</v>
      </c>
      <c r="H10" s="1083" t="s">
        <v>88</v>
      </c>
      <c r="I10" s="1083"/>
      <c r="J10" s="39" t="s">
        <v>1757</v>
      </c>
      <c r="K10" s="39" t="s">
        <v>1758</v>
      </c>
      <c r="L10" s="1083" t="s">
        <v>88</v>
      </c>
      <c r="M10" s="1083"/>
      <c r="N10" s="39" t="s">
        <v>1759</v>
      </c>
      <c r="O10" s="39" t="s">
        <v>1760</v>
      </c>
      <c r="P10" s="39" t="s">
        <v>1761</v>
      </c>
      <c r="Q10" s="39" t="s">
        <v>1762</v>
      </c>
      <c r="R10" s="39" t="s">
        <v>1763</v>
      </c>
      <c r="S10" s="1083"/>
      <c r="T10" s="202"/>
    </row>
    <row r="11" spans="1:83" s="65" customFormat="1" ht="15" hidden="1" customHeight="1">
      <c r="A11" s="324"/>
      <c r="D11" s="324" t="s">
        <v>110</v>
      </c>
      <c r="E11" s="324"/>
      <c r="F11" s="324" t="s">
        <v>111</v>
      </c>
      <c r="G11" s="324" t="s">
        <v>90</v>
      </c>
      <c r="H11" s="324"/>
      <c r="I11" s="324" t="s">
        <v>91</v>
      </c>
      <c r="J11" s="324" t="s">
        <v>112</v>
      </c>
      <c r="K11" s="324" t="s">
        <v>92</v>
      </c>
      <c r="L11" s="324"/>
      <c r="M11" s="324" t="s">
        <v>93</v>
      </c>
      <c r="N11" s="324" t="s">
        <v>113</v>
      </c>
      <c r="O11" s="324" t="s">
        <v>150</v>
      </c>
      <c r="P11" s="324" t="s">
        <v>151</v>
      </c>
      <c r="Q11" s="324" t="s">
        <v>152</v>
      </c>
      <c r="R11" s="324" t="s">
        <v>153</v>
      </c>
      <c r="S11" s="324" t="s">
        <v>154</v>
      </c>
    </row>
    <row r="12" spans="1:83" s="9" customFormat="1" ht="0.75" customHeight="1">
      <c r="A12" s="366"/>
      <c r="B12" s="6"/>
      <c r="D12" s="324"/>
      <c r="E12" s="53"/>
      <c r="F12" s="53"/>
      <c r="Q12" s="76"/>
      <c r="R12" s="368"/>
      <c r="T12" s="202"/>
      <c r="U12" s="65"/>
      <c r="V12" s="65"/>
      <c r="W12" s="6"/>
      <c r="X12" s="6"/>
      <c r="Y12" s="6"/>
      <c r="Z12" s="6"/>
      <c r="AA12" s="6"/>
    </row>
    <row r="13" spans="1:83" s="209" customFormat="1" ht="0.75" customHeight="1">
      <c r="A13" s="369"/>
      <c r="B13" s="139"/>
      <c r="D13" s="324" t="s">
        <v>366</v>
      </c>
      <c r="E13" s="335"/>
      <c r="F13" s="335"/>
      <c r="G13" s="335"/>
      <c r="H13" s="335"/>
      <c r="I13" s="335"/>
      <c r="J13" s="335"/>
      <c r="K13" s="335"/>
      <c r="L13" s="335"/>
      <c r="M13" s="335"/>
      <c r="N13" s="335"/>
      <c r="O13" s="335"/>
      <c r="P13" s="335"/>
      <c r="Q13" s="335"/>
      <c r="R13" s="335"/>
      <c r="T13" s="202"/>
      <c r="U13" s="65"/>
      <c r="V13" s="65"/>
      <c r="W13" s="139"/>
      <c r="X13" s="139"/>
      <c r="Y13" s="139"/>
      <c r="Z13" s="139"/>
      <c r="AA13" s="139"/>
    </row>
    <row r="14" spans="1:83" ht="15" hidden="1" customHeight="1">
      <c r="A14" s="31" t="s">
        <v>118</v>
      </c>
      <c r="B14"/>
      <c r="C14"/>
      <c r="D14" s="1403" t="s">
        <v>110</v>
      </c>
      <c r="E14" s="1215" t="s">
        <v>106</v>
      </c>
      <c r="F14" s="1216"/>
      <c r="G14" s="1217"/>
      <c r="H14" s="1218" t="str">
        <f>IF(A14="","",INDEX(DIFFERENTIATION_UNMERGE_VD,MATCH(A14,DIFFERENTIATION_ID_DIFF,0)))</f>
        <v>Холодное водоснабжение. Питьевая вода</v>
      </c>
      <c r="I14" s="1218"/>
      <c r="J14" s="1218"/>
      <c r="K14" s="1218"/>
      <c r="L14" s="1218"/>
      <c r="M14" s="1218"/>
      <c r="N14" s="1218"/>
      <c r="O14" s="1218"/>
      <c r="P14" s="1218"/>
      <c r="Q14" s="1218"/>
      <c r="R14" s="1218"/>
      <c r="S14" s="425"/>
      <c r="T14" s="423"/>
      <c r="U14" s="101"/>
      <c r="V14" s="101"/>
      <c r="W14" s="59"/>
      <c r="X14" s="59"/>
      <c r="Y14" s="59"/>
      <c r="Z14" s="59"/>
      <c r="AA14" s="101"/>
      <c r="AB14" s="59"/>
      <c r="AC14" s="1227"/>
      <c r="AD14" s="59"/>
      <c r="AE14" s="370" t="s">
        <v>18</v>
      </c>
      <c r="AF14" s="370"/>
      <c r="AG14" s="371" t="s">
        <v>413</v>
      </c>
      <c r="AH14" s="372">
        <v>3</v>
      </c>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101"/>
      <c r="BT14" s="101"/>
      <c r="BU14" s="101"/>
      <c r="BV14" s="59"/>
      <c r="BW14" s="59"/>
      <c r="BX14" s="59"/>
      <c r="BY14" s="59"/>
      <c r="BZ14" s="59"/>
      <c r="CA14" s="59"/>
      <c r="CB14" s="59"/>
      <c r="CC14" s="59"/>
      <c r="CD14" s="59"/>
      <c r="CE14" s="59"/>
    </row>
    <row r="15" spans="1:83" ht="15" hidden="1" customHeight="1">
      <c r="A15" s="31"/>
      <c r="B15"/>
      <c r="C15"/>
      <c r="D15" s="1404"/>
      <c r="E15" s="1215" t="s">
        <v>414</v>
      </c>
      <c r="F15" s="1216"/>
      <c r="G15" s="1217"/>
      <c r="H15" s="1218" t="str">
        <f>IF(A14="","",INDEX(DIFFERENTIATION_UNMERGE_AREA,MATCH(A14,DIFFERENTIATION_ID_DIFF,0)))</f>
        <v>Территория 1</v>
      </c>
      <c r="I15" s="1218"/>
      <c r="J15" s="1218"/>
      <c r="K15" s="1218"/>
      <c r="L15" s="1218"/>
      <c r="M15" s="1218"/>
      <c r="N15" s="1218"/>
      <c r="O15" s="1218"/>
      <c r="P15" s="1218"/>
      <c r="Q15" s="1218"/>
      <c r="R15" s="1218"/>
      <c r="S15" s="425"/>
      <c r="T15" s="423"/>
      <c r="U15" s="101"/>
      <c r="V15" s="101"/>
      <c r="W15" s="59"/>
      <c r="X15" s="59"/>
      <c r="Y15" s="59"/>
      <c r="Z15" s="59"/>
      <c r="AA15" s="101"/>
      <c r="AB15" s="59"/>
      <c r="AC15" s="1227"/>
      <c r="AD15" s="59"/>
      <c r="AE15" s="370"/>
      <c r="AF15" s="370"/>
      <c r="AG15" s="371"/>
      <c r="AH15" s="372"/>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101"/>
      <c r="BT15" s="101"/>
      <c r="BU15" s="101"/>
      <c r="BV15" s="59"/>
      <c r="BW15" s="59"/>
      <c r="BX15" s="59"/>
      <c r="BY15" s="59"/>
      <c r="BZ15" s="59"/>
      <c r="CA15" s="59"/>
      <c r="CB15" s="59"/>
      <c r="CC15" s="59"/>
      <c r="CD15" s="59"/>
      <c r="CE15" s="59"/>
    </row>
    <row r="16" spans="1:83" ht="15" hidden="1" customHeight="1">
      <c r="A16" s="31"/>
      <c r="B16"/>
      <c r="C16"/>
      <c r="D16" s="1404"/>
      <c r="E16" s="1215" t="s">
        <v>415</v>
      </c>
      <c r="F16" s="1216"/>
      <c r="G16" s="1217"/>
      <c r="H16" s="1218" t="str">
        <f>IF(A14="","",INDEX(DIFFERENTIATION_UNMERGE_SYSTEM,MATCH(A14,DIFFERENTIATION_ID_DIFF,0)))</f>
        <v>без дифференциации</v>
      </c>
      <c r="I16" s="1218"/>
      <c r="J16" s="1218"/>
      <c r="K16" s="1218"/>
      <c r="L16" s="1218"/>
      <c r="M16" s="1218"/>
      <c r="N16" s="1218"/>
      <c r="O16" s="1218"/>
      <c r="P16" s="1218"/>
      <c r="Q16" s="1218"/>
      <c r="R16" s="1218"/>
      <c r="S16" s="425"/>
      <c r="T16" s="423"/>
      <c r="U16" s="101"/>
      <c r="V16" s="101"/>
      <c r="W16" s="59"/>
      <c r="X16" s="59"/>
      <c r="Y16" s="59"/>
      <c r="Z16" s="59"/>
      <c r="AA16" s="101"/>
      <c r="AB16" s="59"/>
      <c r="AC16" s="1227"/>
      <c r="AD16" s="59"/>
      <c r="AE16" s="370"/>
      <c r="AF16" s="370"/>
      <c r="AG16" s="371"/>
      <c r="AH16" s="372"/>
      <c r="AI16" s="101"/>
      <c r="AJ16" s="101"/>
      <c r="AK16" s="101"/>
      <c r="AL16" s="101"/>
      <c r="AM16" s="101"/>
      <c r="AN16" s="101"/>
      <c r="AO16" s="101"/>
      <c r="AP16" s="101"/>
      <c r="AQ16" s="101"/>
      <c r="AR16" s="101"/>
      <c r="AS16" s="101"/>
      <c r="AT16" s="101"/>
      <c r="AU16" s="101"/>
      <c r="AV16" s="101"/>
      <c r="AW16" s="101"/>
      <c r="AX16" s="101"/>
      <c r="AY16" s="101"/>
      <c r="AZ16" s="101"/>
      <c r="BA16" s="101"/>
      <c r="BB16" s="101"/>
      <c r="BC16" s="101"/>
      <c r="BD16" s="101"/>
      <c r="BE16" s="101"/>
      <c r="BF16" s="101"/>
      <c r="BG16" s="101"/>
      <c r="BH16" s="101"/>
      <c r="BI16" s="101"/>
      <c r="BJ16" s="101"/>
      <c r="BK16" s="101"/>
      <c r="BL16" s="101"/>
      <c r="BM16" s="101"/>
      <c r="BN16" s="101"/>
      <c r="BO16" s="101"/>
      <c r="BP16" s="101"/>
      <c r="BQ16" s="101"/>
      <c r="BR16" s="101"/>
      <c r="BS16" s="101"/>
      <c r="BT16" s="101"/>
      <c r="BU16" s="101"/>
      <c r="BV16" s="59"/>
      <c r="BW16" s="59"/>
      <c r="BX16" s="59"/>
      <c r="BY16" s="59"/>
      <c r="BZ16" s="59"/>
      <c r="CA16" s="59"/>
      <c r="CB16" s="59"/>
      <c r="CC16" s="59"/>
      <c r="CD16" s="59"/>
      <c r="CE16" s="59"/>
    </row>
    <row r="17" spans="1:83" ht="22.5" hidden="1" customHeight="1">
      <c r="A17" s="312"/>
      <c r="B17" s="60"/>
      <c r="C17" s="247"/>
      <c r="D17" s="1404"/>
      <c r="E17" s="1233" t="s">
        <v>416</v>
      </c>
      <c r="F17" s="1233"/>
      <c r="G17" s="1233"/>
      <c r="H17" s="1233"/>
      <c r="I17" s="1233"/>
      <c r="J17" s="1233"/>
      <c r="K17" s="1233"/>
      <c r="L17" s="1233"/>
      <c r="M17" s="1233"/>
      <c r="N17" s="1233"/>
      <c r="O17" s="1233"/>
      <c r="P17" s="1233"/>
      <c r="Q17" s="333">
        <f>SUMIF(T18:T19,"i",Q18:Q19)</f>
        <v>0</v>
      </c>
      <c r="R17" s="615"/>
      <c r="S17" s="150" t="s">
        <v>417</v>
      </c>
      <c r="T17" s="423" t="s">
        <v>418</v>
      </c>
      <c r="U17" s="1204">
        <v>1</v>
      </c>
      <c r="V17" s="1204" t="str">
        <f>INDEX(B_FHD_FLAG_INDEX_1,1,MATCH(A14,B_FHD_FLAG_DIFFERENTIATION,0))</f>
        <v>отсутствует</v>
      </c>
      <c r="W17" s="60"/>
      <c r="X17" s="60"/>
      <c r="Y17" s="60"/>
      <c r="Z17" s="60"/>
      <c r="AA17" s="65"/>
      <c r="AB17" s="60"/>
      <c r="AC17" s="1227"/>
      <c r="AD17" s="59"/>
      <c r="AE17" s="60"/>
      <c r="AF17" s="60"/>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0"/>
      <c r="BW17" s="60"/>
      <c r="BX17" s="60"/>
      <c r="BY17" s="60"/>
      <c r="BZ17" s="60"/>
      <c r="CA17" s="60"/>
      <c r="CB17" s="60"/>
      <c r="CC17" s="60"/>
      <c r="CD17" s="60"/>
      <c r="CE17" s="60"/>
    </row>
    <row r="18" spans="1:83" ht="11.25" hidden="1" customHeight="1">
      <c r="A18" s="119"/>
      <c r="B18" s="65"/>
      <c r="C18" s="65"/>
      <c r="D18" s="1404"/>
      <c r="E18" s="373"/>
      <c r="F18" s="373">
        <v>0</v>
      </c>
      <c r="G18" s="373"/>
      <c r="H18" s="373"/>
      <c r="I18" s="373"/>
      <c r="J18" s="373"/>
      <c r="K18" s="373"/>
      <c r="L18" s="373"/>
      <c r="M18" s="373"/>
      <c r="N18" s="373"/>
      <c r="O18" s="373"/>
      <c r="P18" s="373"/>
      <c r="Q18" s="373"/>
      <c r="R18" s="373"/>
      <c r="S18" s="328"/>
      <c r="T18" s="424"/>
      <c r="U18" s="1204"/>
      <c r="V18" s="1204"/>
      <c r="W18" s="65"/>
      <c r="X18" s="65"/>
      <c r="Y18" s="65"/>
      <c r="Z18" s="65"/>
      <c r="AA18" s="65"/>
      <c r="AB18" s="60"/>
      <c r="AC18" s="1227"/>
      <c r="AD18" s="59"/>
      <c r="AE18" s="60"/>
      <c r="AF18" s="60"/>
      <c r="AG18" s="65"/>
      <c r="AH18" s="65"/>
      <c r="AI18" s="65"/>
      <c r="AJ18" s="65"/>
      <c r="AK18" s="65"/>
      <c r="AL18" s="65"/>
      <c r="AM18" s="65"/>
      <c r="AN18" s="65"/>
      <c r="AO18" s="65"/>
      <c r="AP18" s="65"/>
      <c r="AQ18" s="65"/>
      <c r="AR18" s="65"/>
      <c r="AS18" s="65"/>
      <c r="AT18" s="65"/>
      <c r="AU18" s="65"/>
      <c r="AV18" s="65"/>
      <c r="AW18" s="65"/>
      <c r="AX18" s="65"/>
      <c r="AY18" s="65"/>
      <c r="AZ18" s="65"/>
      <c r="BA18" s="65"/>
      <c r="BB18" s="65"/>
      <c r="BC18" s="65"/>
      <c r="BD18" s="65"/>
      <c r="BE18" s="65"/>
      <c r="BF18" s="65"/>
      <c r="BG18" s="65"/>
      <c r="BH18" s="65"/>
      <c r="BI18" s="65"/>
      <c r="BJ18" s="65"/>
      <c r="BK18" s="65"/>
      <c r="BL18" s="65"/>
      <c r="BM18" s="65"/>
      <c r="BN18" s="65"/>
      <c r="BO18" s="65"/>
      <c r="BP18" s="65"/>
      <c r="BQ18" s="65"/>
      <c r="BR18" s="65"/>
      <c r="BS18" s="65"/>
      <c r="BT18" s="65"/>
      <c r="BU18" s="65"/>
      <c r="BV18" s="65"/>
      <c r="BW18" s="65"/>
      <c r="BX18" s="65"/>
      <c r="BY18" s="65"/>
      <c r="BZ18" s="65"/>
      <c r="CA18" s="65"/>
      <c r="CB18" s="65"/>
      <c r="CC18" s="65"/>
      <c r="CD18" s="65"/>
      <c r="CE18" s="65"/>
    </row>
    <row r="19" spans="1:83" ht="11.25" hidden="1" customHeight="1">
      <c r="A19" s="312"/>
      <c r="B19" s="60"/>
      <c r="C19" s="247"/>
      <c r="D19" s="1404"/>
      <c r="E19" s="186" t="s">
        <v>18</v>
      </c>
      <c r="F19" s="107" t="s">
        <v>18</v>
      </c>
      <c r="G19" s="107" t="s">
        <v>18</v>
      </c>
      <c r="H19" s="50" t="s">
        <v>18</v>
      </c>
      <c r="I19" s="50"/>
      <c r="J19" s="50"/>
      <c r="K19" s="50"/>
      <c r="L19" s="50"/>
      <c r="M19" s="50"/>
      <c r="N19" s="50"/>
      <c r="O19" s="50"/>
      <c r="P19" s="50"/>
      <c r="Q19" s="50"/>
      <c r="R19" s="363"/>
      <c r="S19" s="618"/>
      <c r="T19" s="424"/>
      <c r="U19" s="1204"/>
      <c r="V19" s="1204"/>
      <c r="W19" s="60"/>
      <c r="X19" s="60"/>
      <c r="Y19" s="60"/>
      <c r="Z19" s="60"/>
      <c r="AA19" s="65"/>
      <c r="AB19" s="60"/>
      <c r="AC19" s="1227"/>
      <c r="AD19" s="59"/>
      <c r="AE19" s="60"/>
      <c r="AF19" s="60"/>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5"/>
      <c r="BH19" s="65"/>
      <c r="BI19" s="65"/>
      <c r="BJ19" s="65"/>
      <c r="BK19" s="65"/>
      <c r="BL19" s="65"/>
      <c r="BM19" s="65"/>
      <c r="BN19" s="65"/>
      <c r="BO19" s="65"/>
      <c r="BP19" s="65"/>
      <c r="BQ19" s="65"/>
      <c r="BR19" s="65"/>
      <c r="BS19" s="65"/>
      <c r="BT19" s="65"/>
      <c r="BU19" s="65"/>
      <c r="BV19" s="60"/>
      <c r="BW19" s="60"/>
      <c r="BX19" s="60"/>
      <c r="BY19" s="60"/>
      <c r="BZ19" s="60"/>
      <c r="CA19" s="60"/>
      <c r="CB19" s="60"/>
      <c r="CC19" s="60"/>
      <c r="CD19" s="60"/>
      <c r="CE19" s="60"/>
    </row>
    <row r="20" spans="1:83" ht="22.5" hidden="1" customHeight="1">
      <c r="A20" s="312"/>
      <c r="B20" s="60"/>
      <c r="C20" s="247"/>
      <c r="D20" s="1404"/>
      <c r="E20" s="1233" t="s">
        <v>421</v>
      </c>
      <c r="F20" s="1233"/>
      <c r="G20" s="1233"/>
      <c r="H20" s="1233"/>
      <c r="I20" s="1233"/>
      <c r="J20" s="1233"/>
      <c r="K20" s="1233"/>
      <c r="L20" s="1233"/>
      <c r="M20" s="1233"/>
      <c r="N20" s="1233"/>
      <c r="O20" s="1233"/>
      <c r="P20" s="1233"/>
      <c r="Q20" s="333">
        <f>SUMIF(T21:T22,"i",Q21:Q22)</f>
        <v>0</v>
      </c>
      <c r="R20" s="615"/>
      <c r="S20" s="150" t="s">
        <v>422</v>
      </c>
      <c r="T20" s="423" t="s">
        <v>418</v>
      </c>
      <c r="U20" s="1204">
        <v>2</v>
      </c>
      <c r="V20" s="1204" t="str">
        <f>INDEX(B_FHD_FLAG_INDEX_2,1,MATCH(A14,B_FHD_FLAG_DIFFERENTIATION,0))</f>
        <v>отсутствует</v>
      </c>
      <c r="W20" s="60"/>
      <c r="X20" s="60"/>
      <c r="Y20" s="60"/>
      <c r="Z20" s="60"/>
      <c r="AA20" s="65"/>
      <c r="AB20" s="60"/>
      <c r="AC20" s="416"/>
      <c r="AD20" s="59"/>
      <c r="AE20" s="60"/>
      <c r="AF20" s="60"/>
      <c r="AG20" s="65"/>
      <c r="AH20" s="65"/>
      <c r="AI20" s="65"/>
      <c r="AJ20" s="65"/>
      <c r="AK20" s="65"/>
      <c r="AL20" s="65"/>
      <c r="AM20" s="65"/>
      <c r="AN20" s="65"/>
      <c r="AO20" s="65"/>
      <c r="AP20" s="65"/>
      <c r="AQ20" s="65"/>
      <c r="AR20" s="65"/>
      <c r="AS20" s="65"/>
      <c r="AT20" s="65"/>
      <c r="AU20" s="65"/>
      <c r="AV20" s="65"/>
      <c r="AW20" s="65"/>
      <c r="AX20" s="65"/>
      <c r="AY20" s="65"/>
      <c r="AZ20" s="65"/>
      <c r="BA20" s="65"/>
      <c r="BB20" s="65"/>
      <c r="BC20" s="65"/>
      <c r="BD20" s="65"/>
      <c r="BE20" s="65"/>
      <c r="BF20" s="65"/>
      <c r="BG20" s="65"/>
      <c r="BH20" s="65"/>
      <c r="BI20" s="65"/>
      <c r="BJ20" s="65"/>
      <c r="BK20" s="65"/>
      <c r="BL20" s="65"/>
      <c r="BM20" s="65"/>
      <c r="BN20" s="65"/>
      <c r="BO20" s="65"/>
      <c r="BP20" s="65"/>
      <c r="BQ20" s="65"/>
      <c r="BR20" s="65"/>
      <c r="BS20" s="65"/>
      <c r="BT20" s="65"/>
      <c r="BU20" s="65"/>
      <c r="BV20" s="60"/>
      <c r="BW20" s="60"/>
      <c r="BX20" s="60"/>
      <c r="BY20" s="60"/>
      <c r="BZ20" s="60"/>
      <c r="CA20" s="60"/>
      <c r="CB20" s="60"/>
      <c r="CC20" s="60"/>
      <c r="CD20" s="60"/>
      <c r="CE20" s="60"/>
    </row>
    <row r="21" spans="1:83" ht="11.25" hidden="1" customHeight="1">
      <c r="A21" s="119"/>
      <c r="B21" s="65"/>
      <c r="C21" s="65"/>
      <c r="D21" s="1404"/>
      <c r="E21" s="373"/>
      <c r="F21" s="373">
        <v>0</v>
      </c>
      <c r="G21" s="373"/>
      <c r="H21" s="373"/>
      <c r="I21" s="373"/>
      <c r="J21" s="373"/>
      <c r="K21" s="373"/>
      <c r="L21" s="373"/>
      <c r="M21" s="373"/>
      <c r="N21" s="373"/>
      <c r="O21" s="373"/>
      <c r="P21" s="373"/>
      <c r="Q21" s="373"/>
      <c r="R21" s="373"/>
      <c r="S21" s="328"/>
      <c r="T21" s="424"/>
      <c r="U21" s="1204"/>
      <c r="V21" s="1204"/>
      <c r="W21" s="65"/>
      <c r="X21" s="65"/>
      <c r="Y21" s="65"/>
      <c r="Z21" s="65"/>
      <c r="AA21" s="65"/>
      <c r="AB21" s="60"/>
      <c r="AC21" s="416"/>
      <c r="AD21" s="59"/>
      <c r="AE21" s="60"/>
      <c r="AF21" s="60"/>
      <c r="AG21" s="65"/>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row>
    <row r="22" spans="1:83" ht="11.25" hidden="1" customHeight="1">
      <c r="A22" s="312"/>
      <c r="B22" s="60"/>
      <c r="C22" s="247"/>
      <c r="D22" s="1405"/>
      <c r="E22" s="186" t="s">
        <v>18</v>
      </c>
      <c r="F22" s="107" t="s">
        <v>18</v>
      </c>
      <c r="G22" s="107" t="s">
        <v>18</v>
      </c>
      <c r="H22" s="50" t="s">
        <v>18</v>
      </c>
      <c r="I22" s="50"/>
      <c r="J22" s="50"/>
      <c r="K22" s="50"/>
      <c r="L22" s="50"/>
      <c r="M22" s="50"/>
      <c r="N22" s="50"/>
      <c r="O22" s="50"/>
      <c r="P22" s="50"/>
      <c r="Q22" s="50"/>
      <c r="R22" s="363"/>
      <c r="S22" s="618"/>
      <c r="T22" s="424"/>
      <c r="U22" s="1204"/>
      <c r="V22" s="1204"/>
      <c r="W22" s="60"/>
      <c r="X22" s="60"/>
      <c r="Y22" s="60"/>
      <c r="Z22" s="60"/>
      <c r="AA22" s="65"/>
      <c r="AB22" s="60"/>
      <c r="AC22" s="416"/>
      <c r="AD22" s="59"/>
      <c r="AE22" s="60"/>
      <c r="AF22" s="60"/>
      <c r="AG22" s="65"/>
      <c r="AH22" s="65"/>
      <c r="AI22" s="65"/>
      <c r="AJ22" s="65"/>
      <c r="AK22" s="65"/>
      <c r="AL22" s="65"/>
      <c r="AM22" s="65"/>
      <c r="AN22" s="65"/>
      <c r="AO22" s="65"/>
      <c r="AP22" s="65"/>
      <c r="AQ22" s="65"/>
      <c r="AR22" s="65"/>
      <c r="AS22" s="65"/>
      <c r="AT22" s="65"/>
      <c r="AU22" s="65"/>
      <c r="AV22" s="65"/>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0"/>
      <c r="BW22" s="60"/>
      <c r="BX22" s="60"/>
      <c r="BY22" s="60"/>
      <c r="BZ22" s="60"/>
      <c r="CA22" s="60"/>
      <c r="CB22" s="60"/>
      <c r="CC22" s="60"/>
      <c r="CD22" s="60"/>
      <c r="CE22" s="60"/>
    </row>
    <row r="23" spans="1:83" ht="18.75" customHeight="1">
      <c r="D23" s="637"/>
      <c r="E23" s="637"/>
      <c r="F23" s="637"/>
      <c r="G23" s="637"/>
      <c r="H23" s="637"/>
      <c r="I23" s="637"/>
      <c r="J23" s="637"/>
      <c r="K23" s="637"/>
      <c r="L23" s="637"/>
      <c r="M23" s="637"/>
      <c r="N23" s="637"/>
      <c r="O23" s="637"/>
      <c r="P23" s="637"/>
      <c r="Q23" s="637"/>
      <c r="R23" s="637"/>
      <c r="S23" s="637"/>
      <c r="T23" s="202"/>
    </row>
    <row r="25" spans="1:83" ht="11.25" customHeight="1">
      <c r="D25" s="75"/>
      <c r="E25" s="75"/>
      <c r="F25" s="75"/>
      <c r="G25" s="33"/>
    </row>
    <row r="27" spans="1:83" ht="11.25" customHeight="1">
      <c r="D27" s="382"/>
      <c r="E27" s="1406"/>
      <c r="F27" s="1406"/>
      <c r="G27" s="1406"/>
      <c r="H27" s="1406"/>
      <c r="I27" s="1406"/>
      <c r="J27" s="1406"/>
      <c r="K27" s="1406"/>
      <c r="L27" s="1406"/>
      <c r="M27" s="1406"/>
      <c r="N27" s="1406"/>
      <c r="O27" s="1406"/>
      <c r="P27" s="1406"/>
      <c r="Q27" s="1406"/>
      <c r="R27" s="1406"/>
    </row>
  </sheetData>
  <sheetProtection formatColumns="0" formatRows="0" insertRows="0" deleteColumns="0" deleteRows="0" sort="0" autoFilter="0"/>
  <mergeCells count="22">
    <mergeCell ref="U20:U22"/>
    <mergeCell ref="V20:V22"/>
    <mergeCell ref="AC14:AC19"/>
    <mergeCell ref="E17:P17"/>
    <mergeCell ref="U17:U19"/>
    <mergeCell ref="V17:V19"/>
    <mergeCell ref="E14:G14"/>
    <mergeCell ref="E15:G15"/>
    <mergeCell ref="E16:G16"/>
    <mergeCell ref="D14:D22"/>
    <mergeCell ref="H14:R14"/>
    <mergeCell ref="H15:R15"/>
    <mergeCell ref="H16:R16"/>
    <mergeCell ref="E27:R27"/>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48148-D959-C3E9-F1D6-4B52749FC328}">
  <sheetPr>
    <tabColor theme="9" tint="-0.249977111117893"/>
  </sheetPr>
  <dimension ref="A1:AE218"/>
  <sheetViews>
    <sheetView showGridLines="0" topLeftCell="D5" zoomScale="90" workbookViewId="0"/>
  </sheetViews>
  <sheetFormatPr defaultColWidth="9.140625" defaultRowHeight="11.25" customHeight="1"/>
  <cols>
    <col min="1" max="1" width="10.7109375" style="591" hidden="1" customWidth="1"/>
    <col min="2" max="2" width="16.85546875" style="60" hidden="1" customWidth="1"/>
    <col min="3" max="3" width="5.5703125" style="65" hidden="1" customWidth="1"/>
    <col min="4" max="4" width="3.7109375" style="9" customWidth="1"/>
    <col min="5" max="5" width="7.7109375" style="9" customWidth="1"/>
    <col min="6" max="6" width="56.1406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20"/>
    <col min="22" max="26" width="9.140625" style="60"/>
    <col min="27" max="31" width="9.140625" style="6"/>
  </cols>
  <sheetData>
    <row r="1" spans="1:31" s="60" customFormat="1" ht="11.25" hidden="1" customHeight="1">
      <c r="A1" s="591"/>
      <c r="C1" s="65"/>
      <c r="H1" s="60">
        <v>4</v>
      </c>
      <c r="I1" s="60">
        <v>4</v>
      </c>
      <c r="L1" s="65"/>
      <c r="M1" s="65"/>
      <c r="R1" s="65"/>
    </row>
    <row r="2" spans="1:31" s="60" customFormat="1" ht="22.5" hidden="1" customHeight="1">
      <c r="A2" s="591"/>
      <c r="C2" s="65"/>
      <c r="D2" s="315"/>
      <c r="E2" s="39"/>
      <c r="F2" s="316"/>
      <c r="G2" s="39" t="s">
        <v>1716</v>
      </c>
      <c r="H2" s="317"/>
      <c r="I2" s="317"/>
      <c r="J2" s="318" t="s">
        <v>1764</v>
      </c>
      <c r="K2" s="319"/>
      <c r="L2" s="65"/>
      <c r="M2" s="65"/>
      <c r="R2" s="65"/>
      <c r="U2" s="320"/>
      <c r="AA2" s="6"/>
      <c r="AB2" s="6"/>
      <c r="AC2" s="6"/>
      <c r="AD2" s="6"/>
      <c r="AE2" s="6"/>
    </row>
    <row r="3" spans="1:31" ht="11.25" hidden="1" customHeight="1"/>
    <row r="4" spans="1:31" s="6" customFormat="1" ht="11.25" hidden="1" customHeight="1">
      <c r="A4" s="591"/>
      <c r="B4" s="60"/>
      <c r="C4" s="65"/>
      <c r="J4" s="6">
        <v>4</v>
      </c>
      <c r="K4" s="60"/>
      <c r="L4" s="65"/>
      <c r="M4" s="65"/>
      <c r="N4" s="60"/>
      <c r="O4" s="60"/>
      <c r="P4" s="60"/>
      <c r="Q4" s="60"/>
      <c r="R4" s="65"/>
      <c r="S4" s="60"/>
      <c r="T4" s="60"/>
      <c r="U4" s="320"/>
      <c r="V4" s="60"/>
      <c r="W4" s="60"/>
      <c r="X4" s="60"/>
      <c r="Y4" s="60"/>
      <c r="Z4" s="60"/>
    </row>
    <row r="6" spans="1:31" ht="24" customHeight="1">
      <c r="E6" s="1076" t="s">
        <v>1765</v>
      </c>
      <c r="F6" s="1077"/>
      <c r="G6" s="1077"/>
      <c r="H6" s="1077"/>
      <c r="I6" s="1078"/>
      <c r="J6" s="57"/>
    </row>
    <row r="7" spans="1:31" ht="24" customHeight="1">
      <c r="E7" s="1183" t="str">
        <f>IF(org=0,"Не определено",org)</f>
        <v>ИМУП «ПОСЖИЛКОМСЕРВИС»</v>
      </c>
      <c r="F7" s="1184"/>
      <c r="G7" s="1184"/>
      <c r="H7" s="1184"/>
      <c r="I7" s="1185"/>
    </row>
    <row r="8" spans="1:31" ht="11.25" customHeight="1">
      <c r="E8" s="686"/>
      <c r="F8" s="686"/>
      <c r="G8" s="686"/>
      <c r="H8" s="686"/>
      <c r="I8" s="686"/>
    </row>
    <row r="9" spans="1:31" s="65" customFormat="1" ht="0.75" customHeight="1">
      <c r="A9" s="324"/>
      <c r="H9" s="531"/>
      <c r="I9" s="531" t="s">
        <v>118</v>
      </c>
    </row>
    <row r="10" spans="1:31" ht="11.25" customHeight="1">
      <c r="E10" s="418"/>
      <c r="F10" s="1373" t="s">
        <v>106</v>
      </c>
      <c r="G10" s="1374"/>
      <c r="H10" s="894" t="str">
        <f>IF(H9="","",INDEX(DIFFERENTIATION_UNMERGE_VD,MATCH(H9,DIFFERENTIATION_ID_DIFF,0)))</f>
        <v/>
      </c>
      <c r="I10" s="894" t="str">
        <f>IF(I9="","",INDEX(DIFFERENTIATION_UNMERGE_VD,MATCH(I9,DIFFERENTIATION_ID_DIFF,0)))</f>
        <v>Холодное водоснабжение. Питьевая вода</v>
      </c>
      <c r="J10" s="1083"/>
    </row>
    <row r="11" spans="1:31" ht="11.25" customHeight="1">
      <c r="E11" s="418"/>
      <c r="F11" s="1373" t="s">
        <v>414</v>
      </c>
      <c r="G11" s="1374"/>
      <c r="H11" s="894" t="str">
        <f>IF(H9="","",INDEX(DIFFERENTIATION_UNMERGE_AREA,MATCH(H9,DIFFERENTIATION_ID_DIFF,0)))</f>
        <v/>
      </c>
      <c r="I11" s="894" t="str">
        <f>IF(I9="","",INDEX(DIFFERENTIATION_UNMERGE_AREA,MATCH(I9,DIFFERENTIATION_ID_DIFF,0)))</f>
        <v>Территория 1</v>
      </c>
      <c r="J11" s="1083"/>
    </row>
    <row r="12" spans="1:31" ht="11.25" hidden="1" customHeight="1">
      <c r="E12" s="932"/>
      <c r="F12" s="1407" t="s">
        <v>415</v>
      </c>
      <c r="G12" s="1408"/>
      <c r="H12" s="933" t="str">
        <f>IF(H9="","",INDEX(DIFFERENTIATION_UNMERGE_SYSTEM,MATCH(H9,DIFFERENTIATION_ID_DIFF,0)))</f>
        <v/>
      </c>
      <c r="I12" s="933" t="str">
        <f>IF(I9="","",INDEX(DIFFERENTIATION_UNMERGE_SYSTEM,MATCH(I9,DIFFERENTIATION_ID_DIFF,0)))</f>
        <v>без дифференциации</v>
      </c>
      <c r="J12" s="1083"/>
    </row>
    <row r="13" spans="1:31" ht="11.25" customHeight="1">
      <c r="E13" s="1375" t="s">
        <v>288</v>
      </c>
      <c r="F13" s="1376"/>
      <c r="G13" s="1376"/>
      <c r="H13" s="529"/>
      <c r="I13" s="529"/>
      <c r="J13" s="1083"/>
    </row>
    <row r="14" spans="1:31" ht="22.5" customHeight="1">
      <c r="E14" s="39" t="s">
        <v>88</v>
      </c>
      <c r="F14" s="39" t="s">
        <v>290</v>
      </c>
      <c r="G14" s="39" t="s">
        <v>1611</v>
      </c>
      <c r="H14" s="39" t="s">
        <v>291</v>
      </c>
      <c r="I14" s="39" t="s">
        <v>291</v>
      </c>
      <c r="J14" s="1083"/>
    </row>
    <row r="15" spans="1:31" ht="18.75" customHeight="1">
      <c r="D15" s="53"/>
      <c r="E15" s="930" t="s">
        <v>110</v>
      </c>
      <c r="F15" s="150" t="s">
        <v>1766</v>
      </c>
      <c r="G15" s="39" t="s">
        <v>1716</v>
      </c>
      <c r="H15" s="332"/>
      <c r="I15" s="332"/>
      <c r="J15" s="64" t="s">
        <v>1767</v>
      </c>
      <c r="K15" s="319" t="s">
        <v>1768</v>
      </c>
    </row>
    <row r="16" spans="1:31" ht="33.75" customHeight="1">
      <c r="D16" s="53"/>
      <c r="E16" s="930" t="s">
        <v>111</v>
      </c>
      <c r="F16" s="150" t="s">
        <v>1769</v>
      </c>
      <c r="G16" s="39" t="s">
        <v>1716</v>
      </c>
      <c r="H16" s="333">
        <f>SUM(H17,H20:H32)</f>
        <v>0</v>
      </c>
      <c r="I16" s="333">
        <f>SUM(I17,I20:I32)</f>
        <v>0</v>
      </c>
      <c r="J16" s="64" t="s">
        <v>1770</v>
      </c>
      <c r="K16" s="319" t="s">
        <v>1768</v>
      </c>
    </row>
    <row r="17" spans="1:31" ht="18.75" customHeight="1">
      <c r="D17" s="53"/>
      <c r="E17" s="934" t="s">
        <v>452</v>
      </c>
      <c r="F17" s="334" t="s">
        <v>1771</v>
      </c>
      <c r="G17" s="405" t="s">
        <v>1716</v>
      </c>
      <c r="H17" s="332"/>
      <c r="I17" s="332"/>
      <c r="J17" s="64" t="s">
        <v>1772</v>
      </c>
      <c r="K17" s="319"/>
    </row>
    <row r="18" spans="1:31" ht="22.5" customHeight="1">
      <c r="D18" s="53"/>
      <c r="E18" s="934" t="s">
        <v>454</v>
      </c>
      <c r="F18" s="349" t="s">
        <v>1773</v>
      </c>
      <c r="G18" s="405" t="s">
        <v>1716</v>
      </c>
      <c r="H18" s="332"/>
      <c r="I18" s="332"/>
      <c r="J18" s="64" t="s">
        <v>1774</v>
      </c>
      <c r="K18" s="319"/>
    </row>
    <row r="19" spans="1:31" ht="33.75" customHeight="1">
      <c r="D19" s="53"/>
      <c r="E19" s="934" t="s">
        <v>1775</v>
      </c>
      <c r="F19" s="349" t="s">
        <v>1776</v>
      </c>
      <c r="G19" s="405" t="s">
        <v>1716</v>
      </c>
      <c r="H19" s="332"/>
      <c r="I19" s="332"/>
      <c r="J19" s="64"/>
      <c r="K19" s="319"/>
    </row>
    <row r="20" spans="1:31" ht="18.75" customHeight="1">
      <c r="D20" s="53"/>
      <c r="E20" s="934" t="s">
        <v>295</v>
      </c>
      <c r="F20" s="334" t="s">
        <v>1777</v>
      </c>
      <c r="G20" s="405" t="s">
        <v>1716</v>
      </c>
      <c r="H20" s="332"/>
      <c r="I20" s="332"/>
      <c r="J20" s="64" t="s">
        <v>1778</v>
      </c>
      <c r="K20" s="319"/>
    </row>
    <row r="21" spans="1:31" ht="18.75" customHeight="1">
      <c r="D21" s="53"/>
      <c r="E21" s="934" t="s">
        <v>1368</v>
      </c>
      <c r="F21" s="349" t="s">
        <v>1779</v>
      </c>
      <c r="G21" s="405" t="s">
        <v>1716</v>
      </c>
      <c r="H21" s="332"/>
      <c r="I21" s="332"/>
      <c r="J21" s="64"/>
      <c r="K21" s="319"/>
    </row>
    <row r="22" spans="1:31" ht="18.75" customHeight="1">
      <c r="D22" s="53"/>
      <c r="E22" s="934" t="s">
        <v>1373</v>
      </c>
      <c r="F22" s="349" t="s">
        <v>1780</v>
      </c>
      <c r="G22" s="405" t="s">
        <v>1716</v>
      </c>
      <c r="H22" s="332"/>
      <c r="I22" s="332"/>
      <c r="J22" s="64"/>
      <c r="K22" s="319"/>
    </row>
    <row r="23" spans="1:31" ht="22.5" customHeight="1">
      <c r="D23" s="53"/>
      <c r="E23" s="934" t="s">
        <v>298</v>
      </c>
      <c r="F23" s="334" t="s">
        <v>1781</v>
      </c>
      <c r="G23" s="405" t="s">
        <v>1716</v>
      </c>
      <c r="H23" s="332"/>
      <c r="I23" s="332"/>
      <c r="J23" s="64" t="s">
        <v>1782</v>
      </c>
      <c r="K23" s="319"/>
    </row>
    <row r="24" spans="1:31" ht="18.75" customHeight="1">
      <c r="D24" s="53"/>
      <c r="E24" s="934" t="s">
        <v>1367</v>
      </c>
      <c r="F24" s="349" t="s">
        <v>1783</v>
      </c>
      <c r="G24" s="405" t="s">
        <v>1716</v>
      </c>
      <c r="H24" s="332"/>
      <c r="I24" s="332"/>
      <c r="J24" s="64"/>
      <c r="K24" s="319"/>
    </row>
    <row r="25" spans="1:31" ht="33.75" customHeight="1">
      <c r="D25" s="53"/>
      <c r="E25" s="934" t="s">
        <v>1372</v>
      </c>
      <c r="F25" s="349" t="s">
        <v>1784</v>
      </c>
      <c r="G25" s="405" t="s">
        <v>1716</v>
      </c>
      <c r="H25" s="332"/>
      <c r="I25" s="332"/>
      <c r="J25" s="64"/>
      <c r="K25" s="319"/>
    </row>
    <row r="26" spans="1:31" ht="22.5" customHeight="1">
      <c r="D26" s="53"/>
      <c r="E26" s="934" t="s">
        <v>1362</v>
      </c>
      <c r="F26" s="334" t="s">
        <v>1785</v>
      </c>
      <c r="G26" s="405" t="s">
        <v>1716</v>
      </c>
      <c r="H26" s="332"/>
      <c r="I26" s="332"/>
      <c r="J26" s="64" t="s">
        <v>1786</v>
      </c>
      <c r="K26" s="319"/>
    </row>
    <row r="27" spans="1:31" ht="18.75" customHeight="1">
      <c r="D27" s="53"/>
      <c r="E27" s="936" t="s">
        <v>1383</v>
      </c>
      <c r="F27" s="349" t="s">
        <v>1787</v>
      </c>
      <c r="G27" s="405" t="s">
        <v>1716</v>
      </c>
      <c r="H27" s="937"/>
      <c r="I27" s="937"/>
      <c r="J27" s="64"/>
      <c r="K27" s="319"/>
    </row>
    <row r="28" spans="1:31" ht="18.75" customHeight="1">
      <c r="D28" s="53"/>
      <c r="E28" s="936" t="s">
        <v>1387</v>
      </c>
      <c r="F28" s="349" t="s">
        <v>1788</v>
      </c>
      <c r="G28" s="405" t="s">
        <v>1716</v>
      </c>
      <c r="H28" s="937"/>
      <c r="I28" s="937"/>
      <c r="J28" s="64"/>
      <c r="K28" s="319"/>
    </row>
    <row r="29" spans="1:31" ht="18.75" customHeight="1">
      <c r="D29" s="53"/>
      <c r="E29" s="936" t="s">
        <v>1364</v>
      </c>
      <c r="F29" s="334" t="s">
        <v>1789</v>
      </c>
      <c r="G29" s="405" t="s">
        <v>1716</v>
      </c>
      <c r="H29" s="937"/>
      <c r="I29" s="937"/>
      <c r="J29" s="64"/>
      <c r="K29" s="319"/>
    </row>
    <row r="30" spans="1:31" ht="18.75" customHeight="1">
      <c r="D30" s="53"/>
      <c r="E30" s="936" t="s">
        <v>1378</v>
      </c>
      <c r="F30" s="334" t="s">
        <v>1790</v>
      </c>
      <c r="G30" s="405" t="s">
        <v>1716</v>
      </c>
      <c r="H30" s="937"/>
      <c r="I30" s="937"/>
      <c r="J30" s="64"/>
      <c r="K30" s="319"/>
    </row>
    <row r="31" spans="1:31" ht="18.75" customHeight="1">
      <c r="D31" s="53"/>
      <c r="E31" s="936" t="s">
        <v>1389</v>
      </c>
      <c r="F31" s="334" t="s">
        <v>1791</v>
      </c>
      <c r="G31" s="405" t="s">
        <v>1716</v>
      </c>
      <c r="H31" s="937"/>
      <c r="I31" s="937"/>
      <c r="J31" s="64"/>
      <c r="K31" s="319"/>
    </row>
    <row r="32" spans="1:31" s="60" customFormat="1" ht="22.5" customHeight="1">
      <c r="A32" s="591"/>
      <c r="C32" s="65"/>
      <c r="D32" s="53"/>
      <c r="E32" s="936" t="s">
        <v>1400</v>
      </c>
      <c r="F32" s="334" t="s">
        <v>1792</v>
      </c>
      <c r="G32" s="351" t="s">
        <v>1716</v>
      </c>
      <c r="H32" s="352">
        <f>SUM(H33:H34)</f>
        <v>0</v>
      </c>
      <c r="I32" s="352">
        <f>SUM(I33:I34)</f>
        <v>0</v>
      </c>
      <c r="J32" s="64" t="s">
        <v>1793</v>
      </c>
      <c r="K32" s="319"/>
      <c r="L32" s="65"/>
      <c r="M32" s="65"/>
      <c r="R32" s="65"/>
      <c r="U32" s="320"/>
      <c r="AA32" s="6"/>
      <c r="AB32" s="6"/>
      <c r="AC32" s="6"/>
      <c r="AD32" s="6"/>
      <c r="AE32" s="6"/>
    </row>
    <row r="33" spans="1:31" s="65" customFormat="1" ht="0.75" customHeight="1">
      <c r="A33" s="324"/>
      <c r="D33" s="324"/>
      <c r="E33" s="327" t="str">
        <f>E32&amp;".0"</f>
        <v>2.8.0</v>
      </c>
      <c r="F33" s="595"/>
      <c r="G33" s="327"/>
      <c r="H33" s="596"/>
      <c r="I33" s="596"/>
      <c r="J33" s="597"/>
    </row>
    <row r="34" spans="1:31" s="60" customFormat="1" ht="18.75" customHeight="1">
      <c r="A34" s="591"/>
      <c r="C34" s="65"/>
      <c r="D34" s="74"/>
      <c r="E34" s="344"/>
      <c r="F34" s="935" t="s">
        <v>1734</v>
      </c>
      <c r="G34" s="345"/>
      <c r="H34" s="346"/>
      <c r="I34" s="346"/>
      <c r="J34" s="171" t="s">
        <v>1794</v>
      </c>
      <c r="K34" s="319"/>
      <c r="L34" s="65"/>
      <c r="M34" s="65"/>
      <c r="R34" s="65"/>
      <c r="U34" s="320"/>
      <c r="AA34" s="6"/>
      <c r="AB34" s="6"/>
      <c r="AC34" s="6"/>
      <c r="AD34" s="6"/>
      <c r="AE34" s="6"/>
    </row>
    <row r="35" spans="1:31" ht="56.25" customHeight="1">
      <c r="D35" s="53"/>
      <c r="E35" s="936" t="s">
        <v>1408</v>
      </c>
      <c r="F35" s="334" t="s">
        <v>1795</v>
      </c>
      <c r="G35" s="405" t="s">
        <v>1716</v>
      </c>
      <c r="H35" s="937"/>
      <c r="I35" s="937"/>
      <c r="J35" s="64" t="s">
        <v>1796</v>
      </c>
      <c r="K35" s="319"/>
    </row>
    <row r="36" spans="1:31" s="60" customFormat="1" ht="22.5" customHeight="1">
      <c r="A36" s="593" t="s">
        <v>1735</v>
      </c>
      <c r="C36" s="65"/>
      <c r="D36" s="53"/>
      <c r="E36" s="934" t="s">
        <v>90</v>
      </c>
      <c r="F36" s="150" t="s">
        <v>1797</v>
      </c>
      <c r="G36" s="405" t="s">
        <v>1716</v>
      </c>
      <c r="H36" s="332"/>
      <c r="I36" s="332"/>
      <c r="J36" s="64" t="s">
        <v>1460</v>
      </c>
      <c r="K36" s="319"/>
      <c r="L36" s="65"/>
      <c r="M36" s="65"/>
      <c r="R36" s="65"/>
      <c r="U36" s="320"/>
      <c r="AA36" s="6"/>
      <c r="AB36" s="6"/>
      <c r="AC36" s="6"/>
      <c r="AD36" s="6"/>
      <c r="AE36" s="6"/>
    </row>
    <row r="37" spans="1:31" s="60" customFormat="1" ht="22.5" customHeight="1">
      <c r="A37" s="593"/>
      <c r="C37" s="65"/>
      <c r="D37" s="53"/>
      <c r="E37" s="934" t="s">
        <v>314</v>
      </c>
      <c r="F37" s="334" t="s">
        <v>1798</v>
      </c>
      <c r="G37" s="405"/>
      <c r="H37" s="332"/>
      <c r="I37" s="332"/>
      <c r="J37" s="64"/>
      <c r="K37" s="319"/>
      <c r="L37" s="65"/>
      <c r="M37" s="65"/>
      <c r="R37" s="65"/>
      <c r="U37" s="320"/>
      <c r="AA37" s="6"/>
      <c r="AB37" s="6"/>
      <c r="AC37" s="6"/>
      <c r="AD37" s="6"/>
      <c r="AE37" s="6"/>
    </row>
    <row r="38" spans="1:31" s="60" customFormat="1" ht="18.75" customHeight="1">
      <c r="A38" s="591"/>
      <c r="C38" s="65"/>
      <c r="D38" s="348"/>
      <c r="E38" s="934" t="s">
        <v>91</v>
      </c>
      <c r="F38" s="150" t="s">
        <v>1463</v>
      </c>
      <c r="G38" s="405" t="s">
        <v>1716</v>
      </c>
      <c r="H38" s="332"/>
      <c r="I38" s="332"/>
      <c r="J38" s="64" t="s">
        <v>1464</v>
      </c>
      <c r="K38" s="319"/>
      <c r="L38" s="65"/>
      <c r="M38" s="65"/>
      <c r="R38" s="65"/>
      <c r="U38" s="320"/>
      <c r="AA38" s="6"/>
      <c r="AB38" s="6"/>
      <c r="AC38" s="6"/>
      <c r="AD38" s="6"/>
      <c r="AE38" s="6"/>
    </row>
    <row r="39" spans="1:31" s="60" customFormat="1" ht="22.5" customHeight="1">
      <c r="A39" s="591"/>
      <c r="C39" s="65"/>
      <c r="D39" s="348"/>
      <c r="E39" s="934" t="s">
        <v>1461</v>
      </c>
      <c r="F39" s="334" t="s">
        <v>1799</v>
      </c>
      <c r="G39" s="405" t="s">
        <v>1716</v>
      </c>
      <c r="H39" s="332"/>
      <c r="I39" s="332"/>
      <c r="J39" s="64" t="s">
        <v>1800</v>
      </c>
      <c r="K39" s="319"/>
      <c r="L39" s="65"/>
      <c r="M39" s="65"/>
      <c r="R39" s="65"/>
      <c r="U39" s="320"/>
      <c r="AA39" s="6"/>
      <c r="AB39" s="6"/>
      <c r="AC39" s="6"/>
      <c r="AD39" s="6"/>
      <c r="AE39" s="6"/>
    </row>
    <row r="40" spans="1:31" s="60" customFormat="1" ht="22.5" customHeight="1">
      <c r="A40" s="591"/>
      <c r="C40" s="65"/>
      <c r="D40" s="53"/>
      <c r="E40" s="934" t="s">
        <v>1469</v>
      </c>
      <c r="F40" s="349" t="s">
        <v>1801</v>
      </c>
      <c r="G40" s="405" t="s">
        <v>1716</v>
      </c>
      <c r="H40" s="332"/>
      <c r="I40" s="332"/>
      <c r="J40" s="64" t="s">
        <v>1472</v>
      </c>
      <c r="K40" s="319"/>
      <c r="L40" s="65"/>
      <c r="M40" s="65"/>
      <c r="R40" s="65"/>
      <c r="U40" s="320"/>
      <c r="AA40" s="6"/>
      <c r="AB40" s="6"/>
      <c r="AC40" s="6"/>
      <c r="AD40" s="6"/>
      <c r="AE40" s="6"/>
    </row>
    <row r="41" spans="1:31" s="60" customFormat="1" ht="22.5" customHeight="1">
      <c r="A41" s="591"/>
      <c r="C41" s="65"/>
      <c r="D41" s="53"/>
      <c r="E41" s="934" t="s">
        <v>1474</v>
      </c>
      <c r="F41" s="349" t="s">
        <v>1802</v>
      </c>
      <c r="G41" s="405" t="s">
        <v>1716</v>
      </c>
      <c r="H41" s="332"/>
      <c r="I41" s="332"/>
      <c r="J41" s="64" t="s">
        <v>1477</v>
      </c>
      <c r="K41" s="319"/>
      <c r="L41" s="65"/>
      <c r="M41" s="65"/>
      <c r="R41" s="65"/>
      <c r="U41" s="320"/>
      <c r="AA41" s="6"/>
      <c r="AB41" s="6"/>
      <c r="AC41" s="6"/>
      <c r="AD41" s="6"/>
      <c r="AE41" s="6"/>
    </row>
    <row r="42" spans="1:31" s="60" customFormat="1" ht="22.5" customHeight="1">
      <c r="A42" s="591"/>
      <c r="C42" s="65"/>
      <c r="D42" s="53"/>
      <c r="E42" s="934" t="s">
        <v>1803</v>
      </c>
      <c r="F42" s="349" t="s">
        <v>1804</v>
      </c>
      <c r="G42" s="405" t="s">
        <v>1716</v>
      </c>
      <c r="H42" s="332"/>
      <c r="I42" s="332"/>
      <c r="J42" s="64" t="s">
        <v>1805</v>
      </c>
      <c r="K42" s="319"/>
      <c r="L42" s="65"/>
      <c r="M42" s="65"/>
      <c r="R42" s="65"/>
      <c r="U42" s="320"/>
      <c r="AA42" s="6"/>
      <c r="AB42" s="6"/>
      <c r="AC42" s="6"/>
      <c r="AD42" s="6"/>
      <c r="AE42" s="6"/>
    </row>
    <row r="43" spans="1:31" s="60" customFormat="1" ht="33.75" customHeight="1">
      <c r="A43" s="591"/>
      <c r="C43" s="65" t="s">
        <v>1743</v>
      </c>
      <c r="D43" s="53"/>
      <c r="E43" s="934" t="s">
        <v>112</v>
      </c>
      <c r="F43" s="150" t="s">
        <v>1484</v>
      </c>
      <c r="G43" s="39" t="s">
        <v>1806</v>
      </c>
      <c r="H43" s="241"/>
      <c r="I43" s="241"/>
      <c r="J43" s="64" t="s">
        <v>1807</v>
      </c>
      <c r="K43" s="319"/>
      <c r="L43" s="65"/>
      <c r="M43" s="65"/>
      <c r="R43" s="65"/>
      <c r="U43" s="320"/>
      <c r="AA43" s="6"/>
      <c r="AB43" s="6"/>
      <c r="AC43" s="6"/>
      <c r="AD43" s="6"/>
      <c r="AE43" s="6"/>
    </row>
    <row r="44" spans="1:31" s="60" customFormat="1" ht="22.5" customHeight="1">
      <c r="A44" s="591"/>
      <c r="C44" s="65"/>
      <c r="D44" s="53"/>
      <c r="E44" s="934" t="s">
        <v>92</v>
      </c>
      <c r="F44" s="150" t="s">
        <v>1808</v>
      </c>
      <c r="G44" s="405" t="s">
        <v>1809</v>
      </c>
      <c r="H44" s="321"/>
      <c r="I44" s="321"/>
      <c r="J44" s="64" t="s">
        <v>1810</v>
      </c>
      <c r="K44" s="319"/>
      <c r="L44" s="65"/>
      <c r="M44" s="65"/>
      <c r="R44" s="65"/>
      <c r="U44" s="320"/>
      <c r="AA44" s="6"/>
      <c r="AB44" s="6"/>
      <c r="AC44" s="6"/>
      <c r="AD44" s="6"/>
      <c r="AE44" s="6"/>
    </row>
    <row r="45" spans="1:31" s="60" customFormat="1" ht="22.5" customHeight="1">
      <c r="A45" s="591"/>
      <c r="C45" s="65"/>
      <c r="D45" s="53"/>
      <c r="E45" s="934" t="s">
        <v>93</v>
      </c>
      <c r="F45" s="150" t="s">
        <v>1811</v>
      </c>
      <c r="G45" s="405" t="s">
        <v>1812</v>
      </c>
      <c r="H45" s="321"/>
      <c r="I45" s="321"/>
      <c r="J45" s="64" t="s">
        <v>1813</v>
      </c>
      <c r="K45" s="319"/>
      <c r="L45" s="65"/>
      <c r="M45" s="65"/>
      <c r="R45" s="65"/>
      <c r="U45" s="320"/>
      <c r="AA45" s="6"/>
      <c r="AB45" s="6"/>
      <c r="AC45" s="6"/>
      <c r="AD45" s="6"/>
      <c r="AE45" s="6"/>
    </row>
    <row r="46" spans="1:31" s="60" customFormat="1" ht="18.75" customHeight="1">
      <c r="A46" s="591"/>
      <c r="C46" s="65"/>
      <c r="D46" s="53"/>
      <c r="E46" s="934" t="s">
        <v>113</v>
      </c>
      <c r="F46" s="150" t="s">
        <v>1814</v>
      </c>
      <c r="G46" s="405" t="s">
        <v>1745</v>
      </c>
      <c r="H46" s="350"/>
      <c r="I46" s="350"/>
      <c r="J46" s="64"/>
      <c r="K46" s="319"/>
      <c r="L46" s="65"/>
      <c r="M46" s="65"/>
      <c r="R46" s="65"/>
      <c r="U46" s="320"/>
      <c r="AA46" s="6"/>
      <c r="AB46" s="6"/>
      <c r="AC46" s="6"/>
      <c r="AD46" s="6"/>
      <c r="AE46" s="6"/>
    </row>
    <row r="47" spans="1:31" ht="11.25" customHeight="1">
      <c r="D47" s="53"/>
    </row>
    <row r="48" spans="1:31" ht="26.25" customHeight="1">
      <c r="D48" s="53"/>
      <c r="E48" s="204"/>
      <c r="F48" s="1284"/>
      <c r="G48" s="1284"/>
      <c r="H48" s="1284"/>
      <c r="I48" s="1284"/>
      <c r="J48" s="1284"/>
    </row>
    <row r="49" spans="1:31" s="209" customFormat="1" ht="37.5" customHeight="1">
      <c r="A49" s="591"/>
      <c r="B49" s="65"/>
      <c r="C49" s="65"/>
      <c r="F49" s="1284"/>
      <c r="G49" s="1284"/>
      <c r="H49" s="1284"/>
      <c r="I49" s="1284"/>
      <c r="J49" s="1284"/>
      <c r="K49" s="60"/>
      <c r="L49" s="65"/>
      <c r="M49" s="65"/>
      <c r="N49" s="60"/>
      <c r="O49" s="60"/>
      <c r="P49" s="60"/>
      <c r="Q49" s="60"/>
      <c r="R49" s="65"/>
      <c r="S49" s="60"/>
      <c r="T49" s="60"/>
      <c r="U49" s="320"/>
      <c r="V49" s="60"/>
      <c r="W49" s="60"/>
      <c r="X49" s="60"/>
      <c r="Y49" s="60"/>
      <c r="Z49" s="60"/>
      <c r="AA49" s="6"/>
      <c r="AB49" s="139"/>
      <c r="AC49" s="139"/>
      <c r="AD49" s="139"/>
      <c r="AE49" s="139"/>
    </row>
    <row r="50" spans="1:31" s="209" customFormat="1" ht="11.25" customHeight="1">
      <c r="A50" s="591"/>
      <c r="B50" s="65"/>
      <c r="C50" s="65"/>
      <c r="K50" s="60"/>
      <c r="L50" s="65"/>
      <c r="M50" s="65"/>
      <c r="N50" s="60"/>
      <c r="O50" s="60"/>
      <c r="P50" s="60"/>
      <c r="Q50" s="60"/>
      <c r="R50" s="65"/>
      <c r="S50" s="60"/>
      <c r="T50" s="60"/>
      <c r="U50" s="320"/>
      <c r="V50" s="60"/>
      <c r="W50" s="60"/>
      <c r="X50" s="60"/>
      <c r="Y50" s="60"/>
      <c r="Z50" s="60"/>
      <c r="AA50" s="6"/>
      <c r="AB50" s="139"/>
      <c r="AC50" s="139"/>
      <c r="AD50" s="139"/>
      <c r="AE50" s="139"/>
    </row>
    <row r="51" spans="1:31" s="209" customFormat="1" ht="11.25" customHeight="1">
      <c r="A51" s="591"/>
      <c r="B51" s="65"/>
      <c r="C51" s="65"/>
      <c r="K51" s="60"/>
      <c r="L51" s="65"/>
      <c r="M51" s="65"/>
      <c r="N51" s="60"/>
      <c r="O51" s="60"/>
      <c r="P51" s="60"/>
      <c r="Q51" s="60"/>
      <c r="R51" s="65"/>
      <c r="S51" s="60"/>
      <c r="T51" s="60"/>
      <c r="U51" s="320"/>
      <c r="V51" s="60"/>
      <c r="W51" s="60"/>
      <c r="X51" s="60"/>
      <c r="Y51" s="60"/>
      <c r="Z51" s="60"/>
      <c r="AA51" s="6"/>
      <c r="AB51" s="139"/>
      <c r="AC51" s="139"/>
      <c r="AD51" s="139"/>
      <c r="AE51" s="139"/>
    </row>
    <row r="52" spans="1:31" s="209" customFormat="1" ht="11.25" customHeight="1">
      <c r="A52" s="591"/>
      <c r="B52" s="65"/>
      <c r="C52" s="65"/>
      <c r="H52" s="139"/>
      <c r="I52" s="139"/>
      <c r="K52" s="60"/>
      <c r="L52" s="65"/>
      <c r="M52" s="65"/>
      <c r="N52" s="60"/>
      <c r="O52" s="60"/>
      <c r="P52" s="60"/>
      <c r="Q52" s="60"/>
      <c r="R52" s="65"/>
      <c r="S52" s="60"/>
      <c r="T52" s="60"/>
      <c r="U52" s="320"/>
      <c r="V52" s="60"/>
      <c r="W52" s="60"/>
      <c r="X52" s="60"/>
      <c r="Y52" s="60"/>
      <c r="Z52" s="60"/>
      <c r="AA52" s="6"/>
      <c r="AB52" s="139"/>
      <c r="AC52" s="139"/>
      <c r="AD52" s="139"/>
      <c r="AE52" s="139"/>
    </row>
    <row r="53" spans="1:31" s="209" customFormat="1" ht="11.25" customHeight="1">
      <c r="A53" s="591"/>
      <c r="B53" s="65"/>
      <c r="C53" s="65"/>
      <c r="K53" s="60"/>
      <c r="L53" s="65"/>
      <c r="M53" s="65"/>
      <c r="N53" s="60"/>
      <c r="O53" s="60"/>
      <c r="P53" s="60"/>
      <c r="Q53" s="60"/>
      <c r="R53" s="65"/>
      <c r="S53" s="60"/>
      <c r="T53" s="60"/>
      <c r="U53" s="320"/>
      <c r="V53" s="60"/>
      <c r="W53" s="60"/>
      <c r="X53" s="60"/>
      <c r="Y53" s="60"/>
      <c r="Z53" s="60"/>
      <c r="AA53" s="6"/>
      <c r="AB53" s="139"/>
      <c r="AC53" s="139"/>
      <c r="AD53" s="139"/>
      <c r="AE53" s="139"/>
    </row>
    <row r="54" spans="1:31" s="209" customFormat="1" ht="11.25" customHeight="1">
      <c r="A54" s="591"/>
      <c r="B54" s="65"/>
      <c r="C54" s="65"/>
      <c r="K54" s="60"/>
      <c r="L54" s="65"/>
      <c r="M54" s="65"/>
      <c r="N54" s="60"/>
      <c r="O54" s="60"/>
      <c r="P54" s="60"/>
      <c r="Q54" s="60"/>
      <c r="R54" s="65"/>
      <c r="S54" s="60"/>
      <c r="T54" s="60"/>
      <c r="U54" s="320"/>
      <c r="V54" s="60"/>
      <c r="W54" s="60"/>
      <c r="X54" s="60"/>
      <c r="Y54" s="60"/>
      <c r="Z54" s="60"/>
      <c r="AA54" s="6"/>
      <c r="AB54" s="139"/>
      <c r="AC54" s="139"/>
      <c r="AD54" s="139"/>
      <c r="AE54" s="139"/>
    </row>
    <row r="55" spans="1:31" s="209" customFormat="1" ht="11.25" customHeight="1">
      <c r="A55" s="591"/>
      <c r="B55" s="65"/>
      <c r="C55" s="65"/>
      <c r="K55" s="60"/>
      <c r="L55" s="65"/>
      <c r="M55" s="65"/>
      <c r="N55" s="60"/>
      <c r="O55" s="60"/>
      <c r="P55" s="60"/>
      <c r="Q55" s="60"/>
      <c r="R55" s="65"/>
      <c r="S55" s="60"/>
      <c r="T55" s="60"/>
      <c r="U55" s="320"/>
      <c r="V55" s="60"/>
      <c r="W55" s="60"/>
      <c r="X55" s="60"/>
      <c r="Y55" s="60"/>
      <c r="Z55" s="60"/>
      <c r="AA55" s="6"/>
      <c r="AB55" s="139"/>
      <c r="AC55" s="139"/>
      <c r="AD55" s="139"/>
      <c r="AE55" s="139"/>
    </row>
    <row r="56" spans="1:31" s="209" customFormat="1" ht="11.25" customHeight="1">
      <c r="A56" s="591"/>
      <c r="B56" s="65"/>
      <c r="C56" s="65"/>
      <c r="K56" s="60"/>
      <c r="L56" s="65"/>
      <c r="M56" s="65"/>
      <c r="N56" s="60"/>
      <c r="O56" s="60"/>
      <c r="P56" s="60"/>
      <c r="Q56" s="60"/>
      <c r="R56" s="65"/>
      <c r="S56" s="60"/>
      <c r="T56" s="60"/>
      <c r="U56" s="320"/>
      <c r="V56" s="60"/>
      <c r="W56" s="60"/>
      <c r="X56" s="60"/>
      <c r="Y56" s="60"/>
      <c r="Z56" s="60"/>
      <c r="AA56" s="6"/>
      <c r="AB56" s="139"/>
      <c r="AC56" s="139"/>
      <c r="AD56" s="139"/>
      <c r="AE56" s="139"/>
    </row>
    <row r="57" spans="1:31" s="209" customFormat="1" ht="11.25" customHeight="1">
      <c r="A57" s="591"/>
      <c r="B57" s="65"/>
      <c r="C57" s="65"/>
      <c r="K57" s="60"/>
      <c r="L57" s="65"/>
      <c r="M57" s="65"/>
      <c r="N57" s="60"/>
      <c r="O57" s="60"/>
      <c r="P57" s="60"/>
      <c r="Q57" s="60"/>
      <c r="R57" s="65"/>
      <c r="S57" s="60"/>
      <c r="T57" s="60"/>
      <c r="U57" s="320"/>
      <c r="V57" s="60"/>
      <c r="W57" s="60"/>
      <c r="X57" s="60"/>
      <c r="Y57" s="60"/>
      <c r="Z57" s="60"/>
      <c r="AA57" s="6"/>
      <c r="AB57" s="139"/>
      <c r="AC57" s="139"/>
      <c r="AD57" s="139"/>
      <c r="AE57" s="139"/>
    </row>
    <row r="58" spans="1:31" s="209" customFormat="1" ht="11.25" customHeight="1">
      <c r="A58" s="591"/>
      <c r="B58" s="65"/>
      <c r="C58" s="65"/>
      <c r="K58" s="60"/>
      <c r="L58" s="65"/>
      <c r="M58" s="65"/>
      <c r="N58" s="60"/>
      <c r="O58" s="60"/>
      <c r="P58" s="60"/>
      <c r="Q58" s="60"/>
      <c r="R58" s="65"/>
      <c r="S58" s="60"/>
      <c r="T58" s="60"/>
      <c r="U58" s="320"/>
      <c r="V58" s="60"/>
      <c r="W58" s="60"/>
      <c r="X58" s="60"/>
      <c r="Y58" s="60"/>
      <c r="Z58" s="60"/>
      <c r="AA58" s="6"/>
      <c r="AB58" s="139"/>
      <c r="AC58" s="139"/>
      <c r="AD58" s="139"/>
      <c r="AE58" s="139"/>
    </row>
    <row r="59" spans="1:31" s="209" customFormat="1" ht="11.25" customHeight="1">
      <c r="A59" s="591"/>
      <c r="B59" s="65"/>
      <c r="C59" s="65"/>
      <c r="K59" s="60"/>
      <c r="L59" s="65"/>
      <c r="M59" s="65"/>
      <c r="N59" s="60"/>
      <c r="O59" s="60"/>
      <c r="P59" s="60"/>
      <c r="Q59" s="60"/>
      <c r="R59" s="65"/>
      <c r="S59" s="60"/>
      <c r="T59" s="60"/>
      <c r="U59" s="320"/>
      <c r="V59" s="60"/>
      <c r="W59" s="60"/>
      <c r="X59" s="60"/>
      <c r="Y59" s="60"/>
      <c r="Z59" s="60"/>
      <c r="AA59" s="6"/>
      <c r="AB59" s="139"/>
      <c r="AC59" s="139"/>
      <c r="AD59" s="139"/>
      <c r="AE59" s="139"/>
    </row>
    <row r="60" spans="1:31" s="209" customFormat="1" ht="11.25" customHeight="1">
      <c r="A60" s="591"/>
      <c r="B60" s="65"/>
      <c r="C60" s="65"/>
      <c r="K60" s="60"/>
      <c r="L60" s="65"/>
      <c r="M60" s="65"/>
      <c r="N60" s="60"/>
      <c r="O60" s="60"/>
      <c r="P60" s="60"/>
      <c r="Q60" s="60"/>
      <c r="R60" s="65"/>
      <c r="S60" s="60"/>
      <c r="T60" s="60"/>
      <c r="U60" s="320"/>
      <c r="V60" s="60"/>
      <c r="W60" s="60"/>
      <c r="X60" s="60"/>
      <c r="Y60" s="60"/>
      <c r="Z60" s="60"/>
      <c r="AA60" s="6"/>
      <c r="AB60" s="139"/>
      <c r="AC60" s="139"/>
      <c r="AD60" s="139"/>
      <c r="AE60" s="139"/>
    </row>
    <row r="61" spans="1:31" s="209" customFormat="1" ht="11.25" customHeight="1">
      <c r="A61" s="591"/>
      <c r="B61" s="65"/>
      <c r="C61" s="65"/>
      <c r="K61" s="60"/>
      <c r="L61" s="65"/>
      <c r="M61" s="65"/>
      <c r="N61" s="60"/>
      <c r="O61" s="60"/>
      <c r="P61" s="60"/>
      <c r="Q61" s="60"/>
      <c r="R61" s="65"/>
      <c r="S61" s="60"/>
      <c r="T61" s="60"/>
      <c r="U61" s="320"/>
      <c r="V61" s="60"/>
      <c r="W61" s="60"/>
      <c r="X61" s="60"/>
      <c r="Y61" s="60"/>
      <c r="Z61" s="60"/>
      <c r="AA61" s="6"/>
      <c r="AB61" s="139"/>
      <c r="AC61" s="139"/>
      <c r="AD61" s="139"/>
      <c r="AE61" s="139"/>
    </row>
    <row r="62" spans="1:31" s="209" customFormat="1" ht="11.25" customHeight="1">
      <c r="A62" s="591"/>
      <c r="B62" s="65"/>
      <c r="C62" s="65"/>
      <c r="K62" s="60"/>
      <c r="L62" s="65"/>
      <c r="M62" s="65"/>
      <c r="N62" s="60"/>
      <c r="O62" s="60"/>
      <c r="P62" s="60"/>
      <c r="Q62" s="60"/>
      <c r="R62" s="65"/>
      <c r="S62" s="60"/>
      <c r="T62" s="60"/>
      <c r="U62" s="320"/>
      <c r="V62" s="60"/>
      <c r="W62" s="60"/>
      <c r="X62" s="60"/>
      <c r="Y62" s="60"/>
      <c r="Z62" s="60"/>
      <c r="AA62" s="6"/>
      <c r="AB62" s="139"/>
      <c r="AC62" s="139"/>
      <c r="AD62" s="139"/>
      <c r="AE62" s="139"/>
    </row>
    <row r="63" spans="1:31" s="209" customFormat="1" ht="11.25" customHeight="1">
      <c r="A63" s="591"/>
      <c r="B63" s="65"/>
      <c r="C63" s="65"/>
      <c r="K63" s="60"/>
      <c r="L63" s="65"/>
      <c r="M63" s="65"/>
      <c r="N63" s="60"/>
      <c r="O63" s="60"/>
      <c r="P63" s="60"/>
      <c r="Q63" s="60"/>
      <c r="R63" s="65"/>
      <c r="S63" s="60"/>
      <c r="T63" s="60"/>
      <c r="U63" s="320"/>
      <c r="V63" s="60"/>
      <c r="W63" s="60"/>
      <c r="X63" s="60"/>
      <c r="Y63" s="60"/>
      <c r="Z63" s="60"/>
      <c r="AA63" s="6"/>
      <c r="AB63" s="139"/>
      <c r="AC63" s="139"/>
      <c r="AD63" s="139"/>
      <c r="AE63" s="139"/>
    </row>
    <row r="64" spans="1:31" s="209" customFormat="1" ht="11.25" customHeight="1">
      <c r="A64" s="591"/>
      <c r="B64" s="65"/>
      <c r="C64" s="65"/>
      <c r="K64" s="60"/>
      <c r="L64" s="65"/>
      <c r="M64" s="65"/>
      <c r="N64" s="60"/>
      <c r="O64" s="60"/>
      <c r="P64" s="60"/>
      <c r="Q64" s="60"/>
      <c r="R64" s="65"/>
      <c r="S64" s="60"/>
      <c r="T64" s="60"/>
      <c r="U64" s="320"/>
      <c r="V64" s="60"/>
      <c r="W64" s="60"/>
      <c r="X64" s="60"/>
      <c r="Y64" s="60"/>
      <c r="Z64" s="60"/>
      <c r="AA64" s="6"/>
      <c r="AB64" s="139"/>
      <c r="AC64" s="139"/>
      <c r="AD64" s="139"/>
      <c r="AE64" s="139"/>
    </row>
    <row r="65" spans="1:31" s="209" customFormat="1" ht="11.25" customHeight="1">
      <c r="A65" s="591"/>
      <c r="B65" s="65"/>
      <c r="C65" s="65"/>
      <c r="K65" s="60"/>
      <c r="L65" s="65"/>
      <c r="M65" s="65"/>
      <c r="N65" s="60"/>
      <c r="O65" s="60"/>
      <c r="P65" s="60"/>
      <c r="Q65" s="60"/>
      <c r="R65" s="65"/>
      <c r="S65" s="60"/>
      <c r="T65" s="60"/>
      <c r="U65" s="320"/>
      <c r="V65" s="60"/>
      <c r="W65" s="60"/>
      <c r="X65" s="60"/>
      <c r="Y65" s="60"/>
      <c r="Z65" s="60"/>
      <c r="AA65" s="6"/>
      <c r="AB65" s="139"/>
      <c r="AC65" s="139"/>
      <c r="AD65" s="139"/>
      <c r="AE65" s="139"/>
    </row>
    <row r="66" spans="1:31" s="209" customFormat="1" ht="11.25" customHeight="1">
      <c r="A66" s="591"/>
      <c r="B66" s="65"/>
      <c r="C66" s="65"/>
      <c r="K66" s="60"/>
      <c r="L66" s="65"/>
      <c r="M66" s="65"/>
      <c r="N66" s="60"/>
      <c r="O66" s="60"/>
      <c r="P66" s="60"/>
      <c r="Q66" s="60"/>
      <c r="R66" s="65"/>
      <c r="S66" s="60"/>
      <c r="T66" s="60"/>
      <c r="U66" s="320"/>
      <c r="V66" s="60"/>
      <c r="W66" s="60"/>
      <c r="X66" s="60"/>
      <c r="Y66" s="60"/>
      <c r="Z66" s="60"/>
      <c r="AA66" s="6"/>
      <c r="AB66" s="139"/>
      <c r="AC66" s="139"/>
      <c r="AD66" s="139"/>
      <c r="AE66" s="139"/>
    </row>
    <row r="67" spans="1:31" s="209" customFormat="1" ht="11.25" customHeight="1">
      <c r="A67" s="591"/>
      <c r="B67" s="65"/>
      <c r="C67" s="65"/>
      <c r="K67" s="60"/>
      <c r="L67" s="65"/>
      <c r="M67" s="65"/>
      <c r="N67" s="60"/>
      <c r="O67" s="60"/>
      <c r="P67" s="60"/>
      <c r="Q67" s="60"/>
      <c r="R67" s="65"/>
      <c r="S67" s="60"/>
      <c r="T67" s="60"/>
      <c r="U67" s="320"/>
      <c r="V67" s="60"/>
      <c r="W67" s="60"/>
      <c r="X67" s="60"/>
      <c r="Y67" s="60"/>
      <c r="Z67" s="60"/>
      <c r="AA67" s="6"/>
      <c r="AB67" s="139"/>
      <c r="AC67" s="139"/>
      <c r="AD67" s="139"/>
      <c r="AE67" s="139"/>
    </row>
    <row r="68" spans="1:31" s="209" customFormat="1" ht="11.25" customHeight="1">
      <c r="A68" s="591"/>
      <c r="B68" s="65"/>
      <c r="C68" s="65"/>
      <c r="K68" s="60"/>
      <c r="L68" s="65"/>
      <c r="M68" s="65"/>
      <c r="N68" s="60"/>
      <c r="O68" s="60"/>
      <c r="P68" s="60"/>
      <c r="Q68" s="60"/>
      <c r="R68" s="65"/>
      <c r="S68" s="60"/>
      <c r="T68" s="60"/>
      <c r="U68" s="320"/>
      <c r="V68" s="60"/>
      <c r="W68" s="60"/>
      <c r="X68" s="60"/>
      <c r="Y68" s="60"/>
      <c r="Z68" s="60"/>
      <c r="AA68" s="6"/>
      <c r="AB68" s="139"/>
      <c r="AC68" s="139"/>
      <c r="AD68" s="139"/>
      <c r="AE68" s="139"/>
    </row>
    <row r="69" spans="1:31" s="209" customFormat="1" ht="11.25" customHeight="1">
      <c r="A69" s="591"/>
      <c r="B69" s="65"/>
      <c r="C69" s="65"/>
      <c r="K69" s="60"/>
      <c r="L69" s="65"/>
      <c r="M69" s="65"/>
      <c r="N69" s="60"/>
      <c r="O69" s="60"/>
      <c r="P69" s="60"/>
      <c r="Q69" s="60"/>
      <c r="R69" s="65"/>
      <c r="S69" s="60"/>
      <c r="T69" s="60"/>
      <c r="U69" s="320"/>
      <c r="V69" s="60"/>
      <c r="W69" s="60"/>
      <c r="X69" s="60"/>
      <c r="Y69" s="60"/>
      <c r="Z69" s="60"/>
      <c r="AA69" s="6"/>
      <c r="AB69" s="139"/>
      <c r="AC69" s="139"/>
      <c r="AD69" s="139"/>
      <c r="AE69" s="139"/>
    </row>
    <row r="70" spans="1:31" s="209" customFormat="1" ht="11.25" customHeight="1">
      <c r="A70" s="591"/>
      <c r="B70" s="65"/>
      <c r="C70" s="65"/>
      <c r="K70" s="60"/>
      <c r="L70" s="65"/>
      <c r="M70" s="65"/>
      <c r="N70" s="60"/>
      <c r="O70" s="60"/>
      <c r="P70" s="60"/>
      <c r="Q70" s="60"/>
      <c r="R70" s="65"/>
      <c r="S70" s="60"/>
      <c r="T70" s="60"/>
      <c r="U70" s="320"/>
      <c r="V70" s="60"/>
      <c r="W70" s="60"/>
      <c r="X70" s="60"/>
      <c r="Y70" s="60"/>
      <c r="Z70" s="60"/>
      <c r="AA70" s="6"/>
      <c r="AB70" s="139"/>
      <c r="AC70" s="139"/>
      <c r="AD70" s="139"/>
      <c r="AE70" s="139"/>
    </row>
    <row r="71" spans="1:31" s="209" customFormat="1" ht="11.25" customHeight="1">
      <c r="A71" s="591"/>
      <c r="B71" s="65"/>
      <c r="C71" s="65"/>
      <c r="K71" s="60"/>
      <c r="L71" s="65"/>
      <c r="M71" s="65"/>
      <c r="N71" s="60"/>
      <c r="O71" s="60"/>
      <c r="P71" s="60"/>
      <c r="Q71" s="60"/>
      <c r="R71" s="65"/>
      <c r="S71" s="60"/>
      <c r="T71" s="60"/>
      <c r="U71" s="320"/>
      <c r="V71" s="60"/>
      <c r="W71" s="60"/>
      <c r="X71" s="60"/>
      <c r="Y71" s="60"/>
      <c r="Z71" s="60"/>
      <c r="AA71" s="6"/>
      <c r="AB71" s="139"/>
      <c r="AC71" s="139"/>
      <c r="AD71" s="139"/>
      <c r="AE71" s="139"/>
    </row>
    <row r="72" spans="1:31" s="209" customFormat="1" ht="11.25" customHeight="1">
      <c r="A72" s="591"/>
      <c r="B72" s="65"/>
      <c r="C72" s="65"/>
      <c r="K72" s="60"/>
      <c r="L72" s="65"/>
      <c r="M72" s="65"/>
      <c r="N72" s="60"/>
      <c r="O72" s="60"/>
      <c r="P72" s="60"/>
      <c r="Q72" s="60"/>
      <c r="R72" s="65"/>
      <c r="S72" s="60"/>
      <c r="T72" s="60"/>
      <c r="U72" s="320"/>
      <c r="V72" s="60"/>
      <c r="W72" s="60"/>
      <c r="X72" s="60"/>
      <c r="Y72" s="60"/>
      <c r="Z72" s="60"/>
      <c r="AA72" s="6"/>
      <c r="AB72" s="139"/>
      <c r="AC72" s="139"/>
      <c r="AD72" s="139"/>
      <c r="AE72" s="139"/>
    </row>
    <row r="73" spans="1:31" s="209" customFormat="1" ht="11.25" customHeight="1">
      <c r="A73" s="591"/>
      <c r="B73" s="65"/>
      <c r="C73" s="65"/>
      <c r="K73" s="60"/>
      <c r="L73" s="65"/>
      <c r="M73" s="65"/>
      <c r="N73" s="60"/>
      <c r="O73" s="60"/>
      <c r="P73" s="60"/>
      <c r="Q73" s="60"/>
      <c r="R73" s="65"/>
      <c r="S73" s="60"/>
      <c r="T73" s="60"/>
      <c r="U73" s="320"/>
      <c r="V73" s="60"/>
      <c r="W73" s="60"/>
      <c r="X73" s="60"/>
      <c r="Y73" s="60"/>
      <c r="Z73" s="60"/>
      <c r="AA73" s="6"/>
      <c r="AB73" s="139"/>
      <c r="AC73" s="139"/>
      <c r="AD73" s="139"/>
      <c r="AE73" s="139"/>
    </row>
    <row r="74" spans="1:31" s="209" customFormat="1" ht="11.25" customHeight="1">
      <c r="A74" s="591"/>
      <c r="B74" s="65"/>
      <c r="C74" s="65"/>
      <c r="K74" s="60"/>
      <c r="L74" s="65"/>
      <c r="M74" s="65"/>
      <c r="N74" s="60"/>
      <c r="O74" s="60"/>
      <c r="P74" s="60"/>
      <c r="Q74" s="60"/>
      <c r="R74" s="65"/>
      <c r="S74" s="60"/>
      <c r="T74" s="60"/>
      <c r="U74" s="320"/>
      <c r="V74" s="60"/>
      <c r="W74" s="60"/>
      <c r="X74" s="60"/>
      <c r="Y74" s="60"/>
      <c r="Z74" s="60"/>
      <c r="AA74" s="6"/>
      <c r="AB74" s="139"/>
      <c r="AC74" s="139"/>
      <c r="AD74" s="139"/>
      <c r="AE74" s="139"/>
    </row>
    <row r="75" spans="1:31" s="209" customFormat="1" ht="11.25" customHeight="1">
      <c r="A75" s="591"/>
      <c r="B75" s="65"/>
      <c r="C75" s="65"/>
      <c r="K75" s="60"/>
      <c r="L75" s="65"/>
      <c r="M75" s="65"/>
      <c r="N75" s="60"/>
      <c r="O75" s="60"/>
      <c r="P75" s="60"/>
      <c r="Q75" s="60"/>
      <c r="R75" s="65"/>
      <c r="S75" s="60"/>
      <c r="T75" s="60"/>
      <c r="U75" s="320"/>
      <c r="V75" s="60"/>
      <c r="W75" s="60"/>
      <c r="X75" s="60"/>
      <c r="Y75" s="60"/>
      <c r="Z75" s="60"/>
      <c r="AA75" s="6"/>
      <c r="AB75" s="139"/>
      <c r="AC75" s="139"/>
      <c r="AD75" s="139"/>
      <c r="AE75" s="139"/>
    </row>
    <row r="76" spans="1:31" s="209" customFormat="1" ht="11.25" customHeight="1">
      <c r="A76" s="591"/>
      <c r="B76" s="65"/>
      <c r="C76" s="65"/>
      <c r="K76" s="60"/>
      <c r="L76" s="65"/>
      <c r="M76" s="65"/>
      <c r="N76" s="60"/>
      <c r="O76" s="60"/>
      <c r="P76" s="60"/>
      <c r="Q76" s="60"/>
      <c r="R76" s="65"/>
      <c r="S76" s="60"/>
      <c r="T76" s="60"/>
      <c r="U76" s="320"/>
      <c r="V76" s="60"/>
      <c r="W76" s="60"/>
      <c r="X76" s="60"/>
      <c r="Y76" s="60"/>
      <c r="Z76" s="60"/>
      <c r="AA76" s="6"/>
      <c r="AB76" s="139"/>
      <c r="AC76" s="139"/>
      <c r="AD76" s="139"/>
      <c r="AE76" s="139"/>
    </row>
    <row r="77" spans="1:31" s="209" customFormat="1" ht="11.25" customHeight="1">
      <c r="A77" s="591"/>
      <c r="B77" s="65"/>
      <c r="C77" s="65"/>
      <c r="K77" s="60"/>
      <c r="L77" s="65"/>
      <c r="M77" s="65"/>
      <c r="N77" s="60"/>
      <c r="O77" s="60"/>
      <c r="P77" s="60"/>
      <c r="Q77" s="60"/>
      <c r="R77" s="65"/>
      <c r="S77" s="60"/>
      <c r="T77" s="60"/>
      <c r="U77" s="320"/>
      <c r="V77" s="60"/>
      <c r="W77" s="60"/>
      <c r="X77" s="60"/>
      <c r="Y77" s="60"/>
      <c r="Z77" s="60"/>
      <c r="AA77" s="6"/>
      <c r="AB77" s="139"/>
      <c r="AC77" s="139"/>
      <c r="AD77" s="139"/>
      <c r="AE77" s="139"/>
    </row>
    <row r="78" spans="1:31" s="209" customFormat="1" ht="11.25" customHeight="1">
      <c r="A78" s="591"/>
      <c r="B78" s="65"/>
      <c r="C78" s="65"/>
      <c r="K78" s="60"/>
      <c r="L78" s="65"/>
      <c r="M78" s="65"/>
      <c r="N78" s="60"/>
      <c r="O78" s="60"/>
      <c r="P78" s="60"/>
      <c r="Q78" s="60"/>
      <c r="R78" s="65"/>
      <c r="S78" s="60"/>
      <c r="T78" s="60"/>
      <c r="U78" s="320"/>
      <c r="V78" s="60"/>
      <c r="W78" s="60"/>
      <c r="X78" s="60"/>
      <c r="Y78" s="60"/>
      <c r="Z78" s="60"/>
      <c r="AA78" s="6"/>
      <c r="AB78" s="139"/>
      <c r="AC78" s="139"/>
      <c r="AD78" s="139"/>
      <c r="AE78" s="139"/>
    </row>
    <row r="79" spans="1:31" s="209" customFormat="1" ht="11.25" customHeight="1">
      <c r="A79" s="591"/>
      <c r="B79" s="65"/>
      <c r="C79" s="65"/>
      <c r="K79" s="60"/>
      <c r="L79" s="65"/>
      <c r="M79" s="65"/>
      <c r="N79" s="60"/>
      <c r="O79" s="60"/>
      <c r="P79" s="60"/>
      <c r="Q79" s="60"/>
      <c r="R79" s="65"/>
      <c r="S79" s="60"/>
      <c r="T79" s="60"/>
      <c r="U79" s="320"/>
      <c r="V79" s="60"/>
      <c r="W79" s="60"/>
      <c r="X79" s="60"/>
      <c r="Y79" s="60"/>
      <c r="Z79" s="60"/>
      <c r="AA79" s="6"/>
      <c r="AB79" s="139"/>
      <c r="AC79" s="139"/>
      <c r="AD79" s="139"/>
      <c r="AE79" s="139"/>
    </row>
    <row r="80" spans="1:31" s="209" customFormat="1" ht="11.25" customHeight="1">
      <c r="A80" s="591"/>
      <c r="B80" s="65"/>
      <c r="C80" s="65"/>
      <c r="K80" s="60"/>
      <c r="L80" s="65"/>
      <c r="M80" s="65"/>
      <c r="N80" s="60"/>
      <c r="O80" s="60"/>
      <c r="P80" s="60"/>
      <c r="Q80" s="60"/>
      <c r="R80" s="65"/>
      <c r="S80" s="60"/>
      <c r="T80" s="60"/>
      <c r="U80" s="320"/>
      <c r="V80" s="60"/>
      <c r="W80" s="60"/>
      <c r="X80" s="60"/>
      <c r="Y80" s="60"/>
      <c r="Z80" s="60"/>
      <c r="AA80" s="6"/>
      <c r="AB80" s="139"/>
      <c r="AC80" s="139"/>
      <c r="AD80" s="139"/>
      <c r="AE80" s="139"/>
    </row>
    <row r="81" spans="1:31" s="209" customFormat="1" ht="11.25" customHeight="1">
      <c r="A81" s="591"/>
      <c r="B81" s="65"/>
      <c r="C81" s="65"/>
      <c r="K81" s="60"/>
      <c r="L81" s="65"/>
      <c r="M81" s="65"/>
      <c r="N81" s="60"/>
      <c r="O81" s="60"/>
      <c r="P81" s="60"/>
      <c r="Q81" s="60"/>
      <c r="R81" s="65"/>
      <c r="S81" s="60"/>
      <c r="T81" s="60"/>
      <c r="U81" s="320"/>
      <c r="V81" s="60"/>
      <c r="W81" s="60"/>
      <c r="X81" s="60"/>
      <c r="Y81" s="60"/>
      <c r="Z81" s="60"/>
      <c r="AA81" s="6"/>
      <c r="AB81" s="139"/>
      <c r="AC81" s="139"/>
      <c r="AD81" s="139"/>
      <c r="AE81" s="139"/>
    </row>
    <row r="82" spans="1:31" s="209" customFormat="1" ht="11.25" customHeight="1">
      <c r="A82" s="591"/>
      <c r="B82" s="65"/>
      <c r="C82" s="65"/>
      <c r="K82" s="60"/>
      <c r="L82" s="65"/>
      <c r="M82" s="65"/>
      <c r="N82" s="60"/>
      <c r="O82" s="60"/>
      <c r="P82" s="60"/>
      <c r="Q82" s="60"/>
      <c r="R82" s="65"/>
      <c r="S82" s="60"/>
      <c r="T82" s="60"/>
      <c r="U82" s="320"/>
      <c r="V82" s="60"/>
      <c r="W82" s="60"/>
      <c r="X82" s="60"/>
      <c r="Y82" s="60"/>
      <c r="Z82" s="60"/>
      <c r="AA82" s="6"/>
      <c r="AB82" s="139"/>
      <c r="AC82" s="139"/>
      <c r="AD82" s="139"/>
      <c r="AE82" s="139"/>
    </row>
    <row r="83" spans="1:31" s="209" customFormat="1" ht="11.25" customHeight="1">
      <c r="A83" s="591"/>
      <c r="B83" s="65"/>
      <c r="C83" s="65"/>
      <c r="K83" s="60"/>
      <c r="L83" s="65"/>
      <c r="M83" s="65"/>
      <c r="N83" s="60"/>
      <c r="O83" s="60"/>
      <c r="P83" s="60"/>
      <c r="Q83" s="60"/>
      <c r="R83" s="65"/>
      <c r="S83" s="60"/>
      <c r="T83" s="60"/>
      <c r="U83" s="320"/>
      <c r="V83" s="60"/>
      <c r="W83" s="60"/>
      <c r="X83" s="60"/>
      <c r="Y83" s="60"/>
      <c r="Z83" s="60"/>
      <c r="AA83" s="6"/>
      <c r="AB83" s="139"/>
      <c r="AC83" s="139"/>
      <c r="AD83" s="139"/>
      <c r="AE83" s="139"/>
    </row>
    <row r="84" spans="1:31" s="209" customFormat="1" ht="11.25" customHeight="1">
      <c r="A84" s="591"/>
      <c r="B84" s="65"/>
      <c r="C84" s="65"/>
      <c r="K84" s="60"/>
      <c r="L84" s="65"/>
      <c r="M84" s="65"/>
      <c r="N84" s="60"/>
      <c r="O84" s="60"/>
      <c r="P84" s="60"/>
      <c r="Q84" s="60"/>
      <c r="R84" s="65"/>
      <c r="S84" s="60"/>
      <c r="T84" s="60"/>
      <c r="U84" s="320"/>
      <c r="V84" s="60"/>
      <c r="W84" s="60"/>
      <c r="X84" s="60"/>
      <c r="Y84" s="60"/>
      <c r="Z84" s="60"/>
      <c r="AA84" s="6"/>
      <c r="AB84" s="139"/>
      <c r="AC84" s="139"/>
      <c r="AD84" s="139"/>
      <c r="AE84" s="139"/>
    </row>
    <row r="85" spans="1:31" s="209" customFormat="1" ht="11.25" customHeight="1">
      <c r="A85" s="591"/>
      <c r="B85" s="65"/>
      <c r="C85" s="65"/>
      <c r="K85" s="60"/>
      <c r="L85" s="65"/>
      <c r="M85" s="65"/>
      <c r="N85" s="60"/>
      <c r="O85" s="60"/>
      <c r="P85" s="60"/>
      <c r="Q85" s="60"/>
      <c r="R85" s="65"/>
      <c r="S85" s="60"/>
      <c r="T85" s="60"/>
      <c r="U85" s="320"/>
      <c r="V85" s="60"/>
      <c r="W85" s="60"/>
      <c r="X85" s="60"/>
      <c r="Y85" s="60"/>
      <c r="Z85" s="60"/>
      <c r="AA85" s="6"/>
      <c r="AB85" s="139"/>
      <c r="AC85" s="139"/>
      <c r="AD85" s="139"/>
      <c r="AE85" s="139"/>
    </row>
    <row r="86" spans="1:31" s="209" customFormat="1" ht="11.25" customHeight="1">
      <c r="A86" s="591"/>
      <c r="B86" s="65"/>
      <c r="C86" s="65"/>
      <c r="K86" s="60"/>
      <c r="L86" s="65"/>
      <c r="M86" s="65"/>
      <c r="N86" s="60"/>
      <c r="O86" s="60"/>
      <c r="P86" s="60"/>
      <c r="Q86" s="60"/>
      <c r="R86" s="65"/>
      <c r="S86" s="60"/>
      <c r="T86" s="60"/>
      <c r="U86" s="320"/>
      <c r="V86" s="60"/>
      <c r="W86" s="60"/>
      <c r="X86" s="60"/>
      <c r="Y86" s="60"/>
      <c r="Z86" s="60"/>
      <c r="AA86" s="6"/>
      <c r="AB86" s="139"/>
      <c r="AC86" s="139"/>
      <c r="AD86" s="139"/>
      <c r="AE86" s="139"/>
    </row>
    <row r="87" spans="1:31" s="209" customFormat="1" ht="11.25" customHeight="1">
      <c r="A87" s="591"/>
      <c r="B87" s="65"/>
      <c r="C87" s="65"/>
      <c r="K87" s="60"/>
      <c r="L87" s="65"/>
      <c r="M87" s="65"/>
      <c r="N87" s="60"/>
      <c r="O87" s="60"/>
      <c r="P87" s="60"/>
      <c r="Q87" s="60"/>
      <c r="R87" s="65"/>
      <c r="S87" s="60"/>
      <c r="T87" s="60"/>
      <c r="U87" s="320"/>
      <c r="V87" s="60"/>
      <c r="W87" s="60"/>
      <c r="X87" s="60"/>
      <c r="Y87" s="60"/>
      <c r="Z87" s="60"/>
      <c r="AA87" s="6"/>
      <c r="AB87" s="139"/>
      <c r="AC87" s="139"/>
      <c r="AD87" s="139"/>
      <c r="AE87" s="139"/>
    </row>
    <row r="88" spans="1:31" s="209" customFormat="1" ht="11.25" customHeight="1">
      <c r="A88" s="591"/>
      <c r="B88" s="65"/>
      <c r="C88" s="65"/>
      <c r="K88" s="60"/>
      <c r="L88" s="65"/>
      <c r="M88" s="65"/>
      <c r="N88" s="60"/>
      <c r="O88" s="60"/>
      <c r="P88" s="60"/>
      <c r="Q88" s="60"/>
      <c r="R88" s="65"/>
      <c r="S88" s="60"/>
      <c r="T88" s="60"/>
      <c r="U88" s="320"/>
      <c r="V88" s="60"/>
      <c r="W88" s="60"/>
      <c r="X88" s="60"/>
      <c r="Y88" s="60"/>
      <c r="Z88" s="60"/>
      <c r="AA88" s="6"/>
      <c r="AB88" s="139"/>
      <c r="AC88" s="139"/>
      <c r="AD88" s="139"/>
      <c r="AE88" s="139"/>
    </row>
    <row r="89" spans="1:31" s="209" customFormat="1" ht="11.25" customHeight="1">
      <c r="A89" s="591"/>
      <c r="B89" s="65"/>
      <c r="C89" s="65"/>
      <c r="K89" s="60"/>
      <c r="L89" s="65"/>
      <c r="M89" s="65"/>
      <c r="N89" s="60"/>
      <c r="O89" s="60"/>
      <c r="P89" s="60"/>
      <c r="Q89" s="60"/>
      <c r="R89" s="65"/>
      <c r="S89" s="60"/>
      <c r="T89" s="60"/>
      <c r="U89" s="320"/>
      <c r="V89" s="60"/>
      <c r="W89" s="60"/>
      <c r="X89" s="60"/>
      <c r="Y89" s="60"/>
      <c r="Z89" s="60"/>
      <c r="AA89" s="6"/>
      <c r="AB89" s="139"/>
      <c r="AC89" s="139"/>
      <c r="AD89" s="139"/>
      <c r="AE89" s="139"/>
    </row>
    <row r="90" spans="1:31" s="209" customFormat="1" ht="11.25" customHeight="1">
      <c r="A90" s="591"/>
      <c r="B90" s="65"/>
      <c r="C90" s="65"/>
      <c r="K90" s="60"/>
      <c r="L90" s="65"/>
      <c r="M90" s="65"/>
      <c r="N90" s="60"/>
      <c r="O90" s="60"/>
      <c r="P90" s="60"/>
      <c r="Q90" s="60"/>
      <c r="R90" s="65"/>
      <c r="S90" s="60"/>
      <c r="T90" s="60"/>
      <c r="U90" s="320"/>
      <c r="V90" s="60"/>
      <c r="W90" s="60"/>
      <c r="X90" s="60"/>
      <c r="Y90" s="60"/>
      <c r="Z90" s="60"/>
      <c r="AA90" s="6"/>
      <c r="AB90" s="139"/>
      <c r="AC90" s="139"/>
      <c r="AD90" s="139"/>
      <c r="AE90" s="139"/>
    </row>
    <row r="91" spans="1:31" s="209" customFormat="1" ht="11.25" customHeight="1">
      <c r="A91" s="591"/>
      <c r="B91" s="65"/>
      <c r="C91" s="65"/>
      <c r="K91" s="60"/>
      <c r="L91" s="65"/>
      <c r="M91" s="65"/>
      <c r="N91" s="60"/>
      <c r="O91" s="60"/>
      <c r="P91" s="60"/>
      <c r="Q91" s="60"/>
      <c r="R91" s="65"/>
      <c r="S91" s="60"/>
      <c r="T91" s="60"/>
      <c r="U91" s="320"/>
      <c r="V91" s="60"/>
      <c r="W91" s="60"/>
      <c r="X91" s="60"/>
      <c r="Y91" s="60"/>
      <c r="Z91" s="60"/>
      <c r="AA91" s="6"/>
      <c r="AB91" s="139"/>
      <c r="AC91" s="139"/>
      <c r="AD91" s="139"/>
      <c r="AE91" s="139"/>
    </row>
    <row r="92" spans="1:31" s="209" customFormat="1" ht="11.25" customHeight="1">
      <c r="A92" s="591"/>
      <c r="B92" s="65"/>
      <c r="C92" s="65"/>
      <c r="K92" s="60"/>
      <c r="L92" s="65"/>
      <c r="M92" s="65"/>
      <c r="N92" s="60"/>
      <c r="O92" s="60"/>
      <c r="P92" s="60"/>
      <c r="Q92" s="60"/>
      <c r="R92" s="65"/>
      <c r="S92" s="60"/>
      <c r="T92" s="60"/>
      <c r="U92" s="320"/>
      <c r="V92" s="60"/>
      <c r="W92" s="60"/>
      <c r="X92" s="60"/>
      <c r="Y92" s="60"/>
      <c r="Z92" s="60"/>
      <c r="AA92" s="6"/>
      <c r="AB92" s="139"/>
      <c r="AC92" s="139"/>
      <c r="AD92" s="139"/>
      <c r="AE92" s="139"/>
    </row>
    <row r="93" spans="1:31" s="209" customFormat="1" ht="11.25" customHeight="1">
      <c r="A93" s="591"/>
      <c r="B93" s="65"/>
      <c r="C93" s="65"/>
      <c r="K93" s="60"/>
      <c r="L93" s="65"/>
      <c r="M93" s="65"/>
      <c r="N93" s="60"/>
      <c r="O93" s="60"/>
      <c r="P93" s="60"/>
      <c r="Q93" s="60"/>
      <c r="R93" s="65"/>
      <c r="S93" s="60"/>
      <c r="T93" s="60"/>
      <c r="U93" s="320"/>
      <c r="V93" s="60"/>
      <c r="W93" s="60"/>
      <c r="X93" s="60"/>
      <c r="Y93" s="60"/>
      <c r="Z93" s="60"/>
      <c r="AA93" s="6"/>
      <c r="AB93" s="139"/>
      <c r="AC93" s="139"/>
      <c r="AD93" s="139"/>
      <c r="AE93" s="139"/>
    </row>
    <row r="94" spans="1:31" s="209" customFormat="1" ht="11.25" customHeight="1">
      <c r="A94" s="591"/>
      <c r="B94" s="65"/>
      <c r="C94" s="65"/>
      <c r="K94" s="60"/>
      <c r="L94" s="65"/>
      <c r="M94" s="65"/>
      <c r="N94" s="60"/>
      <c r="O94" s="60"/>
      <c r="P94" s="60"/>
      <c r="Q94" s="60"/>
      <c r="R94" s="65"/>
      <c r="S94" s="60"/>
      <c r="T94" s="60"/>
      <c r="U94" s="320"/>
      <c r="V94" s="60"/>
      <c r="W94" s="60"/>
      <c r="X94" s="60"/>
      <c r="Y94" s="60"/>
      <c r="Z94" s="60"/>
      <c r="AA94" s="6"/>
      <c r="AB94" s="139"/>
      <c r="AC94" s="139"/>
      <c r="AD94" s="139"/>
      <c r="AE94" s="139"/>
    </row>
    <row r="95" spans="1:31" s="209" customFormat="1" ht="11.25" customHeight="1">
      <c r="A95" s="591"/>
      <c r="B95" s="65"/>
      <c r="C95" s="65"/>
      <c r="K95" s="60"/>
      <c r="L95" s="65"/>
      <c r="M95" s="65"/>
      <c r="N95" s="60"/>
      <c r="O95" s="60"/>
      <c r="P95" s="60"/>
      <c r="Q95" s="60"/>
      <c r="R95" s="65"/>
      <c r="S95" s="60"/>
      <c r="T95" s="60"/>
      <c r="U95" s="320"/>
      <c r="V95" s="60"/>
      <c r="W95" s="60"/>
      <c r="X95" s="60"/>
      <c r="Y95" s="60"/>
      <c r="Z95" s="60"/>
      <c r="AA95" s="6"/>
      <c r="AB95" s="139"/>
      <c r="AC95" s="139"/>
      <c r="AD95" s="139"/>
      <c r="AE95" s="139"/>
    </row>
    <row r="96" spans="1:31" s="209" customFormat="1" ht="11.25" customHeight="1">
      <c r="A96" s="591"/>
      <c r="B96" s="65"/>
      <c r="C96" s="65"/>
      <c r="K96" s="60"/>
      <c r="L96" s="65"/>
      <c r="M96" s="65"/>
      <c r="N96" s="60"/>
      <c r="O96" s="60"/>
      <c r="P96" s="60"/>
      <c r="Q96" s="60"/>
      <c r="R96" s="65"/>
      <c r="S96" s="60"/>
      <c r="T96" s="60"/>
      <c r="U96" s="320"/>
      <c r="V96" s="60"/>
      <c r="W96" s="60"/>
      <c r="X96" s="60"/>
      <c r="Y96" s="60"/>
      <c r="Z96" s="60"/>
      <c r="AA96" s="6"/>
      <c r="AB96" s="139"/>
      <c r="AC96" s="139"/>
      <c r="AD96" s="139"/>
      <c r="AE96" s="139"/>
    </row>
    <row r="97" spans="1:31" s="209" customFormat="1" ht="11.25" customHeight="1">
      <c r="A97" s="591"/>
      <c r="B97" s="65"/>
      <c r="C97" s="65"/>
      <c r="K97" s="60"/>
      <c r="L97" s="65"/>
      <c r="M97" s="65"/>
      <c r="N97" s="60"/>
      <c r="O97" s="60"/>
      <c r="P97" s="60"/>
      <c r="Q97" s="60"/>
      <c r="R97" s="65"/>
      <c r="S97" s="60"/>
      <c r="T97" s="60"/>
      <c r="U97" s="320"/>
      <c r="V97" s="60"/>
      <c r="W97" s="60"/>
      <c r="X97" s="60"/>
      <c r="Y97" s="60"/>
      <c r="Z97" s="60"/>
      <c r="AA97" s="6"/>
      <c r="AB97" s="139"/>
      <c r="AC97" s="139"/>
      <c r="AD97" s="139"/>
      <c r="AE97" s="139"/>
    </row>
    <row r="98" spans="1:31" s="209" customFormat="1" ht="11.25" customHeight="1">
      <c r="A98" s="591"/>
      <c r="B98" s="65"/>
      <c r="C98" s="65"/>
      <c r="K98" s="60"/>
      <c r="L98" s="65"/>
      <c r="M98" s="65"/>
      <c r="N98" s="60"/>
      <c r="O98" s="60"/>
      <c r="P98" s="60"/>
      <c r="Q98" s="60"/>
      <c r="R98" s="65"/>
      <c r="S98" s="60"/>
      <c r="T98" s="60"/>
      <c r="U98" s="320"/>
      <c r="V98" s="60"/>
      <c r="W98" s="60"/>
      <c r="X98" s="60"/>
      <c r="Y98" s="60"/>
      <c r="Z98" s="60"/>
      <c r="AA98" s="6"/>
      <c r="AB98" s="139"/>
      <c r="AC98" s="139"/>
      <c r="AD98" s="139"/>
      <c r="AE98" s="139"/>
    </row>
    <row r="99" spans="1:31" s="209" customFormat="1" ht="11.25" customHeight="1">
      <c r="A99" s="591"/>
      <c r="B99" s="65"/>
      <c r="C99" s="65"/>
      <c r="K99" s="60"/>
      <c r="L99" s="65"/>
      <c r="M99" s="65"/>
      <c r="N99" s="60"/>
      <c r="O99" s="60"/>
      <c r="P99" s="60"/>
      <c r="Q99" s="60"/>
      <c r="R99" s="65"/>
      <c r="S99" s="60"/>
      <c r="T99" s="60"/>
      <c r="U99" s="320"/>
      <c r="V99" s="60"/>
      <c r="W99" s="60"/>
      <c r="X99" s="60"/>
      <c r="Y99" s="60"/>
      <c r="Z99" s="60"/>
      <c r="AA99" s="6"/>
      <c r="AB99" s="139"/>
      <c r="AC99" s="139"/>
      <c r="AD99" s="139"/>
      <c r="AE99" s="139"/>
    </row>
    <row r="100" spans="1:31" s="209" customFormat="1" ht="11.25" customHeight="1">
      <c r="A100" s="591"/>
      <c r="B100" s="65"/>
      <c r="C100" s="65"/>
      <c r="K100" s="60"/>
      <c r="L100" s="65"/>
      <c r="M100" s="65"/>
      <c r="N100" s="60"/>
      <c r="O100" s="60"/>
      <c r="P100" s="60"/>
      <c r="Q100" s="60"/>
      <c r="R100" s="65"/>
      <c r="S100" s="60"/>
      <c r="T100" s="60"/>
      <c r="U100" s="320"/>
      <c r="V100" s="60"/>
      <c r="W100" s="60"/>
      <c r="X100" s="60"/>
      <c r="Y100" s="60"/>
      <c r="Z100" s="60"/>
      <c r="AA100" s="6"/>
      <c r="AB100" s="139"/>
      <c r="AC100" s="139"/>
      <c r="AD100" s="139"/>
      <c r="AE100" s="139"/>
    </row>
    <row r="101" spans="1:31" s="209" customFormat="1" ht="11.25" customHeight="1">
      <c r="A101" s="591"/>
      <c r="B101" s="65"/>
      <c r="C101" s="65"/>
      <c r="K101" s="60"/>
      <c r="L101" s="65"/>
      <c r="M101" s="65"/>
      <c r="N101" s="60"/>
      <c r="O101" s="60"/>
      <c r="P101" s="60"/>
      <c r="Q101" s="60"/>
      <c r="R101" s="65"/>
      <c r="S101" s="60"/>
      <c r="T101" s="60"/>
      <c r="U101" s="320"/>
      <c r="V101" s="60"/>
      <c r="W101" s="60"/>
      <c r="X101" s="60"/>
      <c r="Y101" s="60"/>
      <c r="Z101" s="60"/>
      <c r="AA101" s="6"/>
      <c r="AB101" s="139"/>
      <c r="AC101" s="139"/>
      <c r="AD101" s="139"/>
      <c r="AE101" s="139"/>
    </row>
    <row r="102" spans="1:31" s="209" customFormat="1" ht="11.25" customHeight="1">
      <c r="A102" s="591"/>
      <c r="B102" s="65"/>
      <c r="C102" s="65"/>
      <c r="K102" s="60"/>
      <c r="L102" s="65"/>
      <c r="M102" s="65"/>
      <c r="N102" s="60"/>
      <c r="O102" s="60"/>
      <c r="P102" s="60"/>
      <c r="Q102" s="60"/>
      <c r="R102" s="65"/>
      <c r="S102" s="60"/>
      <c r="T102" s="60"/>
      <c r="U102" s="320"/>
      <c r="V102" s="60"/>
      <c r="W102" s="60"/>
      <c r="X102" s="60"/>
      <c r="Y102" s="60"/>
      <c r="Z102" s="60"/>
      <c r="AA102" s="6"/>
      <c r="AB102" s="139"/>
      <c r="AC102" s="139"/>
      <c r="AD102" s="139"/>
      <c r="AE102" s="139"/>
    </row>
    <row r="103" spans="1:31" s="209" customFormat="1" ht="11.25" customHeight="1">
      <c r="A103" s="591"/>
      <c r="B103" s="65"/>
      <c r="C103" s="65"/>
      <c r="K103" s="60"/>
      <c r="L103" s="65"/>
      <c r="M103" s="65"/>
      <c r="N103" s="60"/>
      <c r="O103" s="60"/>
      <c r="P103" s="60"/>
      <c r="Q103" s="60"/>
      <c r="R103" s="65"/>
      <c r="S103" s="60"/>
      <c r="T103" s="60"/>
      <c r="U103" s="320"/>
      <c r="V103" s="60"/>
      <c r="W103" s="60"/>
      <c r="X103" s="60"/>
      <c r="Y103" s="60"/>
      <c r="Z103" s="60"/>
      <c r="AA103" s="6"/>
      <c r="AB103" s="139"/>
      <c r="AC103" s="139"/>
      <c r="AD103" s="139"/>
      <c r="AE103" s="139"/>
    </row>
    <row r="104" spans="1:31" s="209" customFormat="1" ht="11.25" customHeight="1">
      <c r="A104" s="591"/>
      <c r="B104" s="65"/>
      <c r="C104" s="65"/>
      <c r="K104" s="60"/>
      <c r="L104" s="65"/>
      <c r="M104" s="65"/>
      <c r="N104" s="60"/>
      <c r="O104" s="60"/>
      <c r="P104" s="60"/>
      <c r="Q104" s="60"/>
      <c r="R104" s="65"/>
      <c r="S104" s="60"/>
      <c r="T104" s="60"/>
      <c r="U104" s="320"/>
      <c r="V104" s="60"/>
      <c r="W104" s="60"/>
      <c r="X104" s="60"/>
      <c r="Y104" s="60"/>
      <c r="Z104" s="60"/>
      <c r="AA104" s="6"/>
      <c r="AB104" s="139"/>
      <c r="AC104" s="139"/>
      <c r="AD104" s="139"/>
      <c r="AE104" s="139"/>
    </row>
    <row r="105" spans="1:31" s="209" customFormat="1" ht="11.25" customHeight="1">
      <c r="A105" s="591"/>
      <c r="B105" s="65"/>
      <c r="C105" s="65"/>
      <c r="K105" s="60"/>
      <c r="L105" s="65"/>
      <c r="M105" s="65"/>
      <c r="N105" s="60"/>
      <c r="O105" s="60"/>
      <c r="P105" s="60"/>
      <c r="Q105" s="60"/>
      <c r="R105" s="65"/>
      <c r="S105" s="60"/>
      <c r="T105" s="60"/>
      <c r="U105" s="320"/>
      <c r="V105" s="60"/>
      <c r="W105" s="60"/>
      <c r="X105" s="60"/>
      <c r="Y105" s="60"/>
      <c r="Z105" s="60"/>
      <c r="AA105" s="6"/>
      <c r="AB105" s="139"/>
      <c r="AC105" s="139"/>
      <c r="AD105" s="139"/>
      <c r="AE105" s="139"/>
    </row>
    <row r="106" spans="1:31" s="209" customFormat="1" ht="11.25" customHeight="1">
      <c r="A106" s="591"/>
      <c r="B106" s="65"/>
      <c r="C106" s="65"/>
      <c r="K106" s="60"/>
      <c r="L106" s="65"/>
      <c r="M106" s="65"/>
      <c r="N106" s="60"/>
      <c r="O106" s="60"/>
      <c r="P106" s="60"/>
      <c r="Q106" s="60"/>
      <c r="R106" s="65"/>
      <c r="S106" s="60"/>
      <c r="T106" s="60"/>
      <c r="U106" s="320"/>
      <c r="V106" s="60"/>
      <c r="W106" s="60"/>
      <c r="X106" s="60"/>
      <c r="Y106" s="60"/>
      <c r="Z106" s="60"/>
      <c r="AA106" s="6"/>
      <c r="AB106" s="139"/>
      <c r="AC106" s="139"/>
      <c r="AD106" s="139"/>
      <c r="AE106" s="139"/>
    </row>
    <row r="107" spans="1:31" s="209" customFormat="1" ht="11.25" customHeight="1">
      <c r="A107" s="591"/>
      <c r="B107" s="65"/>
      <c r="C107" s="65"/>
      <c r="K107" s="60"/>
      <c r="L107" s="65"/>
      <c r="M107" s="65"/>
      <c r="N107" s="60"/>
      <c r="O107" s="60"/>
      <c r="P107" s="60"/>
      <c r="Q107" s="60"/>
      <c r="R107" s="65"/>
      <c r="S107" s="60"/>
      <c r="T107" s="60"/>
      <c r="U107" s="320"/>
      <c r="V107" s="60"/>
      <c r="W107" s="60"/>
      <c r="X107" s="60"/>
      <c r="Y107" s="60"/>
      <c r="Z107" s="60"/>
      <c r="AA107" s="6"/>
      <c r="AB107" s="139"/>
      <c r="AC107" s="139"/>
      <c r="AD107" s="139"/>
      <c r="AE107" s="139"/>
    </row>
    <row r="108" spans="1:31" s="209" customFormat="1" ht="11.25" customHeight="1">
      <c r="A108" s="591"/>
      <c r="B108" s="65"/>
      <c r="C108" s="65"/>
      <c r="K108" s="60"/>
      <c r="L108" s="65"/>
      <c r="M108" s="65"/>
      <c r="N108" s="60"/>
      <c r="O108" s="60"/>
      <c r="P108" s="60"/>
      <c r="Q108" s="60"/>
      <c r="R108" s="65"/>
      <c r="S108" s="60"/>
      <c r="T108" s="60"/>
      <c r="U108" s="320"/>
      <c r="V108" s="60"/>
      <c r="W108" s="60"/>
      <c r="X108" s="60"/>
      <c r="Y108" s="60"/>
      <c r="Z108" s="60"/>
      <c r="AA108" s="6"/>
      <c r="AB108" s="139"/>
      <c r="AC108" s="139"/>
      <c r="AD108" s="139"/>
      <c r="AE108" s="139"/>
    </row>
    <row r="109" spans="1:31" s="209" customFormat="1" ht="11.25" customHeight="1">
      <c r="A109" s="591"/>
      <c r="B109" s="65"/>
      <c r="C109" s="65"/>
      <c r="K109" s="60"/>
      <c r="L109" s="65"/>
      <c r="M109" s="65"/>
      <c r="N109" s="60"/>
      <c r="O109" s="60"/>
      <c r="P109" s="60"/>
      <c r="Q109" s="60"/>
      <c r="R109" s="65"/>
      <c r="S109" s="60"/>
      <c r="T109" s="60"/>
      <c r="U109" s="320"/>
      <c r="V109" s="60"/>
      <c r="W109" s="60"/>
      <c r="X109" s="60"/>
      <c r="Y109" s="60"/>
      <c r="Z109" s="60"/>
      <c r="AA109" s="6"/>
      <c r="AB109" s="139"/>
      <c r="AC109" s="139"/>
      <c r="AD109" s="139"/>
      <c r="AE109" s="139"/>
    </row>
    <row r="110" spans="1:31" s="209" customFormat="1" ht="11.25" customHeight="1">
      <c r="A110" s="591"/>
      <c r="B110" s="65"/>
      <c r="C110" s="65"/>
      <c r="K110" s="60"/>
      <c r="L110" s="65"/>
      <c r="M110" s="65"/>
      <c r="N110" s="60"/>
      <c r="O110" s="60"/>
      <c r="P110" s="60"/>
      <c r="Q110" s="60"/>
      <c r="R110" s="65"/>
      <c r="S110" s="60"/>
      <c r="T110" s="60"/>
      <c r="U110" s="320"/>
      <c r="V110" s="60"/>
      <c r="W110" s="60"/>
      <c r="X110" s="60"/>
      <c r="Y110" s="60"/>
      <c r="Z110" s="60"/>
      <c r="AA110" s="6"/>
      <c r="AB110" s="139"/>
      <c r="AC110" s="139"/>
      <c r="AD110" s="139"/>
      <c r="AE110" s="139"/>
    </row>
    <row r="111" spans="1:31" s="209" customFormat="1" ht="11.25" customHeight="1">
      <c r="A111" s="591"/>
      <c r="B111" s="65"/>
      <c r="C111" s="65"/>
      <c r="K111" s="60"/>
      <c r="L111" s="65"/>
      <c r="M111" s="65"/>
      <c r="N111" s="60"/>
      <c r="O111" s="60"/>
      <c r="P111" s="60"/>
      <c r="Q111" s="60"/>
      <c r="R111" s="65"/>
      <c r="S111" s="60"/>
      <c r="T111" s="60"/>
      <c r="U111" s="320"/>
      <c r="V111" s="60"/>
      <c r="W111" s="60"/>
      <c r="X111" s="60"/>
      <c r="Y111" s="60"/>
      <c r="Z111" s="60"/>
      <c r="AA111" s="6"/>
      <c r="AB111" s="139"/>
      <c r="AC111" s="139"/>
      <c r="AD111" s="139"/>
      <c r="AE111" s="139"/>
    </row>
    <row r="112" spans="1:31" s="209" customFormat="1" ht="11.25" customHeight="1">
      <c r="A112" s="591"/>
      <c r="B112" s="65"/>
      <c r="C112" s="65"/>
      <c r="K112" s="60"/>
      <c r="L112" s="65"/>
      <c r="M112" s="65"/>
      <c r="N112" s="60"/>
      <c r="O112" s="60"/>
      <c r="P112" s="60"/>
      <c r="Q112" s="60"/>
      <c r="R112" s="65"/>
      <c r="S112" s="60"/>
      <c r="T112" s="60"/>
      <c r="U112" s="320"/>
      <c r="V112" s="60"/>
      <c r="W112" s="60"/>
      <c r="X112" s="60"/>
      <c r="Y112" s="60"/>
      <c r="Z112" s="60"/>
      <c r="AA112" s="6"/>
      <c r="AB112" s="139"/>
      <c r="AC112" s="139"/>
      <c r="AD112" s="139"/>
      <c r="AE112" s="139"/>
    </row>
    <row r="113" spans="1:31" s="209" customFormat="1" ht="11.25" customHeight="1">
      <c r="A113" s="591"/>
      <c r="B113" s="65"/>
      <c r="C113" s="65"/>
      <c r="K113" s="60"/>
      <c r="L113" s="65"/>
      <c r="M113" s="65"/>
      <c r="N113" s="60"/>
      <c r="O113" s="60"/>
      <c r="P113" s="60"/>
      <c r="Q113" s="60"/>
      <c r="R113" s="65"/>
      <c r="S113" s="60"/>
      <c r="T113" s="60"/>
      <c r="U113" s="320"/>
      <c r="V113" s="60"/>
      <c r="W113" s="60"/>
      <c r="X113" s="60"/>
      <c r="Y113" s="60"/>
      <c r="Z113" s="60"/>
      <c r="AA113" s="6"/>
      <c r="AB113" s="139"/>
      <c r="AC113" s="139"/>
      <c r="AD113" s="139"/>
      <c r="AE113" s="139"/>
    </row>
    <row r="114" spans="1:31" s="209" customFormat="1" ht="11.25" customHeight="1">
      <c r="A114" s="591"/>
      <c r="B114" s="65"/>
      <c r="C114" s="65"/>
      <c r="K114" s="60"/>
      <c r="L114" s="65"/>
      <c r="M114" s="65"/>
      <c r="N114" s="60"/>
      <c r="O114" s="60"/>
      <c r="P114" s="60"/>
      <c r="Q114" s="60"/>
      <c r="R114" s="65"/>
      <c r="S114" s="60"/>
      <c r="T114" s="60"/>
      <c r="U114" s="320"/>
      <c r="V114" s="60"/>
      <c r="W114" s="60"/>
      <c r="X114" s="60"/>
      <c r="Y114" s="60"/>
      <c r="Z114" s="60"/>
      <c r="AA114" s="6"/>
      <c r="AB114" s="139"/>
      <c r="AC114" s="139"/>
      <c r="AD114" s="139"/>
      <c r="AE114" s="139"/>
    </row>
    <row r="115" spans="1:31" s="209" customFormat="1" ht="11.25" customHeight="1">
      <c r="A115" s="591"/>
      <c r="B115" s="65"/>
      <c r="C115" s="65"/>
      <c r="K115" s="60"/>
      <c r="L115" s="65"/>
      <c r="M115" s="65"/>
      <c r="N115" s="60"/>
      <c r="O115" s="60"/>
      <c r="P115" s="60"/>
      <c r="Q115" s="60"/>
      <c r="R115" s="65"/>
      <c r="S115" s="60"/>
      <c r="T115" s="60"/>
      <c r="U115" s="320"/>
      <c r="V115" s="60"/>
      <c r="W115" s="60"/>
      <c r="X115" s="60"/>
      <c r="Y115" s="60"/>
      <c r="Z115" s="60"/>
      <c r="AA115" s="6"/>
      <c r="AB115" s="139"/>
      <c r="AC115" s="139"/>
      <c r="AD115" s="139"/>
      <c r="AE115" s="139"/>
    </row>
    <row r="116" spans="1:31" s="209" customFormat="1" ht="11.25" customHeight="1">
      <c r="A116" s="591"/>
      <c r="B116" s="65"/>
      <c r="C116" s="65"/>
      <c r="K116" s="60"/>
      <c r="L116" s="65"/>
      <c r="M116" s="65"/>
      <c r="N116" s="60"/>
      <c r="O116" s="60"/>
      <c r="P116" s="60"/>
      <c r="Q116" s="60"/>
      <c r="R116" s="65"/>
      <c r="S116" s="60"/>
      <c r="T116" s="60"/>
      <c r="U116" s="320"/>
      <c r="V116" s="60"/>
      <c r="W116" s="60"/>
      <c r="X116" s="60"/>
      <c r="Y116" s="60"/>
      <c r="Z116" s="60"/>
      <c r="AA116" s="6"/>
      <c r="AB116" s="139"/>
      <c r="AC116" s="139"/>
      <c r="AD116" s="139"/>
      <c r="AE116" s="139"/>
    </row>
    <row r="117" spans="1:31" s="209" customFormat="1" ht="11.25" customHeight="1">
      <c r="A117" s="591"/>
      <c r="B117" s="65"/>
      <c r="C117" s="65"/>
      <c r="K117" s="60"/>
      <c r="L117" s="65"/>
      <c r="M117" s="65"/>
      <c r="N117" s="60"/>
      <c r="O117" s="60"/>
      <c r="P117" s="60"/>
      <c r="Q117" s="60"/>
      <c r="R117" s="65"/>
      <c r="S117" s="60"/>
      <c r="T117" s="60"/>
      <c r="U117" s="320"/>
      <c r="V117" s="60"/>
      <c r="W117" s="60"/>
      <c r="X117" s="60"/>
      <c r="Y117" s="60"/>
      <c r="Z117" s="60"/>
      <c r="AA117" s="6"/>
      <c r="AB117" s="139"/>
      <c r="AC117" s="139"/>
      <c r="AD117" s="139"/>
      <c r="AE117" s="139"/>
    </row>
    <row r="118" spans="1:31" s="209" customFormat="1" ht="11.25" customHeight="1">
      <c r="A118" s="591"/>
      <c r="B118" s="65"/>
      <c r="C118" s="65"/>
      <c r="K118" s="60"/>
      <c r="L118" s="65"/>
      <c r="M118" s="65"/>
      <c r="N118" s="60"/>
      <c r="O118" s="60"/>
      <c r="P118" s="60"/>
      <c r="Q118" s="60"/>
      <c r="R118" s="65"/>
      <c r="S118" s="60"/>
      <c r="T118" s="60"/>
      <c r="U118" s="320"/>
      <c r="V118" s="60"/>
      <c r="W118" s="60"/>
      <c r="X118" s="60"/>
      <c r="Y118" s="60"/>
      <c r="Z118" s="60"/>
      <c r="AA118" s="6"/>
      <c r="AB118" s="139"/>
      <c r="AC118" s="139"/>
      <c r="AD118" s="139"/>
      <c r="AE118" s="139"/>
    </row>
    <row r="119" spans="1:31" s="209" customFormat="1" ht="11.25" customHeight="1">
      <c r="A119" s="591"/>
      <c r="B119" s="65"/>
      <c r="C119" s="65"/>
      <c r="K119" s="60"/>
      <c r="L119" s="65"/>
      <c r="M119" s="65"/>
      <c r="N119" s="60"/>
      <c r="O119" s="60"/>
      <c r="P119" s="60"/>
      <c r="Q119" s="60"/>
      <c r="R119" s="65"/>
      <c r="S119" s="60"/>
      <c r="T119" s="60"/>
      <c r="U119" s="320"/>
      <c r="V119" s="60"/>
      <c r="W119" s="60"/>
      <c r="X119" s="60"/>
      <c r="Y119" s="60"/>
      <c r="Z119" s="60"/>
      <c r="AA119" s="6"/>
      <c r="AB119" s="139"/>
      <c r="AC119" s="139"/>
      <c r="AD119" s="139"/>
      <c r="AE119" s="139"/>
    </row>
    <row r="120" spans="1:31" s="209" customFormat="1" ht="11.25" customHeight="1">
      <c r="A120" s="591"/>
      <c r="B120" s="65"/>
      <c r="C120" s="65"/>
      <c r="K120" s="60"/>
      <c r="L120" s="65"/>
      <c r="M120" s="65"/>
      <c r="N120" s="60"/>
      <c r="O120" s="60"/>
      <c r="P120" s="60"/>
      <c r="Q120" s="60"/>
      <c r="R120" s="65"/>
      <c r="S120" s="60"/>
      <c r="T120" s="60"/>
      <c r="U120" s="320"/>
      <c r="V120" s="60"/>
      <c r="W120" s="60"/>
      <c r="X120" s="60"/>
      <c r="Y120" s="60"/>
      <c r="Z120" s="60"/>
      <c r="AA120" s="6"/>
      <c r="AB120" s="139"/>
      <c r="AC120" s="139"/>
      <c r="AD120" s="139"/>
      <c r="AE120" s="139"/>
    </row>
    <row r="121" spans="1:31" s="209" customFormat="1" ht="11.25" customHeight="1">
      <c r="A121" s="591"/>
      <c r="B121" s="65"/>
      <c r="C121" s="65"/>
      <c r="K121" s="60"/>
      <c r="L121" s="65"/>
      <c r="M121" s="65"/>
      <c r="N121" s="60"/>
      <c r="O121" s="60"/>
      <c r="P121" s="60"/>
      <c r="Q121" s="60"/>
      <c r="R121" s="65"/>
      <c r="S121" s="60"/>
      <c r="T121" s="60"/>
      <c r="U121" s="320"/>
      <c r="V121" s="60"/>
      <c r="W121" s="60"/>
      <c r="X121" s="60"/>
      <c r="Y121" s="60"/>
      <c r="Z121" s="60"/>
      <c r="AA121" s="6"/>
      <c r="AB121" s="139"/>
      <c r="AC121" s="139"/>
      <c r="AD121" s="139"/>
      <c r="AE121" s="139"/>
    </row>
    <row r="122" spans="1:31" s="209" customFormat="1" ht="11.25" customHeight="1">
      <c r="A122" s="591"/>
      <c r="B122" s="65"/>
      <c r="C122" s="65"/>
      <c r="K122" s="60"/>
      <c r="L122" s="65"/>
      <c r="M122" s="65"/>
      <c r="N122" s="60"/>
      <c r="O122" s="60"/>
      <c r="P122" s="60"/>
      <c r="Q122" s="60"/>
      <c r="R122" s="65"/>
      <c r="S122" s="60"/>
      <c r="T122" s="60"/>
      <c r="U122" s="320"/>
      <c r="V122" s="60"/>
      <c r="W122" s="60"/>
      <c r="X122" s="60"/>
      <c r="Y122" s="60"/>
      <c r="Z122" s="60"/>
      <c r="AA122" s="6"/>
      <c r="AB122" s="139"/>
      <c r="AC122" s="139"/>
      <c r="AD122" s="139"/>
      <c r="AE122" s="139"/>
    </row>
    <row r="123" spans="1:31" s="209" customFormat="1" ht="11.25" customHeight="1">
      <c r="A123" s="591"/>
      <c r="B123" s="65"/>
      <c r="C123" s="65"/>
      <c r="K123" s="60"/>
      <c r="L123" s="65"/>
      <c r="M123" s="65"/>
      <c r="N123" s="60"/>
      <c r="O123" s="60"/>
      <c r="P123" s="60"/>
      <c r="Q123" s="60"/>
      <c r="R123" s="65"/>
      <c r="S123" s="60"/>
      <c r="T123" s="60"/>
      <c r="U123" s="320"/>
      <c r="V123" s="60"/>
      <c r="W123" s="60"/>
      <c r="X123" s="60"/>
      <c r="Y123" s="60"/>
      <c r="Z123" s="60"/>
      <c r="AA123" s="6"/>
      <c r="AB123" s="139"/>
      <c r="AC123" s="139"/>
      <c r="AD123" s="139"/>
      <c r="AE123" s="139"/>
    </row>
    <row r="124" spans="1:31" s="209" customFormat="1" ht="11.25" customHeight="1">
      <c r="A124" s="591"/>
      <c r="B124" s="65"/>
      <c r="C124" s="65"/>
      <c r="K124" s="60"/>
      <c r="L124" s="65"/>
      <c r="M124" s="65"/>
      <c r="N124" s="60"/>
      <c r="O124" s="60"/>
      <c r="P124" s="60"/>
      <c r="Q124" s="60"/>
      <c r="R124" s="65"/>
      <c r="S124" s="60"/>
      <c r="T124" s="60"/>
      <c r="U124" s="320"/>
      <c r="V124" s="60"/>
      <c r="W124" s="60"/>
      <c r="X124" s="60"/>
      <c r="Y124" s="60"/>
      <c r="Z124" s="60"/>
      <c r="AA124" s="6"/>
      <c r="AB124" s="139"/>
      <c r="AC124" s="139"/>
      <c r="AD124" s="139"/>
      <c r="AE124" s="139"/>
    </row>
    <row r="125" spans="1:31" s="209" customFormat="1" ht="11.25" customHeight="1">
      <c r="A125" s="591"/>
      <c r="B125" s="65"/>
      <c r="C125" s="65"/>
      <c r="K125" s="60"/>
      <c r="L125" s="65"/>
      <c r="M125" s="65"/>
      <c r="N125" s="60"/>
      <c r="O125" s="60"/>
      <c r="P125" s="60"/>
      <c r="Q125" s="60"/>
      <c r="R125" s="65"/>
      <c r="S125" s="60"/>
      <c r="T125" s="60"/>
      <c r="U125" s="320"/>
      <c r="V125" s="60"/>
      <c r="W125" s="60"/>
      <c r="X125" s="60"/>
      <c r="Y125" s="60"/>
      <c r="Z125" s="60"/>
      <c r="AA125" s="6"/>
      <c r="AB125" s="139"/>
      <c r="AC125" s="139"/>
      <c r="AD125" s="139"/>
      <c r="AE125" s="139"/>
    </row>
    <row r="126" spans="1:31" s="209" customFormat="1" ht="11.25" customHeight="1">
      <c r="A126" s="591"/>
      <c r="B126" s="65"/>
      <c r="C126" s="65"/>
      <c r="K126" s="60"/>
      <c r="L126" s="65"/>
      <c r="M126" s="65"/>
      <c r="N126" s="60"/>
      <c r="O126" s="60"/>
      <c r="P126" s="60"/>
      <c r="Q126" s="60"/>
      <c r="R126" s="65"/>
      <c r="S126" s="60"/>
      <c r="T126" s="60"/>
      <c r="U126" s="320"/>
      <c r="V126" s="60"/>
      <c r="W126" s="60"/>
      <c r="X126" s="60"/>
      <c r="Y126" s="60"/>
      <c r="Z126" s="60"/>
      <c r="AA126" s="6"/>
      <c r="AB126" s="139"/>
      <c r="AC126" s="139"/>
      <c r="AD126" s="139"/>
      <c r="AE126" s="139"/>
    </row>
    <row r="127" spans="1:31" s="209" customFormat="1" ht="11.25" customHeight="1">
      <c r="A127" s="591"/>
      <c r="B127" s="65"/>
      <c r="C127" s="65"/>
      <c r="K127" s="60"/>
      <c r="L127" s="65"/>
      <c r="M127" s="65"/>
      <c r="N127" s="60"/>
      <c r="O127" s="60"/>
      <c r="P127" s="60"/>
      <c r="Q127" s="60"/>
      <c r="R127" s="65"/>
      <c r="S127" s="60"/>
      <c r="T127" s="60"/>
      <c r="U127" s="320"/>
      <c r="V127" s="60"/>
      <c r="W127" s="60"/>
      <c r="X127" s="60"/>
      <c r="Y127" s="60"/>
      <c r="Z127" s="60"/>
      <c r="AA127" s="6"/>
      <c r="AB127" s="139"/>
      <c r="AC127" s="139"/>
      <c r="AD127" s="139"/>
      <c r="AE127" s="139"/>
    </row>
    <row r="128" spans="1:31" s="209" customFormat="1" ht="11.25" customHeight="1">
      <c r="A128" s="591"/>
      <c r="B128" s="65"/>
      <c r="C128" s="65"/>
      <c r="K128" s="60"/>
      <c r="L128" s="65"/>
      <c r="M128" s="65"/>
      <c r="N128" s="60"/>
      <c r="O128" s="60"/>
      <c r="P128" s="60"/>
      <c r="Q128" s="60"/>
      <c r="R128" s="65"/>
      <c r="S128" s="60"/>
      <c r="T128" s="60"/>
      <c r="U128" s="320"/>
      <c r="V128" s="60"/>
      <c r="W128" s="60"/>
      <c r="X128" s="60"/>
      <c r="Y128" s="60"/>
      <c r="Z128" s="60"/>
      <c r="AA128" s="6"/>
      <c r="AB128" s="139"/>
      <c r="AC128" s="139"/>
      <c r="AD128" s="139"/>
      <c r="AE128" s="139"/>
    </row>
    <row r="129" spans="1:31" s="209" customFormat="1" ht="11.25" customHeight="1">
      <c r="A129" s="591"/>
      <c r="B129" s="65"/>
      <c r="C129" s="65"/>
      <c r="K129" s="60"/>
      <c r="L129" s="65"/>
      <c r="M129" s="65"/>
      <c r="N129" s="60"/>
      <c r="O129" s="60"/>
      <c r="P129" s="60"/>
      <c r="Q129" s="60"/>
      <c r="R129" s="65"/>
      <c r="S129" s="60"/>
      <c r="T129" s="60"/>
      <c r="U129" s="320"/>
      <c r="V129" s="60"/>
      <c r="W129" s="60"/>
      <c r="X129" s="60"/>
      <c r="Y129" s="60"/>
      <c r="Z129" s="60"/>
      <c r="AA129" s="6"/>
      <c r="AB129" s="139"/>
      <c r="AC129" s="139"/>
      <c r="AD129" s="139"/>
      <c r="AE129" s="139"/>
    </row>
    <row r="130" spans="1:31" s="209" customFormat="1" ht="11.25" customHeight="1">
      <c r="A130" s="591"/>
      <c r="B130" s="65"/>
      <c r="C130" s="65"/>
      <c r="K130" s="60"/>
      <c r="L130" s="65"/>
      <c r="M130" s="65"/>
      <c r="N130" s="60"/>
      <c r="O130" s="60"/>
      <c r="P130" s="60"/>
      <c r="Q130" s="60"/>
      <c r="R130" s="65"/>
      <c r="S130" s="60"/>
      <c r="T130" s="60"/>
      <c r="U130" s="320"/>
      <c r="V130" s="60"/>
      <c r="W130" s="60"/>
      <c r="X130" s="60"/>
      <c r="Y130" s="60"/>
      <c r="Z130" s="60"/>
      <c r="AA130" s="6"/>
      <c r="AB130" s="139"/>
      <c r="AC130" s="139"/>
      <c r="AD130" s="139"/>
      <c r="AE130" s="139"/>
    </row>
    <row r="131" spans="1:31" s="209" customFormat="1" ht="11.25" customHeight="1">
      <c r="A131" s="591"/>
      <c r="B131" s="65"/>
      <c r="C131" s="65"/>
      <c r="K131" s="60"/>
      <c r="L131" s="65"/>
      <c r="M131" s="65"/>
      <c r="N131" s="60"/>
      <c r="O131" s="60"/>
      <c r="P131" s="60"/>
      <c r="Q131" s="60"/>
      <c r="R131" s="65"/>
      <c r="S131" s="60"/>
      <c r="T131" s="60"/>
      <c r="U131" s="320"/>
      <c r="V131" s="60"/>
      <c r="W131" s="60"/>
      <c r="X131" s="60"/>
      <c r="Y131" s="60"/>
      <c r="Z131" s="60"/>
      <c r="AA131" s="6"/>
      <c r="AB131" s="139"/>
      <c r="AC131" s="139"/>
      <c r="AD131" s="139"/>
      <c r="AE131" s="139"/>
    </row>
    <row r="132" spans="1:31" s="209" customFormat="1" ht="11.25" customHeight="1">
      <c r="A132" s="591"/>
      <c r="B132" s="65"/>
      <c r="C132" s="65"/>
      <c r="K132" s="60"/>
      <c r="L132" s="65"/>
      <c r="M132" s="65"/>
      <c r="N132" s="60"/>
      <c r="O132" s="60"/>
      <c r="P132" s="60"/>
      <c r="Q132" s="60"/>
      <c r="R132" s="65"/>
      <c r="S132" s="60"/>
      <c r="T132" s="60"/>
      <c r="U132" s="320"/>
      <c r="V132" s="60"/>
      <c r="W132" s="60"/>
      <c r="X132" s="60"/>
      <c r="Y132" s="60"/>
      <c r="Z132" s="60"/>
      <c r="AA132" s="6"/>
      <c r="AB132" s="139"/>
      <c r="AC132" s="139"/>
      <c r="AD132" s="139"/>
      <c r="AE132" s="139"/>
    </row>
    <row r="133" spans="1:31" s="209" customFormat="1" ht="11.25" customHeight="1">
      <c r="A133" s="591"/>
      <c r="B133" s="65"/>
      <c r="C133" s="65"/>
      <c r="K133" s="60"/>
      <c r="L133" s="65"/>
      <c r="M133" s="65"/>
      <c r="N133" s="60"/>
      <c r="O133" s="60"/>
      <c r="P133" s="60"/>
      <c r="Q133" s="60"/>
      <c r="R133" s="65"/>
      <c r="S133" s="60"/>
      <c r="T133" s="60"/>
      <c r="U133" s="320"/>
      <c r="V133" s="60"/>
      <c r="W133" s="60"/>
      <c r="X133" s="60"/>
      <c r="Y133" s="60"/>
      <c r="Z133" s="60"/>
      <c r="AA133" s="6"/>
      <c r="AB133" s="139"/>
      <c r="AC133" s="139"/>
      <c r="AD133" s="139"/>
      <c r="AE133" s="139"/>
    </row>
    <row r="134" spans="1:31" s="209" customFormat="1" ht="11.25" customHeight="1">
      <c r="A134" s="591"/>
      <c r="B134" s="65"/>
      <c r="C134" s="65"/>
      <c r="K134" s="60"/>
      <c r="L134" s="65"/>
      <c r="M134" s="65"/>
      <c r="N134" s="60"/>
      <c r="O134" s="60"/>
      <c r="P134" s="60"/>
      <c r="Q134" s="60"/>
      <c r="R134" s="65"/>
      <c r="S134" s="60"/>
      <c r="T134" s="60"/>
      <c r="U134" s="320"/>
      <c r="V134" s="60"/>
      <c r="W134" s="60"/>
      <c r="X134" s="60"/>
      <c r="Y134" s="60"/>
      <c r="Z134" s="60"/>
      <c r="AA134" s="6"/>
      <c r="AB134" s="139"/>
      <c r="AC134" s="139"/>
      <c r="AD134" s="139"/>
      <c r="AE134" s="139"/>
    </row>
    <row r="135" spans="1:31" s="209" customFormat="1" ht="11.25" customHeight="1">
      <c r="A135" s="591"/>
      <c r="B135" s="65"/>
      <c r="C135" s="65"/>
      <c r="K135" s="60"/>
      <c r="L135" s="65"/>
      <c r="M135" s="65"/>
      <c r="N135" s="60"/>
      <c r="O135" s="60"/>
      <c r="P135" s="60"/>
      <c r="Q135" s="60"/>
      <c r="R135" s="65"/>
      <c r="S135" s="60"/>
      <c r="T135" s="60"/>
      <c r="U135" s="320"/>
      <c r="V135" s="60"/>
      <c r="W135" s="60"/>
      <c r="X135" s="60"/>
      <c r="Y135" s="60"/>
      <c r="Z135" s="60"/>
      <c r="AA135" s="6"/>
      <c r="AB135" s="139"/>
      <c r="AC135" s="139"/>
      <c r="AD135" s="139"/>
      <c r="AE135" s="139"/>
    </row>
    <row r="136" spans="1:31" s="209" customFormat="1" ht="11.25" customHeight="1">
      <c r="A136" s="591"/>
      <c r="B136" s="65"/>
      <c r="C136" s="65"/>
      <c r="K136" s="60"/>
      <c r="L136" s="65"/>
      <c r="M136" s="65"/>
      <c r="N136" s="60"/>
      <c r="O136" s="60"/>
      <c r="P136" s="60"/>
      <c r="Q136" s="60"/>
      <c r="R136" s="65"/>
      <c r="S136" s="60"/>
      <c r="T136" s="60"/>
      <c r="U136" s="320"/>
      <c r="V136" s="60"/>
      <c r="W136" s="60"/>
      <c r="X136" s="60"/>
      <c r="Y136" s="60"/>
      <c r="Z136" s="60"/>
      <c r="AA136" s="6"/>
      <c r="AB136" s="139"/>
      <c r="AC136" s="139"/>
      <c r="AD136" s="139"/>
      <c r="AE136" s="139"/>
    </row>
    <row r="137" spans="1:31" s="209" customFormat="1" ht="11.25" customHeight="1">
      <c r="A137" s="591"/>
      <c r="B137" s="65"/>
      <c r="C137" s="65"/>
      <c r="K137" s="60"/>
      <c r="L137" s="65"/>
      <c r="M137" s="65"/>
      <c r="N137" s="60"/>
      <c r="O137" s="60"/>
      <c r="P137" s="60"/>
      <c r="Q137" s="60"/>
      <c r="R137" s="65"/>
      <c r="S137" s="60"/>
      <c r="T137" s="60"/>
      <c r="U137" s="320"/>
      <c r="V137" s="60"/>
      <c r="W137" s="60"/>
      <c r="X137" s="60"/>
      <c r="Y137" s="60"/>
      <c r="Z137" s="60"/>
      <c r="AA137" s="6"/>
      <c r="AB137" s="139"/>
      <c r="AC137" s="139"/>
      <c r="AD137" s="139"/>
      <c r="AE137" s="139"/>
    </row>
    <row r="138" spans="1:31" s="209" customFormat="1" ht="11.25" customHeight="1">
      <c r="A138" s="591"/>
      <c r="B138" s="65"/>
      <c r="C138" s="65"/>
      <c r="K138" s="60"/>
      <c r="L138" s="65"/>
      <c r="M138" s="65"/>
      <c r="N138" s="60"/>
      <c r="O138" s="60"/>
      <c r="P138" s="60"/>
      <c r="Q138" s="60"/>
      <c r="R138" s="65"/>
      <c r="S138" s="60"/>
      <c r="T138" s="60"/>
      <c r="U138" s="320"/>
      <c r="V138" s="60"/>
      <c r="W138" s="60"/>
      <c r="X138" s="60"/>
      <c r="Y138" s="60"/>
      <c r="Z138" s="60"/>
      <c r="AA138" s="6"/>
      <c r="AB138" s="139"/>
      <c r="AC138" s="139"/>
      <c r="AD138" s="139"/>
      <c r="AE138" s="139"/>
    </row>
    <row r="139" spans="1:31" s="209" customFormat="1" ht="11.25" customHeight="1">
      <c r="A139" s="591"/>
      <c r="B139" s="65"/>
      <c r="C139" s="65"/>
      <c r="K139" s="60"/>
      <c r="L139" s="65"/>
      <c r="M139" s="65"/>
      <c r="N139" s="60"/>
      <c r="O139" s="60"/>
      <c r="P139" s="60"/>
      <c r="Q139" s="60"/>
      <c r="R139" s="65"/>
      <c r="S139" s="60"/>
      <c r="T139" s="60"/>
      <c r="U139" s="320"/>
      <c r="V139" s="60"/>
      <c r="W139" s="60"/>
      <c r="X139" s="60"/>
      <c r="Y139" s="60"/>
      <c r="Z139" s="60"/>
      <c r="AA139" s="6"/>
      <c r="AB139" s="139"/>
      <c r="AC139" s="139"/>
      <c r="AD139" s="139"/>
      <c r="AE139" s="139"/>
    </row>
    <row r="140" spans="1:31" s="209" customFormat="1" ht="11.25" customHeight="1">
      <c r="A140" s="591"/>
      <c r="B140" s="65"/>
      <c r="C140" s="65"/>
      <c r="K140" s="60"/>
      <c r="L140" s="65"/>
      <c r="M140" s="65"/>
      <c r="N140" s="60"/>
      <c r="O140" s="60"/>
      <c r="P140" s="60"/>
      <c r="Q140" s="60"/>
      <c r="R140" s="65"/>
      <c r="S140" s="60"/>
      <c r="T140" s="60"/>
      <c r="U140" s="320"/>
      <c r="V140" s="60"/>
      <c r="W140" s="60"/>
      <c r="X140" s="60"/>
      <c r="Y140" s="60"/>
      <c r="Z140" s="60"/>
      <c r="AA140" s="6"/>
      <c r="AB140" s="139"/>
      <c r="AC140" s="139"/>
      <c r="AD140" s="139"/>
      <c r="AE140" s="139"/>
    </row>
    <row r="141" spans="1:31" s="209" customFormat="1" ht="11.25" customHeight="1">
      <c r="A141" s="591"/>
      <c r="B141" s="65"/>
      <c r="C141" s="65"/>
      <c r="K141" s="60"/>
      <c r="L141" s="65"/>
      <c r="M141" s="65"/>
      <c r="N141" s="60"/>
      <c r="O141" s="60"/>
      <c r="P141" s="60"/>
      <c r="Q141" s="60"/>
      <c r="R141" s="65"/>
      <c r="S141" s="60"/>
      <c r="T141" s="60"/>
      <c r="U141" s="320"/>
      <c r="V141" s="60"/>
      <c r="W141" s="60"/>
      <c r="X141" s="60"/>
      <c r="Y141" s="60"/>
      <c r="Z141" s="60"/>
      <c r="AA141" s="6"/>
      <c r="AB141" s="139"/>
      <c r="AC141" s="139"/>
      <c r="AD141" s="139"/>
      <c r="AE141" s="139"/>
    </row>
    <row r="142" spans="1:31" s="209" customFormat="1" ht="11.25" customHeight="1">
      <c r="A142" s="591"/>
      <c r="B142" s="65"/>
      <c r="C142" s="65"/>
      <c r="K142" s="60"/>
      <c r="L142" s="65"/>
      <c r="M142" s="65"/>
      <c r="N142" s="60"/>
      <c r="O142" s="60"/>
      <c r="P142" s="60"/>
      <c r="Q142" s="60"/>
      <c r="R142" s="65"/>
      <c r="S142" s="60"/>
      <c r="T142" s="60"/>
      <c r="U142" s="320"/>
      <c r="V142" s="60"/>
      <c r="W142" s="60"/>
      <c r="X142" s="60"/>
      <c r="Y142" s="60"/>
      <c r="Z142" s="60"/>
      <c r="AA142" s="6"/>
      <c r="AB142" s="139"/>
      <c r="AC142" s="139"/>
      <c r="AD142" s="139"/>
      <c r="AE142" s="139"/>
    </row>
    <row r="143" spans="1:31" s="209" customFormat="1" ht="11.25" customHeight="1">
      <c r="A143" s="591"/>
      <c r="B143" s="65"/>
      <c r="C143" s="65"/>
      <c r="K143" s="60"/>
      <c r="L143" s="65"/>
      <c r="M143" s="65"/>
      <c r="N143" s="60"/>
      <c r="O143" s="60"/>
      <c r="P143" s="60"/>
      <c r="Q143" s="60"/>
      <c r="R143" s="65"/>
      <c r="S143" s="60"/>
      <c r="T143" s="60"/>
      <c r="U143" s="320"/>
      <c r="V143" s="60"/>
      <c r="W143" s="60"/>
      <c r="X143" s="60"/>
      <c r="Y143" s="60"/>
      <c r="Z143" s="60"/>
      <c r="AA143" s="6"/>
      <c r="AB143" s="139"/>
      <c r="AC143" s="139"/>
      <c r="AD143" s="139"/>
      <c r="AE143" s="139"/>
    </row>
    <row r="144" spans="1:31" s="209" customFormat="1" ht="11.25" customHeight="1">
      <c r="A144" s="591"/>
      <c r="B144" s="65"/>
      <c r="C144" s="65"/>
      <c r="K144" s="60"/>
      <c r="L144" s="65"/>
      <c r="M144" s="65"/>
      <c r="N144" s="60"/>
      <c r="O144" s="60"/>
      <c r="P144" s="60"/>
      <c r="Q144" s="60"/>
      <c r="R144" s="65"/>
      <c r="S144" s="60"/>
      <c r="T144" s="60"/>
      <c r="U144" s="320"/>
      <c r="V144" s="60"/>
      <c r="W144" s="60"/>
      <c r="X144" s="60"/>
      <c r="Y144" s="60"/>
      <c r="Z144" s="60"/>
      <c r="AA144" s="6"/>
      <c r="AB144" s="139"/>
      <c r="AC144" s="139"/>
      <c r="AD144" s="139"/>
      <c r="AE144" s="139"/>
    </row>
    <row r="145" spans="1:31" s="209" customFormat="1" ht="11.25" customHeight="1">
      <c r="A145" s="591"/>
      <c r="B145" s="65"/>
      <c r="C145" s="65"/>
      <c r="K145" s="60"/>
      <c r="L145" s="65"/>
      <c r="M145" s="65"/>
      <c r="N145" s="60"/>
      <c r="O145" s="60"/>
      <c r="P145" s="60"/>
      <c r="Q145" s="60"/>
      <c r="R145" s="65"/>
      <c r="S145" s="60"/>
      <c r="T145" s="60"/>
      <c r="U145" s="320"/>
      <c r="V145" s="60"/>
      <c r="W145" s="60"/>
      <c r="X145" s="60"/>
      <c r="Y145" s="60"/>
      <c r="Z145" s="60"/>
      <c r="AA145" s="6"/>
      <c r="AB145" s="139"/>
      <c r="AC145" s="139"/>
      <c r="AD145" s="139"/>
      <c r="AE145" s="139"/>
    </row>
    <row r="146" spans="1:31" s="209" customFormat="1" ht="11.25" customHeight="1">
      <c r="A146" s="591"/>
      <c r="B146" s="65"/>
      <c r="C146" s="65"/>
      <c r="K146" s="60"/>
      <c r="L146" s="65"/>
      <c r="M146" s="65"/>
      <c r="N146" s="60"/>
      <c r="O146" s="60"/>
      <c r="P146" s="60"/>
      <c r="Q146" s="60"/>
      <c r="R146" s="65"/>
      <c r="S146" s="60"/>
      <c r="T146" s="60"/>
      <c r="U146" s="320"/>
      <c r="V146" s="60"/>
      <c r="W146" s="60"/>
      <c r="X146" s="60"/>
      <c r="Y146" s="60"/>
      <c r="Z146" s="60"/>
      <c r="AA146" s="6"/>
      <c r="AB146" s="139"/>
      <c r="AC146" s="139"/>
      <c r="AD146" s="139"/>
      <c r="AE146" s="139"/>
    </row>
    <row r="147" spans="1:31" s="209" customFormat="1" ht="11.25" customHeight="1">
      <c r="A147" s="591"/>
      <c r="B147" s="65"/>
      <c r="C147" s="65"/>
      <c r="K147" s="60"/>
      <c r="L147" s="65"/>
      <c r="M147" s="65"/>
      <c r="N147" s="60"/>
      <c r="O147" s="60"/>
      <c r="P147" s="60"/>
      <c r="Q147" s="60"/>
      <c r="R147" s="65"/>
      <c r="S147" s="60"/>
      <c r="T147" s="60"/>
      <c r="U147" s="320"/>
      <c r="V147" s="60"/>
      <c r="W147" s="60"/>
      <c r="X147" s="60"/>
      <c r="Y147" s="60"/>
      <c r="Z147" s="60"/>
      <c r="AA147" s="6"/>
      <c r="AB147" s="139"/>
      <c r="AC147" s="139"/>
      <c r="AD147" s="139"/>
      <c r="AE147" s="139"/>
    </row>
    <row r="148" spans="1:31" s="209" customFormat="1" ht="11.25" customHeight="1">
      <c r="A148" s="591"/>
      <c r="B148" s="65"/>
      <c r="C148" s="65"/>
      <c r="K148" s="60"/>
      <c r="L148" s="65"/>
      <c r="M148" s="65"/>
      <c r="N148" s="60"/>
      <c r="O148" s="60"/>
      <c r="P148" s="60"/>
      <c r="Q148" s="60"/>
      <c r="R148" s="65"/>
      <c r="S148" s="60"/>
      <c r="T148" s="60"/>
      <c r="U148" s="320"/>
      <c r="V148" s="60"/>
      <c r="W148" s="60"/>
      <c r="X148" s="60"/>
      <c r="Y148" s="60"/>
      <c r="Z148" s="60"/>
      <c r="AA148" s="6"/>
      <c r="AB148" s="139"/>
      <c r="AC148" s="139"/>
      <c r="AD148" s="139"/>
      <c r="AE148" s="139"/>
    </row>
    <row r="149" spans="1:31" s="209" customFormat="1" ht="11.25" customHeight="1">
      <c r="A149" s="591"/>
      <c r="B149" s="65"/>
      <c r="C149" s="65"/>
      <c r="K149" s="60"/>
      <c r="L149" s="65"/>
      <c r="M149" s="65"/>
      <c r="N149" s="60"/>
      <c r="O149" s="60"/>
      <c r="P149" s="60"/>
      <c r="Q149" s="60"/>
      <c r="R149" s="65"/>
      <c r="S149" s="60"/>
      <c r="T149" s="60"/>
      <c r="U149" s="320"/>
      <c r="V149" s="60"/>
      <c r="W149" s="60"/>
      <c r="X149" s="60"/>
      <c r="Y149" s="60"/>
      <c r="Z149" s="60"/>
      <c r="AA149" s="6"/>
      <c r="AB149" s="139"/>
      <c r="AC149" s="139"/>
      <c r="AD149" s="139"/>
      <c r="AE149" s="139"/>
    </row>
    <row r="150" spans="1:31" s="209" customFormat="1" ht="11.25" customHeight="1">
      <c r="A150" s="591"/>
      <c r="B150" s="65"/>
      <c r="C150" s="65"/>
      <c r="K150" s="60"/>
      <c r="L150" s="65"/>
      <c r="M150" s="65"/>
      <c r="N150" s="60"/>
      <c r="O150" s="60"/>
      <c r="P150" s="60"/>
      <c r="Q150" s="60"/>
      <c r="R150" s="65"/>
      <c r="S150" s="60"/>
      <c r="T150" s="60"/>
      <c r="U150" s="320"/>
      <c r="V150" s="60"/>
      <c r="W150" s="60"/>
      <c r="X150" s="60"/>
      <c r="Y150" s="60"/>
      <c r="Z150" s="60"/>
      <c r="AA150" s="6"/>
      <c r="AB150" s="139"/>
      <c r="AC150" s="139"/>
      <c r="AD150" s="139"/>
      <c r="AE150" s="139"/>
    </row>
    <row r="151" spans="1:31" s="209" customFormat="1" ht="11.25" customHeight="1">
      <c r="A151" s="591"/>
      <c r="B151" s="65"/>
      <c r="C151" s="65"/>
      <c r="K151" s="60"/>
      <c r="L151" s="65"/>
      <c r="M151" s="65"/>
      <c r="N151" s="60"/>
      <c r="O151" s="60"/>
      <c r="P151" s="60"/>
      <c r="Q151" s="60"/>
      <c r="R151" s="65"/>
      <c r="S151" s="60"/>
      <c r="T151" s="60"/>
      <c r="U151" s="320"/>
      <c r="V151" s="60"/>
      <c r="W151" s="60"/>
      <c r="X151" s="60"/>
      <c r="Y151" s="60"/>
      <c r="Z151" s="60"/>
      <c r="AA151" s="6"/>
      <c r="AB151" s="139"/>
      <c r="AC151" s="139"/>
      <c r="AD151" s="139"/>
      <c r="AE151" s="139"/>
    </row>
    <row r="152" spans="1:31" s="209" customFormat="1" ht="11.25" customHeight="1">
      <c r="A152" s="591"/>
      <c r="B152" s="65"/>
      <c r="C152" s="65"/>
      <c r="K152" s="60"/>
      <c r="L152" s="65"/>
      <c r="M152" s="65"/>
      <c r="N152" s="60"/>
      <c r="O152" s="60"/>
      <c r="P152" s="60"/>
      <c r="Q152" s="60"/>
      <c r="R152" s="65"/>
      <c r="S152" s="60"/>
      <c r="T152" s="60"/>
      <c r="U152" s="320"/>
      <c r="V152" s="60"/>
      <c r="W152" s="60"/>
      <c r="X152" s="60"/>
      <c r="Y152" s="60"/>
      <c r="Z152" s="60"/>
      <c r="AA152" s="6"/>
      <c r="AB152" s="139"/>
      <c r="AC152" s="139"/>
      <c r="AD152" s="139"/>
      <c r="AE152" s="139"/>
    </row>
    <row r="153" spans="1:31" s="209" customFormat="1" ht="11.25" customHeight="1">
      <c r="A153" s="591"/>
      <c r="B153" s="65"/>
      <c r="C153" s="65"/>
      <c r="K153" s="60"/>
      <c r="L153" s="65"/>
      <c r="M153" s="65"/>
      <c r="N153" s="60"/>
      <c r="O153" s="60"/>
      <c r="P153" s="60"/>
      <c r="Q153" s="60"/>
      <c r="R153" s="65"/>
      <c r="S153" s="60"/>
      <c r="T153" s="60"/>
      <c r="U153" s="320"/>
      <c r="V153" s="60"/>
      <c r="W153" s="60"/>
      <c r="X153" s="60"/>
      <c r="Y153" s="60"/>
      <c r="Z153" s="60"/>
      <c r="AA153" s="6"/>
      <c r="AB153" s="139"/>
      <c r="AC153" s="139"/>
      <c r="AD153" s="139"/>
      <c r="AE153" s="139"/>
    </row>
    <row r="154" spans="1:31" s="209" customFormat="1" ht="11.25" customHeight="1">
      <c r="A154" s="591"/>
      <c r="B154" s="65"/>
      <c r="C154" s="65"/>
      <c r="K154" s="60"/>
      <c r="L154" s="65"/>
      <c r="M154" s="65"/>
      <c r="N154" s="60"/>
      <c r="O154" s="60"/>
      <c r="P154" s="60"/>
      <c r="Q154" s="60"/>
      <c r="R154" s="65"/>
      <c r="S154" s="60"/>
      <c r="T154" s="60"/>
      <c r="U154" s="320"/>
      <c r="V154" s="60"/>
      <c r="W154" s="60"/>
      <c r="X154" s="60"/>
      <c r="Y154" s="60"/>
      <c r="Z154" s="60"/>
      <c r="AA154" s="6"/>
      <c r="AB154" s="139"/>
      <c r="AC154" s="139"/>
      <c r="AD154" s="139"/>
      <c r="AE154" s="139"/>
    </row>
    <row r="155" spans="1:31" s="209" customFormat="1" ht="11.25" customHeight="1">
      <c r="A155" s="591"/>
      <c r="B155" s="65"/>
      <c r="C155" s="65"/>
      <c r="K155" s="60"/>
      <c r="L155" s="65"/>
      <c r="M155" s="65"/>
      <c r="N155" s="60"/>
      <c r="O155" s="60"/>
      <c r="P155" s="60"/>
      <c r="Q155" s="60"/>
      <c r="R155" s="65"/>
      <c r="S155" s="60"/>
      <c r="T155" s="60"/>
      <c r="U155" s="320"/>
      <c r="V155" s="60"/>
      <c r="W155" s="60"/>
      <c r="X155" s="60"/>
      <c r="Y155" s="60"/>
      <c r="Z155" s="60"/>
      <c r="AA155" s="6"/>
      <c r="AB155" s="139"/>
      <c r="AC155" s="139"/>
      <c r="AD155" s="139"/>
      <c r="AE155" s="139"/>
    </row>
    <row r="156" spans="1:31" s="209" customFormat="1" ht="11.25" customHeight="1">
      <c r="A156" s="591"/>
      <c r="B156" s="65"/>
      <c r="C156" s="65"/>
      <c r="K156" s="60"/>
      <c r="L156" s="65"/>
      <c r="M156" s="65"/>
      <c r="N156" s="60"/>
      <c r="O156" s="60"/>
      <c r="P156" s="60"/>
      <c r="Q156" s="60"/>
      <c r="R156" s="65"/>
      <c r="S156" s="60"/>
      <c r="T156" s="60"/>
      <c r="U156" s="320"/>
      <c r="V156" s="60"/>
      <c r="W156" s="60"/>
      <c r="X156" s="60"/>
      <c r="Y156" s="60"/>
      <c r="Z156" s="60"/>
      <c r="AA156" s="6"/>
      <c r="AB156" s="139"/>
      <c r="AC156" s="139"/>
      <c r="AD156" s="139"/>
      <c r="AE156" s="139"/>
    </row>
    <row r="157" spans="1:31" s="209" customFormat="1" ht="11.25" customHeight="1">
      <c r="A157" s="591"/>
      <c r="B157" s="65"/>
      <c r="C157" s="65"/>
      <c r="K157" s="60"/>
      <c r="L157" s="65"/>
      <c r="M157" s="65"/>
      <c r="N157" s="60"/>
      <c r="O157" s="60"/>
      <c r="P157" s="60"/>
      <c r="Q157" s="60"/>
      <c r="R157" s="65"/>
      <c r="S157" s="60"/>
      <c r="T157" s="60"/>
      <c r="U157" s="320"/>
      <c r="V157" s="60"/>
      <c r="W157" s="60"/>
      <c r="X157" s="60"/>
      <c r="Y157" s="60"/>
      <c r="Z157" s="60"/>
      <c r="AA157" s="6"/>
      <c r="AB157" s="139"/>
      <c r="AC157" s="139"/>
      <c r="AD157" s="139"/>
      <c r="AE157" s="139"/>
    </row>
    <row r="158" spans="1:31" s="209" customFormat="1" ht="11.25" customHeight="1">
      <c r="A158" s="591"/>
      <c r="B158" s="65"/>
      <c r="C158" s="65"/>
      <c r="K158" s="60"/>
      <c r="L158" s="65"/>
      <c r="M158" s="65"/>
      <c r="N158" s="60"/>
      <c r="O158" s="60"/>
      <c r="P158" s="60"/>
      <c r="Q158" s="60"/>
      <c r="R158" s="65"/>
      <c r="S158" s="60"/>
      <c r="T158" s="60"/>
      <c r="U158" s="320"/>
      <c r="V158" s="60"/>
      <c r="W158" s="60"/>
      <c r="X158" s="60"/>
      <c r="Y158" s="60"/>
      <c r="Z158" s="60"/>
      <c r="AA158" s="6"/>
      <c r="AB158" s="139"/>
      <c r="AC158" s="139"/>
      <c r="AD158" s="139"/>
      <c r="AE158" s="139"/>
    </row>
    <row r="159" spans="1:31" s="209" customFormat="1" ht="11.25" customHeight="1">
      <c r="A159" s="591"/>
      <c r="B159" s="65"/>
      <c r="C159" s="65"/>
      <c r="K159" s="60"/>
      <c r="L159" s="65"/>
      <c r="M159" s="65"/>
      <c r="N159" s="60"/>
      <c r="O159" s="60"/>
      <c r="P159" s="60"/>
      <c r="Q159" s="60"/>
      <c r="R159" s="65"/>
      <c r="S159" s="60"/>
      <c r="T159" s="60"/>
      <c r="U159" s="320"/>
      <c r="V159" s="60"/>
      <c r="W159" s="60"/>
      <c r="X159" s="60"/>
      <c r="Y159" s="60"/>
      <c r="Z159" s="60"/>
      <c r="AA159" s="6"/>
      <c r="AB159" s="139"/>
      <c r="AC159" s="139"/>
      <c r="AD159" s="139"/>
      <c r="AE159" s="139"/>
    </row>
    <row r="160" spans="1:31" s="209" customFormat="1" ht="11.25" customHeight="1">
      <c r="A160" s="591"/>
      <c r="B160" s="65"/>
      <c r="C160" s="65"/>
      <c r="K160" s="60"/>
      <c r="L160" s="65"/>
      <c r="M160" s="65"/>
      <c r="N160" s="60"/>
      <c r="O160" s="60"/>
      <c r="P160" s="60"/>
      <c r="Q160" s="60"/>
      <c r="R160" s="65"/>
      <c r="S160" s="60"/>
      <c r="T160" s="60"/>
      <c r="U160" s="320"/>
      <c r="V160" s="60"/>
      <c r="W160" s="60"/>
      <c r="X160" s="60"/>
      <c r="Y160" s="60"/>
      <c r="Z160" s="60"/>
      <c r="AA160" s="6"/>
      <c r="AB160" s="139"/>
      <c r="AC160" s="139"/>
      <c r="AD160" s="139"/>
      <c r="AE160" s="139"/>
    </row>
    <row r="161" spans="1:31" s="209" customFormat="1" ht="11.25" customHeight="1">
      <c r="A161" s="591"/>
      <c r="B161" s="65"/>
      <c r="C161" s="65"/>
      <c r="K161" s="60"/>
      <c r="L161" s="65"/>
      <c r="M161" s="65"/>
      <c r="N161" s="60"/>
      <c r="O161" s="60"/>
      <c r="P161" s="60"/>
      <c r="Q161" s="60"/>
      <c r="R161" s="65"/>
      <c r="S161" s="60"/>
      <c r="T161" s="60"/>
      <c r="U161" s="320"/>
      <c r="V161" s="60"/>
      <c r="W161" s="60"/>
      <c r="X161" s="60"/>
      <c r="Y161" s="60"/>
      <c r="Z161" s="60"/>
      <c r="AA161" s="6"/>
      <c r="AB161" s="139"/>
      <c r="AC161" s="139"/>
      <c r="AD161" s="139"/>
      <c r="AE161" s="139"/>
    </row>
    <row r="162" spans="1:31" s="209" customFormat="1" ht="11.25" customHeight="1">
      <c r="A162" s="591"/>
      <c r="B162" s="65"/>
      <c r="C162" s="65"/>
      <c r="K162" s="60"/>
      <c r="L162" s="65"/>
      <c r="M162" s="65"/>
      <c r="N162" s="60"/>
      <c r="O162" s="60"/>
      <c r="P162" s="60"/>
      <c r="Q162" s="60"/>
      <c r="R162" s="65"/>
      <c r="S162" s="60"/>
      <c r="T162" s="60"/>
      <c r="U162" s="320"/>
      <c r="V162" s="60"/>
      <c r="W162" s="60"/>
      <c r="X162" s="60"/>
      <c r="Y162" s="60"/>
      <c r="Z162" s="60"/>
      <c r="AA162" s="6"/>
      <c r="AB162" s="139"/>
      <c r="AC162" s="139"/>
      <c r="AD162" s="139"/>
      <c r="AE162" s="139"/>
    </row>
    <row r="163" spans="1:31" s="209" customFormat="1" ht="11.25" customHeight="1">
      <c r="A163" s="591"/>
      <c r="B163" s="65"/>
      <c r="C163" s="65"/>
      <c r="K163" s="60"/>
      <c r="L163" s="65"/>
      <c r="M163" s="65"/>
      <c r="N163" s="60"/>
      <c r="O163" s="60"/>
      <c r="P163" s="60"/>
      <c r="Q163" s="60"/>
      <c r="R163" s="65"/>
      <c r="S163" s="60"/>
      <c r="T163" s="60"/>
      <c r="U163" s="320"/>
      <c r="V163" s="60"/>
      <c r="W163" s="60"/>
      <c r="X163" s="60"/>
      <c r="Y163" s="60"/>
      <c r="Z163" s="60"/>
      <c r="AA163" s="6"/>
      <c r="AB163" s="139"/>
      <c r="AC163" s="139"/>
      <c r="AD163" s="139"/>
      <c r="AE163" s="139"/>
    </row>
    <row r="164" spans="1:31" s="209" customFormat="1" ht="11.25" customHeight="1">
      <c r="A164" s="591"/>
      <c r="B164" s="65"/>
      <c r="C164" s="65"/>
      <c r="K164" s="60"/>
      <c r="L164" s="65"/>
      <c r="M164" s="65"/>
      <c r="N164" s="60"/>
      <c r="O164" s="60"/>
      <c r="P164" s="60"/>
      <c r="Q164" s="60"/>
      <c r="R164" s="65"/>
      <c r="S164" s="60"/>
      <c r="T164" s="60"/>
      <c r="U164" s="320"/>
      <c r="V164" s="60"/>
      <c r="W164" s="60"/>
      <c r="X164" s="60"/>
      <c r="Y164" s="60"/>
      <c r="Z164" s="60"/>
      <c r="AA164" s="6"/>
      <c r="AB164" s="139"/>
      <c r="AC164" s="139"/>
      <c r="AD164" s="139"/>
      <c r="AE164" s="139"/>
    </row>
    <row r="165" spans="1:31" s="209" customFormat="1" ht="11.25" customHeight="1">
      <c r="A165" s="591"/>
      <c r="B165" s="65"/>
      <c r="C165" s="65"/>
      <c r="K165" s="60"/>
      <c r="L165" s="65"/>
      <c r="M165" s="65"/>
      <c r="N165" s="60"/>
      <c r="O165" s="60"/>
      <c r="P165" s="60"/>
      <c r="Q165" s="60"/>
      <c r="R165" s="65"/>
      <c r="S165" s="60"/>
      <c r="T165" s="60"/>
      <c r="U165" s="320"/>
      <c r="V165" s="60"/>
      <c r="W165" s="60"/>
      <c r="X165" s="60"/>
      <c r="Y165" s="60"/>
      <c r="Z165" s="60"/>
      <c r="AA165" s="6"/>
      <c r="AB165" s="139"/>
      <c r="AC165" s="139"/>
      <c r="AD165" s="139"/>
      <c r="AE165" s="139"/>
    </row>
    <row r="166" spans="1:31" s="209" customFormat="1" ht="11.25" customHeight="1">
      <c r="A166" s="591"/>
      <c r="B166" s="65"/>
      <c r="C166" s="65"/>
      <c r="K166" s="60"/>
      <c r="L166" s="65"/>
      <c r="M166" s="65"/>
      <c r="N166" s="60"/>
      <c r="O166" s="60"/>
      <c r="P166" s="60"/>
      <c r="Q166" s="60"/>
      <c r="R166" s="65"/>
      <c r="S166" s="60"/>
      <c r="T166" s="60"/>
      <c r="U166" s="320"/>
      <c r="V166" s="60"/>
      <c r="W166" s="60"/>
      <c r="X166" s="60"/>
      <c r="Y166" s="60"/>
      <c r="Z166" s="60"/>
      <c r="AA166" s="6"/>
      <c r="AB166" s="139"/>
      <c r="AC166" s="139"/>
      <c r="AD166" s="139"/>
      <c r="AE166" s="139"/>
    </row>
    <row r="167" spans="1:31" s="209" customFormat="1" ht="11.25" customHeight="1">
      <c r="A167" s="591"/>
      <c r="B167" s="65"/>
      <c r="C167" s="65"/>
      <c r="K167" s="60"/>
      <c r="L167" s="65"/>
      <c r="M167" s="65"/>
      <c r="N167" s="60"/>
      <c r="O167" s="60"/>
      <c r="P167" s="60"/>
      <c r="Q167" s="60"/>
      <c r="R167" s="65"/>
      <c r="S167" s="60"/>
      <c r="T167" s="60"/>
      <c r="U167" s="320"/>
      <c r="V167" s="60"/>
      <c r="W167" s="60"/>
      <c r="X167" s="60"/>
      <c r="Y167" s="60"/>
      <c r="Z167" s="60"/>
      <c r="AA167" s="6"/>
      <c r="AB167" s="139"/>
      <c r="AC167" s="139"/>
      <c r="AD167" s="139"/>
      <c r="AE167" s="139"/>
    </row>
    <row r="168" spans="1:31" s="209" customFormat="1" ht="11.25" customHeight="1">
      <c r="A168" s="591"/>
      <c r="B168" s="65"/>
      <c r="C168" s="65"/>
      <c r="K168" s="60"/>
      <c r="L168" s="65"/>
      <c r="M168" s="65"/>
      <c r="N168" s="60"/>
      <c r="O168" s="60"/>
      <c r="P168" s="60"/>
      <c r="Q168" s="60"/>
      <c r="R168" s="65"/>
      <c r="S168" s="60"/>
      <c r="T168" s="60"/>
      <c r="U168" s="320"/>
      <c r="V168" s="60"/>
      <c r="W168" s="60"/>
      <c r="X168" s="60"/>
      <c r="Y168" s="60"/>
      <c r="Z168" s="60"/>
      <c r="AA168" s="6"/>
      <c r="AB168" s="139"/>
      <c r="AC168" s="139"/>
      <c r="AD168" s="139"/>
      <c r="AE168" s="139"/>
    </row>
    <row r="169" spans="1:31" s="209" customFormat="1" ht="11.25" customHeight="1">
      <c r="A169" s="591"/>
      <c r="B169" s="65"/>
      <c r="C169" s="65"/>
      <c r="K169" s="60"/>
      <c r="L169" s="65"/>
      <c r="M169" s="65"/>
      <c r="N169" s="60"/>
      <c r="O169" s="60"/>
      <c r="P169" s="60"/>
      <c r="Q169" s="60"/>
      <c r="R169" s="65"/>
      <c r="S169" s="60"/>
      <c r="T169" s="60"/>
      <c r="U169" s="320"/>
      <c r="V169" s="60"/>
      <c r="W169" s="60"/>
      <c r="X169" s="60"/>
      <c r="Y169" s="60"/>
      <c r="Z169" s="60"/>
      <c r="AA169" s="6"/>
      <c r="AB169" s="139"/>
      <c r="AC169" s="139"/>
      <c r="AD169" s="139"/>
      <c r="AE169" s="139"/>
    </row>
    <row r="170" spans="1:31" s="209" customFormat="1" ht="11.25" customHeight="1">
      <c r="A170" s="591"/>
      <c r="B170" s="65"/>
      <c r="C170" s="65"/>
      <c r="K170" s="60"/>
      <c r="L170" s="65"/>
      <c r="M170" s="65"/>
      <c r="N170" s="60"/>
      <c r="O170" s="60"/>
      <c r="P170" s="60"/>
      <c r="Q170" s="60"/>
      <c r="R170" s="65"/>
      <c r="S170" s="60"/>
      <c r="T170" s="60"/>
      <c r="U170" s="320"/>
      <c r="V170" s="60"/>
      <c r="W170" s="60"/>
      <c r="X170" s="60"/>
      <c r="Y170" s="60"/>
      <c r="Z170" s="60"/>
      <c r="AA170" s="6"/>
      <c r="AB170" s="139"/>
      <c r="AC170" s="139"/>
      <c r="AD170" s="139"/>
      <c r="AE170" s="139"/>
    </row>
    <row r="171" spans="1:31" s="209" customFormat="1" ht="11.25" customHeight="1">
      <c r="A171" s="591"/>
      <c r="B171" s="65"/>
      <c r="C171" s="65"/>
      <c r="K171" s="60"/>
      <c r="L171" s="65"/>
      <c r="M171" s="65"/>
      <c r="N171" s="60"/>
      <c r="O171" s="60"/>
      <c r="P171" s="60"/>
      <c r="Q171" s="60"/>
      <c r="R171" s="65"/>
      <c r="S171" s="60"/>
      <c r="T171" s="60"/>
      <c r="U171" s="320"/>
      <c r="V171" s="60"/>
      <c r="W171" s="60"/>
      <c r="X171" s="60"/>
      <c r="Y171" s="60"/>
      <c r="Z171" s="60"/>
      <c r="AA171" s="6"/>
      <c r="AB171" s="139"/>
      <c r="AC171" s="139"/>
      <c r="AD171" s="139"/>
      <c r="AE171" s="139"/>
    </row>
    <row r="172" spans="1:31" s="209" customFormat="1" ht="11.25" customHeight="1">
      <c r="A172" s="591"/>
      <c r="B172" s="65"/>
      <c r="C172" s="65"/>
      <c r="K172" s="60"/>
      <c r="L172" s="65"/>
      <c r="M172" s="65"/>
      <c r="N172" s="60"/>
      <c r="O172" s="60"/>
      <c r="P172" s="60"/>
      <c r="Q172" s="60"/>
      <c r="R172" s="65"/>
      <c r="S172" s="60"/>
      <c r="T172" s="60"/>
      <c r="U172" s="320"/>
      <c r="V172" s="60"/>
      <c r="W172" s="60"/>
      <c r="X172" s="60"/>
      <c r="Y172" s="60"/>
      <c r="Z172" s="60"/>
      <c r="AA172" s="6"/>
      <c r="AB172" s="139"/>
      <c r="AC172" s="139"/>
      <c r="AD172" s="139"/>
      <c r="AE172" s="139"/>
    </row>
    <row r="173" spans="1:31" s="209" customFormat="1" ht="11.25" customHeight="1">
      <c r="A173" s="591"/>
      <c r="B173" s="65"/>
      <c r="C173" s="65"/>
      <c r="K173" s="60"/>
      <c r="L173" s="65"/>
      <c r="M173" s="65"/>
      <c r="N173" s="60"/>
      <c r="O173" s="60"/>
      <c r="P173" s="60"/>
      <c r="Q173" s="60"/>
      <c r="R173" s="65"/>
      <c r="S173" s="60"/>
      <c r="T173" s="60"/>
      <c r="U173" s="320"/>
      <c r="V173" s="60"/>
      <c r="W173" s="60"/>
      <c r="X173" s="60"/>
      <c r="Y173" s="60"/>
      <c r="Z173" s="60"/>
      <c r="AA173" s="6"/>
      <c r="AB173" s="139"/>
      <c r="AC173" s="139"/>
      <c r="AD173" s="139"/>
      <c r="AE173" s="139"/>
    </row>
    <row r="174" spans="1:31" s="209" customFormat="1" ht="11.25" customHeight="1">
      <c r="A174" s="591"/>
      <c r="B174" s="65"/>
      <c r="C174" s="65"/>
      <c r="K174" s="60"/>
      <c r="L174" s="65"/>
      <c r="M174" s="65"/>
      <c r="N174" s="60"/>
      <c r="O174" s="60"/>
      <c r="P174" s="60"/>
      <c r="Q174" s="60"/>
      <c r="R174" s="65"/>
      <c r="S174" s="60"/>
      <c r="T174" s="60"/>
      <c r="U174" s="320"/>
      <c r="V174" s="60"/>
      <c r="W174" s="60"/>
      <c r="X174" s="60"/>
      <c r="Y174" s="60"/>
      <c r="Z174" s="60"/>
      <c r="AA174" s="6"/>
      <c r="AB174" s="139"/>
      <c r="AC174" s="139"/>
      <c r="AD174" s="139"/>
      <c r="AE174" s="139"/>
    </row>
    <row r="175" spans="1:31" s="209" customFormat="1" ht="11.25" customHeight="1">
      <c r="A175" s="591"/>
      <c r="B175" s="65"/>
      <c r="C175" s="65"/>
      <c r="K175" s="60"/>
      <c r="L175" s="65"/>
      <c r="M175" s="65"/>
      <c r="N175" s="60"/>
      <c r="O175" s="60"/>
      <c r="P175" s="60"/>
      <c r="Q175" s="60"/>
      <c r="R175" s="65"/>
      <c r="S175" s="60"/>
      <c r="T175" s="60"/>
      <c r="U175" s="320"/>
      <c r="V175" s="60"/>
      <c r="W175" s="60"/>
      <c r="X175" s="60"/>
      <c r="Y175" s="60"/>
      <c r="Z175" s="60"/>
      <c r="AA175" s="6"/>
      <c r="AB175" s="139"/>
      <c r="AC175" s="139"/>
      <c r="AD175" s="139"/>
      <c r="AE175" s="139"/>
    </row>
    <row r="176" spans="1:31" s="209" customFormat="1" ht="11.25" customHeight="1">
      <c r="A176" s="591"/>
      <c r="B176" s="65"/>
      <c r="C176" s="65"/>
      <c r="K176" s="60"/>
      <c r="L176" s="65"/>
      <c r="M176" s="65"/>
      <c r="N176" s="60"/>
      <c r="O176" s="60"/>
      <c r="P176" s="60"/>
      <c r="Q176" s="60"/>
      <c r="R176" s="65"/>
      <c r="S176" s="60"/>
      <c r="T176" s="60"/>
      <c r="U176" s="320"/>
      <c r="V176" s="60"/>
      <c r="W176" s="60"/>
      <c r="X176" s="60"/>
      <c r="Y176" s="60"/>
      <c r="Z176" s="60"/>
      <c r="AA176" s="6"/>
      <c r="AB176" s="139"/>
      <c r="AC176" s="139"/>
      <c r="AD176" s="139"/>
      <c r="AE176" s="139"/>
    </row>
    <row r="177" spans="1:31" s="209" customFormat="1" ht="11.25" customHeight="1">
      <c r="A177" s="591"/>
      <c r="B177" s="65"/>
      <c r="C177" s="65"/>
      <c r="K177" s="60"/>
      <c r="L177" s="65"/>
      <c r="M177" s="65"/>
      <c r="N177" s="60"/>
      <c r="O177" s="60"/>
      <c r="P177" s="60"/>
      <c r="Q177" s="60"/>
      <c r="R177" s="65"/>
      <c r="S177" s="60"/>
      <c r="T177" s="60"/>
      <c r="U177" s="320"/>
      <c r="V177" s="60"/>
      <c r="W177" s="60"/>
      <c r="X177" s="60"/>
      <c r="Y177" s="60"/>
      <c r="Z177" s="60"/>
      <c r="AA177" s="6"/>
      <c r="AB177" s="139"/>
      <c r="AC177" s="139"/>
      <c r="AD177" s="139"/>
      <c r="AE177" s="139"/>
    </row>
    <row r="178" spans="1:31" s="209" customFormat="1" ht="11.25" customHeight="1">
      <c r="A178" s="591"/>
      <c r="B178" s="65"/>
      <c r="C178" s="65"/>
      <c r="K178" s="60"/>
      <c r="L178" s="65"/>
      <c r="M178" s="65"/>
      <c r="N178" s="60"/>
      <c r="O178" s="60"/>
      <c r="P178" s="60"/>
      <c r="Q178" s="60"/>
      <c r="R178" s="65"/>
      <c r="S178" s="60"/>
      <c r="T178" s="60"/>
      <c r="U178" s="320"/>
      <c r="V178" s="60"/>
      <c r="W178" s="60"/>
      <c r="X178" s="60"/>
      <c r="Y178" s="60"/>
      <c r="Z178" s="60"/>
      <c r="AA178" s="6"/>
      <c r="AB178" s="139"/>
      <c r="AC178" s="139"/>
      <c r="AD178" s="139"/>
      <c r="AE178" s="139"/>
    </row>
    <row r="179" spans="1:31" s="209" customFormat="1" ht="11.25" customHeight="1">
      <c r="A179" s="591"/>
      <c r="B179" s="65"/>
      <c r="C179" s="65"/>
      <c r="K179" s="60"/>
      <c r="L179" s="65"/>
      <c r="M179" s="65"/>
      <c r="N179" s="60"/>
      <c r="O179" s="60"/>
      <c r="P179" s="60"/>
      <c r="Q179" s="60"/>
      <c r="R179" s="65"/>
      <c r="S179" s="60"/>
      <c r="T179" s="60"/>
      <c r="U179" s="320"/>
      <c r="V179" s="60"/>
      <c r="W179" s="60"/>
      <c r="X179" s="60"/>
      <c r="Y179" s="60"/>
      <c r="Z179" s="60"/>
      <c r="AA179" s="6"/>
      <c r="AB179" s="139"/>
      <c r="AC179" s="139"/>
      <c r="AD179" s="139"/>
      <c r="AE179" s="139"/>
    </row>
    <row r="180" spans="1:31" s="209" customFormat="1" ht="11.25" customHeight="1">
      <c r="A180" s="591"/>
      <c r="B180" s="65"/>
      <c r="C180" s="65"/>
      <c r="K180" s="60"/>
      <c r="L180" s="65"/>
      <c r="M180" s="65"/>
      <c r="N180" s="60"/>
      <c r="O180" s="60"/>
      <c r="P180" s="60"/>
      <c r="Q180" s="60"/>
      <c r="R180" s="65"/>
      <c r="S180" s="60"/>
      <c r="T180" s="60"/>
      <c r="U180" s="320"/>
      <c r="V180" s="60"/>
      <c r="W180" s="60"/>
      <c r="X180" s="60"/>
      <c r="Y180" s="60"/>
      <c r="Z180" s="60"/>
      <c r="AA180" s="6"/>
      <c r="AB180" s="139"/>
      <c r="AC180" s="139"/>
      <c r="AD180" s="139"/>
      <c r="AE180" s="139"/>
    </row>
    <row r="181" spans="1:31" s="209" customFormat="1" ht="11.25" customHeight="1">
      <c r="A181" s="591"/>
      <c r="B181" s="65"/>
      <c r="C181" s="65"/>
      <c r="K181" s="60"/>
      <c r="L181" s="65"/>
      <c r="M181" s="65"/>
      <c r="N181" s="60"/>
      <c r="O181" s="60"/>
      <c r="P181" s="60"/>
      <c r="Q181" s="60"/>
      <c r="R181" s="65"/>
      <c r="S181" s="60"/>
      <c r="T181" s="60"/>
      <c r="U181" s="320"/>
      <c r="V181" s="60"/>
      <c r="W181" s="60"/>
      <c r="X181" s="60"/>
      <c r="Y181" s="60"/>
      <c r="Z181" s="60"/>
      <c r="AA181" s="6"/>
      <c r="AB181" s="139"/>
      <c r="AC181" s="139"/>
      <c r="AD181" s="139"/>
      <c r="AE181" s="139"/>
    </row>
    <row r="182" spans="1:31" s="209" customFormat="1" ht="11.25" customHeight="1">
      <c r="A182" s="591"/>
      <c r="B182" s="65"/>
      <c r="C182" s="65"/>
      <c r="K182" s="60"/>
      <c r="L182" s="65"/>
      <c r="M182" s="65"/>
      <c r="N182" s="60"/>
      <c r="O182" s="60"/>
      <c r="P182" s="60"/>
      <c r="Q182" s="60"/>
      <c r="R182" s="65"/>
      <c r="S182" s="60"/>
      <c r="T182" s="60"/>
      <c r="U182" s="320"/>
      <c r="V182" s="60"/>
      <c r="W182" s="60"/>
      <c r="X182" s="60"/>
      <c r="Y182" s="60"/>
      <c r="Z182" s="60"/>
      <c r="AA182" s="6"/>
      <c r="AB182" s="139"/>
      <c r="AC182" s="139"/>
      <c r="AD182" s="139"/>
      <c r="AE182" s="139"/>
    </row>
    <row r="183" spans="1:31" s="209" customFormat="1" ht="11.25" customHeight="1">
      <c r="A183" s="591"/>
      <c r="B183" s="65"/>
      <c r="C183" s="65"/>
      <c r="K183" s="60"/>
      <c r="L183" s="65"/>
      <c r="M183" s="65"/>
      <c r="N183" s="60"/>
      <c r="O183" s="60"/>
      <c r="P183" s="60"/>
      <c r="Q183" s="60"/>
      <c r="R183" s="65"/>
      <c r="S183" s="60"/>
      <c r="T183" s="60"/>
      <c r="U183" s="320"/>
      <c r="V183" s="60"/>
      <c r="W183" s="60"/>
      <c r="X183" s="60"/>
      <c r="Y183" s="60"/>
      <c r="Z183" s="60"/>
      <c r="AA183" s="6"/>
      <c r="AB183" s="139"/>
      <c r="AC183" s="139"/>
      <c r="AD183" s="139"/>
      <c r="AE183" s="139"/>
    </row>
    <row r="184" spans="1:31" s="209" customFormat="1" ht="11.25" customHeight="1">
      <c r="A184" s="591"/>
      <c r="B184" s="65"/>
      <c r="C184" s="65"/>
      <c r="K184" s="60"/>
      <c r="L184" s="65"/>
      <c r="M184" s="65"/>
      <c r="N184" s="60"/>
      <c r="O184" s="60"/>
      <c r="P184" s="60"/>
      <c r="Q184" s="60"/>
      <c r="R184" s="65"/>
      <c r="S184" s="60"/>
      <c r="T184" s="60"/>
      <c r="U184" s="320"/>
      <c r="V184" s="60"/>
      <c r="W184" s="60"/>
      <c r="X184" s="60"/>
      <c r="Y184" s="60"/>
      <c r="Z184" s="60"/>
      <c r="AA184" s="6"/>
      <c r="AB184" s="139"/>
      <c r="AC184" s="139"/>
      <c r="AD184" s="139"/>
      <c r="AE184" s="139"/>
    </row>
    <row r="185" spans="1:31" s="209" customFormat="1" ht="11.25" customHeight="1">
      <c r="A185" s="591"/>
      <c r="B185" s="65"/>
      <c r="C185" s="65"/>
      <c r="K185" s="60"/>
      <c r="L185" s="65"/>
      <c r="M185" s="65"/>
      <c r="N185" s="60"/>
      <c r="O185" s="60"/>
      <c r="P185" s="60"/>
      <c r="Q185" s="60"/>
      <c r="R185" s="65"/>
      <c r="S185" s="60"/>
      <c r="T185" s="60"/>
      <c r="U185" s="320"/>
      <c r="V185" s="60"/>
      <c r="W185" s="60"/>
      <c r="X185" s="60"/>
      <c r="Y185" s="60"/>
      <c r="Z185" s="60"/>
      <c r="AA185" s="6"/>
      <c r="AB185" s="139"/>
      <c r="AC185" s="139"/>
      <c r="AD185" s="139"/>
      <c r="AE185" s="139"/>
    </row>
    <row r="186" spans="1:31" s="209" customFormat="1" ht="11.25" customHeight="1">
      <c r="A186" s="591"/>
      <c r="B186" s="65"/>
      <c r="C186" s="65"/>
      <c r="K186" s="60"/>
      <c r="L186" s="65"/>
      <c r="M186" s="65"/>
      <c r="N186" s="60"/>
      <c r="O186" s="60"/>
      <c r="P186" s="60"/>
      <c r="Q186" s="60"/>
      <c r="R186" s="65"/>
      <c r="S186" s="60"/>
      <c r="T186" s="60"/>
      <c r="U186" s="320"/>
      <c r="V186" s="60"/>
      <c r="W186" s="60"/>
      <c r="X186" s="60"/>
      <c r="Y186" s="60"/>
      <c r="Z186" s="60"/>
      <c r="AA186" s="6"/>
      <c r="AB186" s="139"/>
      <c r="AC186" s="139"/>
      <c r="AD186" s="139"/>
      <c r="AE186" s="139"/>
    </row>
    <row r="187" spans="1:31" s="209" customFormat="1" ht="11.25" customHeight="1">
      <c r="A187" s="591"/>
      <c r="B187" s="65"/>
      <c r="C187" s="65"/>
      <c r="K187" s="60"/>
      <c r="L187" s="65"/>
      <c r="M187" s="65"/>
      <c r="N187" s="60"/>
      <c r="O187" s="60"/>
      <c r="P187" s="60"/>
      <c r="Q187" s="60"/>
      <c r="R187" s="65"/>
      <c r="S187" s="60"/>
      <c r="T187" s="60"/>
      <c r="U187" s="320"/>
      <c r="V187" s="60"/>
      <c r="W187" s="60"/>
      <c r="X187" s="60"/>
      <c r="Y187" s="60"/>
      <c r="Z187" s="60"/>
      <c r="AA187" s="6"/>
      <c r="AB187" s="139"/>
      <c r="AC187" s="139"/>
      <c r="AD187" s="139"/>
      <c r="AE187" s="139"/>
    </row>
    <row r="188" spans="1:31" s="209" customFormat="1" ht="11.25" customHeight="1">
      <c r="A188" s="591"/>
      <c r="B188" s="65"/>
      <c r="C188" s="65"/>
      <c r="K188" s="60"/>
      <c r="L188" s="65"/>
      <c r="M188" s="65"/>
      <c r="N188" s="60"/>
      <c r="O188" s="60"/>
      <c r="P188" s="60"/>
      <c r="Q188" s="60"/>
      <c r="R188" s="65"/>
      <c r="S188" s="60"/>
      <c r="T188" s="60"/>
      <c r="U188" s="320"/>
      <c r="V188" s="60"/>
      <c r="W188" s="60"/>
      <c r="X188" s="60"/>
      <c r="Y188" s="60"/>
      <c r="Z188" s="60"/>
      <c r="AA188" s="6"/>
      <c r="AB188" s="139"/>
      <c r="AC188" s="139"/>
      <c r="AD188" s="139"/>
      <c r="AE188" s="139"/>
    </row>
    <row r="189" spans="1:31" s="209" customFormat="1" ht="11.25" customHeight="1">
      <c r="A189" s="591"/>
      <c r="B189" s="65"/>
      <c r="C189" s="65"/>
      <c r="K189" s="60"/>
      <c r="L189" s="65"/>
      <c r="M189" s="65"/>
      <c r="N189" s="60"/>
      <c r="O189" s="60"/>
      <c r="P189" s="60"/>
      <c r="Q189" s="60"/>
      <c r="R189" s="65"/>
      <c r="S189" s="60"/>
      <c r="T189" s="60"/>
      <c r="U189" s="320"/>
      <c r="V189" s="60"/>
      <c r="W189" s="60"/>
      <c r="X189" s="60"/>
      <c r="Y189" s="60"/>
      <c r="Z189" s="60"/>
      <c r="AA189" s="6"/>
      <c r="AB189" s="139"/>
      <c r="AC189" s="139"/>
      <c r="AD189" s="139"/>
      <c r="AE189" s="139"/>
    </row>
    <row r="190" spans="1:31" s="209" customFormat="1" ht="11.25" customHeight="1">
      <c r="A190" s="591"/>
      <c r="B190" s="65"/>
      <c r="C190" s="65"/>
      <c r="K190" s="60"/>
      <c r="L190" s="65"/>
      <c r="M190" s="65"/>
      <c r="N190" s="60"/>
      <c r="O190" s="60"/>
      <c r="P190" s="60"/>
      <c r="Q190" s="60"/>
      <c r="R190" s="65"/>
      <c r="S190" s="60"/>
      <c r="T190" s="60"/>
      <c r="U190" s="320"/>
      <c r="V190" s="60"/>
      <c r="W190" s="60"/>
      <c r="X190" s="60"/>
      <c r="Y190" s="60"/>
      <c r="Z190" s="60"/>
      <c r="AA190" s="6"/>
      <c r="AB190" s="139"/>
      <c r="AC190" s="139"/>
      <c r="AD190" s="139"/>
      <c r="AE190" s="139"/>
    </row>
    <row r="191" spans="1:31" s="209" customFormat="1" ht="11.25" customHeight="1">
      <c r="A191" s="591"/>
      <c r="B191" s="65"/>
      <c r="C191" s="65"/>
      <c r="K191" s="60"/>
      <c r="L191" s="65"/>
      <c r="M191" s="65"/>
      <c r="N191" s="60"/>
      <c r="O191" s="60"/>
      <c r="P191" s="60"/>
      <c r="Q191" s="60"/>
      <c r="R191" s="65"/>
      <c r="S191" s="60"/>
      <c r="T191" s="60"/>
      <c r="U191" s="320"/>
      <c r="V191" s="60"/>
      <c r="W191" s="60"/>
      <c r="X191" s="60"/>
      <c r="Y191" s="60"/>
      <c r="Z191" s="60"/>
      <c r="AA191" s="6"/>
      <c r="AB191" s="139"/>
      <c r="AC191" s="139"/>
      <c r="AD191" s="139"/>
      <c r="AE191" s="139"/>
    </row>
    <row r="192" spans="1:31" s="209" customFormat="1" ht="11.25" customHeight="1">
      <c r="A192" s="591"/>
      <c r="B192" s="65"/>
      <c r="C192" s="65"/>
      <c r="K192" s="60"/>
      <c r="L192" s="65"/>
      <c r="M192" s="65"/>
      <c r="N192" s="60"/>
      <c r="O192" s="60"/>
      <c r="P192" s="60"/>
      <c r="Q192" s="60"/>
      <c r="R192" s="65"/>
      <c r="S192" s="60"/>
      <c r="T192" s="60"/>
      <c r="U192" s="320"/>
      <c r="V192" s="60"/>
      <c r="W192" s="60"/>
      <c r="X192" s="60"/>
      <c r="Y192" s="60"/>
      <c r="Z192" s="60"/>
      <c r="AA192" s="6"/>
      <c r="AB192" s="139"/>
      <c r="AC192" s="139"/>
      <c r="AD192" s="139"/>
      <c r="AE192" s="139"/>
    </row>
    <row r="193" spans="1:31" s="209" customFormat="1" ht="11.25" customHeight="1">
      <c r="A193" s="591"/>
      <c r="B193" s="65"/>
      <c r="C193" s="65"/>
      <c r="K193" s="60"/>
      <c r="L193" s="65"/>
      <c r="M193" s="65"/>
      <c r="N193" s="60"/>
      <c r="O193" s="60"/>
      <c r="P193" s="60"/>
      <c r="Q193" s="60"/>
      <c r="R193" s="65"/>
      <c r="S193" s="60"/>
      <c r="T193" s="60"/>
      <c r="U193" s="320"/>
      <c r="V193" s="60"/>
      <c r="W193" s="60"/>
      <c r="X193" s="60"/>
      <c r="Y193" s="60"/>
      <c r="Z193" s="60"/>
      <c r="AA193" s="6"/>
      <c r="AB193" s="139"/>
      <c r="AC193" s="139"/>
      <c r="AD193" s="139"/>
      <c r="AE193" s="139"/>
    </row>
    <row r="194" spans="1:31" s="209" customFormat="1" ht="11.25" customHeight="1">
      <c r="A194" s="591"/>
      <c r="B194" s="65"/>
      <c r="C194" s="65"/>
      <c r="K194" s="60"/>
      <c r="L194" s="65"/>
      <c r="M194" s="65"/>
      <c r="N194" s="60"/>
      <c r="O194" s="60"/>
      <c r="P194" s="60"/>
      <c r="Q194" s="60"/>
      <c r="R194" s="65"/>
      <c r="S194" s="60"/>
      <c r="T194" s="60"/>
      <c r="U194" s="320"/>
      <c r="V194" s="60"/>
      <c r="W194" s="60"/>
      <c r="X194" s="60"/>
      <c r="Y194" s="60"/>
      <c r="Z194" s="60"/>
      <c r="AA194" s="6"/>
      <c r="AB194" s="139"/>
      <c r="AC194" s="139"/>
      <c r="AD194" s="139"/>
      <c r="AE194" s="139"/>
    </row>
    <row r="195" spans="1:31" s="209" customFormat="1" ht="11.25" customHeight="1">
      <c r="A195" s="591"/>
      <c r="B195" s="65"/>
      <c r="C195" s="65"/>
      <c r="K195" s="60"/>
      <c r="L195" s="65"/>
      <c r="M195" s="65"/>
      <c r="N195" s="60"/>
      <c r="O195" s="60"/>
      <c r="P195" s="60"/>
      <c r="Q195" s="60"/>
      <c r="R195" s="65"/>
      <c r="S195" s="60"/>
      <c r="T195" s="60"/>
      <c r="U195" s="320"/>
      <c r="V195" s="60"/>
      <c r="W195" s="60"/>
      <c r="X195" s="60"/>
      <c r="Y195" s="60"/>
      <c r="Z195" s="60"/>
      <c r="AA195" s="6"/>
      <c r="AB195" s="139"/>
      <c r="AC195" s="139"/>
      <c r="AD195" s="139"/>
      <c r="AE195" s="139"/>
    </row>
    <row r="196" spans="1:31" s="209" customFormat="1" ht="11.25" customHeight="1">
      <c r="A196" s="591"/>
      <c r="B196" s="65"/>
      <c r="C196" s="65"/>
      <c r="K196" s="60"/>
      <c r="L196" s="65"/>
      <c r="M196" s="65"/>
      <c r="N196" s="60"/>
      <c r="O196" s="60"/>
      <c r="P196" s="60"/>
      <c r="Q196" s="60"/>
      <c r="R196" s="65"/>
      <c r="S196" s="60"/>
      <c r="T196" s="60"/>
      <c r="U196" s="320"/>
      <c r="V196" s="60"/>
      <c r="W196" s="60"/>
      <c r="X196" s="60"/>
      <c r="Y196" s="60"/>
      <c r="Z196" s="60"/>
      <c r="AA196" s="6"/>
      <c r="AB196" s="139"/>
      <c r="AC196" s="139"/>
      <c r="AD196" s="139"/>
      <c r="AE196" s="139"/>
    </row>
    <row r="197" spans="1:31" s="209" customFormat="1" ht="11.25" customHeight="1">
      <c r="A197" s="591"/>
      <c r="B197" s="65"/>
      <c r="C197" s="65"/>
      <c r="K197" s="60"/>
      <c r="L197" s="65"/>
      <c r="M197" s="65"/>
      <c r="N197" s="60"/>
      <c r="O197" s="60"/>
      <c r="P197" s="60"/>
      <c r="Q197" s="60"/>
      <c r="R197" s="65"/>
      <c r="S197" s="60"/>
      <c r="T197" s="60"/>
      <c r="U197" s="320"/>
      <c r="V197" s="60"/>
      <c r="W197" s="60"/>
      <c r="X197" s="60"/>
      <c r="Y197" s="60"/>
      <c r="Z197" s="60"/>
      <c r="AA197" s="6"/>
      <c r="AB197" s="139"/>
      <c r="AC197" s="139"/>
      <c r="AD197" s="139"/>
      <c r="AE197" s="139"/>
    </row>
    <row r="198" spans="1:31" s="209" customFormat="1" ht="11.25" customHeight="1">
      <c r="A198" s="591"/>
      <c r="B198" s="65"/>
      <c r="C198" s="65"/>
      <c r="K198" s="60"/>
      <c r="L198" s="65"/>
      <c r="M198" s="65"/>
      <c r="N198" s="60"/>
      <c r="O198" s="60"/>
      <c r="P198" s="60"/>
      <c r="Q198" s="60"/>
      <c r="R198" s="65"/>
      <c r="S198" s="60"/>
      <c r="T198" s="60"/>
      <c r="U198" s="320"/>
      <c r="V198" s="60"/>
      <c r="W198" s="60"/>
      <c r="X198" s="60"/>
      <c r="Y198" s="60"/>
      <c r="Z198" s="60"/>
      <c r="AA198" s="6"/>
      <c r="AB198" s="139"/>
      <c r="AC198" s="139"/>
      <c r="AD198" s="139"/>
      <c r="AE198" s="139"/>
    </row>
    <row r="199" spans="1:31" s="209" customFormat="1" ht="11.25" customHeight="1">
      <c r="A199" s="591"/>
      <c r="B199" s="65"/>
      <c r="C199" s="65"/>
      <c r="K199" s="60"/>
      <c r="L199" s="65"/>
      <c r="M199" s="65"/>
      <c r="N199" s="60"/>
      <c r="O199" s="60"/>
      <c r="P199" s="60"/>
      <c r="Q199" s="60"/>
      <c r="R199" s="65"/>
      <c r="S199" s="60"/>
      <c r="T199" s="60"/>
      <c r="U199" s="320"/>
      <c r="V199" s="60"/>
      <c r="W199" s="60"/>
      <c r="X199" s="60"/>
      <c r="Y199" s="60"/>
      <c r="Z199" s="60"/>
      <c r="AA199" s="6"/>
      <c r="AB199" s="139"/>
      <c r="AC199" s="139"/>
      <c r="AD199" s="139"/>
      <c r="AE199" s="139"/>
    </row>
    <row r="200" spans="1:31" s="209" customFormat="1" ht="11.25" customHeight="1">
      <c r="A200" s="591"/>
      <c r="B200" s="65"/>
      <c r="C200" s="65"/>
      <c r="K200" s="60"/>
      <c r="L200" s="65"/>
      <c r="M200" s="65"/>
      <c r="N200" s="60"/>
      <c r="O200" s="60"/>
      <c r="P200" s="60"/>
      <c r="Q200" s="60"/>
      <c r="R200" s="65"/>
      <c r="S200" s="60"/>
      <c r="T200" s="60"/>
      <c r="U200" s="320"/>
      <c r="V200" s="60"/>
      <c r="W200" s="60"/>
      <c r="X200" s="60"/>
      <c r="Y200" s="60"/>
      <c r="Z200" s="60"/>
      <c r="AA200" s="6"/>
      <c r="AB200" s="139"/>
      <c r="AC200" s="139"/>
      <c r="AD200" s="139"/>
      <c r="AE200" s="139"/>
    </row>
    <row r="201" spans="1:31" s="209" customFormat="1" ht="11.25" customHeight="1">
      <c r="A201" s="591"/>
      <c r="B201" s="65"/>
      <c r="C201" s="65"/>
      <c r="K201" s="60"/>
      <c r="L201" s="65"/>
      <c r="M201" s="65"/>
      <c r="N201" s="60"/>
      <c r="O201" s="60"/>
      <c r="P201" s="60"/>
      <c r="Q201" s="60"/>
      <c r="R201" s="65"/>
      <c r="S201" s="60"/>
      <c r="T201" s="60"/>
      <c r="U201" s="320"/>
      <c r="V201" s="60"/>
      <c r="W201" s="60"/>
      <c r="X201" s="60"/>
      <c r="Y201" s="60"/>
      <c r="Z201" s="60"/>
      <c r="AA201" s="6"/>
      <c r="AB201" s="139"/>
      <c r="AC201" s="139"/>
      <c r="AD201" s="139"/>
      <c r="AE201" s="139"/>
    </row>
    <row r="202" spans="1:31" s="209" customFormat="1" ht="11.25" customHeight="1">
      <c r="A202" s="591"/>
      <c r="B202" s="65"/>
      <c r="C202" s="65"/>
      <c r="K202" s="60"/>
      <c r="L202" s="65"/>
      <c r="M202" s="65"/>
      <c r="N202" s="60"/>
      <c r="O202" s="60"/>
      <c r="P202" s="60"/>
      <c r="Q202" s="60"/>
      <c r="R202" s="65"/>
      <c r="S202" s="60"/>
      <c r="T202" s="60"/>
      <c r="U202" s="320"/>
      <c r="V202" s="60"/>
      <c r="W202" s="60"/>
      <c r="X202" s="60"/>
      <c r="Y202" s="60"/>
      <c r="Z202" s="60"/>
      <c r="AA202" s="6"/>
      <c r="AB202" s="139"/>
      <c r="AC202" s="139"/>
      <c r="AD202" s="139"/>
      <c r="AE202" s="139"/>
    </row>
    <row r="203" spans="1:31" s="209" customFormat="1" ht="11.25" customHeight="1">
      <c r="A203" s="591"/>
      <c r="B203" s="65"/>
      <c r="C203" s="65"/>
      <c r="K203" s="60"/>
      <c r="L203" s="65"/>
      <c r="M203" s="65"/>
      <c r="N203" s="60"/>
      <c r="O203" s="60"/>
      <c r="P203" s="60"/>
      <c r="Q203" s="60"/>
      <c r="R203" s="65"/>
      <c r="S203" s="60"/>
      <c r="T203" s="60"/>
      <c r="U203" s="320"/>
      <c r="V203" s="60"/>
      <c r="W203" s="60"/>
      <c r="X203" s="60"/>
      <c r="Y203" s="60"/>
      <c r="Z203" s="60"/>
      <c r="AA203" s="6"/>
      <c r="AB203" s="139"/>
      <c r="AC203" s="139"/>
      <c r="AD203" s="139"/>
      <c r="AE203" s="139"/>
    </row>
    <row r="204" spans="1:31" s="209" customFormat="1" ht="11.25" customHeight="1">
      <c r="A204" s="591"/>
      <c r="B204" s="65"/>
      <c r="C204" s="65"/>
      <c r="K204" s="60"/>
      <c r="L204" s="65"/>
      <c r="M204" s="65"/>
      <c r="N204" s="60"/>
      <c r="O204" s="60"/>
      <c r="P204" s="60"/>
      <c r="Q204" s="60"/>
      <c r="R204" s="65"/>
      <c r="S204" s="60"/>
      <c r="T204" s="60"/>
      <c r="U204" s="320"/>
      <c r="V204" s="60"/>
      <c r="W204" s="60"/>
      <c r="X204" s="60"/>
      <c r="Y204" s="60"/>
      <c r="Z204" s="60"/>
      <c r="AA204" s="6"/>
      <c r="AB204" s="139"/>
      <c r="AC204" s="139"/>
      <c r="AD204" s="139"/>
      <c r="AE204" s="139"/>
    </row>
    <row r="208" spans="1:31" ht="11.25" customHeight="1">
      <c r="A208" s="594"/>
      <c r="B208" s="9"/>
      <c r="K208" s="9"/>
      <c r="N208" s="9"/>
      <c r="O208" s="9"/>
      <c r="P208" s="9"/>
      <c r="Q208" s="9"/>
      <c r="S208" s="9"/>
      <c r="T208" s="9"/>
      <c r="U208" s="9"/>
      <c r="V208" s="9"/>
      <c r="W208" s="9"/>
      <c r="X208" s="9"/>
      <c r="Y208" s="9"/>
      <c r="Z208" s="9"/>
      <c r="AA208" s="9"/>
      <c r="AB208" s="9"/>
      <c r="AC208" s="9"/>
      <c r="AD208" s="9"/>
      <c r="AE208" s="9"/>
    </row>
    <row r="209" spans="1:31" ht="11.25" customHeight="1">
      <c r="A209" s="594"/>
      <c r="B209" s="9"/>
      <c r="K209" s="9"/>
      <c r="N209" s="9"/>
      <c r="O209" s="9"/>
      <c r="P209" s="9"/>
      <c r="Q209" s="9"/>
      <c r="S209" s="9"/>
      <c r="T209" s="9"/>
      <c r="U209" s="9"/>
      <c r="V209" s="9"/>
      <c r="W209" s="9"/>
      <c r="X209" s="9"/>
      <c r="Y209" s="9"/>
      <c r="Z209" s="9"/>
      <c r="AA209" s="9"/>
      <c r="AB209" s="9"/>
      <c r="AC209" s="9"/>
      <c r="AD209" s="9"/>
      <c r="AE209" s="9"/>
    </row>
    <row r="210" spans="1:31" ht="11.25" customHeight="1">
      <c r="A210" s="594"/>
      <c r="B210" s="9"/>
      <c r="K210" s="9"/>
      <c r="N210" s="9"/>
      <c r="O210" s="9"/>
      <c r="P210" s="9"/>
      <c r="Q210" s="9"/>
      <c r="S210" s="9"/>
      <c r="T210" s="9"/>
      <c r="U210" s="9"/>
      <c r="V210" s="9"/>
      <c r="W210" s="9"/>
      <c r="X210" s="9"/>
      <c r="Y210" s="9"/>
      <c r="Z210" s="9"/>
      <c r="AA210" s="9"/>
      <c r="AB210" s="9"/>
      <c r="AC210" s="9"/>
      <c r="AD210" s="9"/>
      <c r="AE210" s="9"/>
    </row>
    <row r="211" spans="1:31" ht="11.25" customHeight="1">
      <c r="A211" s="594"/>
      <c r="B211" s="9"/>
      <c r="K211" s="9"/>
      <c r="N211" s="9"/>
      <c r="O211" s="9"/>
      <c r="P211" s="9"/>
      <c r="Q211" s="9"/>
      <c r="S211" s="9"/>
      <c r="T211" s="9"/>
      <c r="U211" s="9"/>
      <c r="V211" s="9"/>
      <c r="W211" s="9"/>
      <c r="X211" s="9"/>
      <c r="Y211" s="9"/>
      <c r="Z211" s="9"/>
      <c r="AA211" s="9"/>
      <c r="AB211" s="9"/>
      <c r="AC211" s="9"/>
      <c r="AD211" s="9"/>
      <c r="AE211" s="9"/>
    </row>
    <row r="212" spans="1:31" ht="11.25" customHeight="1">
      <c r="A212" s="594"/>
      <c r="B212" s="9"/>
      <c r="K212" s="9"/>
      <c r="N212" s="9"/>
      <c r="O212" s="9"/>
      <c r="P212" s="9"/>
      <c r="Q212" s="9"/>
      <c r="S212" s="9"/>
      <c r="T212" s="9"/>
      <c r="U212" s="9"/>
      <c r="V212" s="9"/>
      <c r="W212" s="9"/>
      <c r="X212" s="9"/>
      <c r="Y212" s="9"/>
      <c r="Z212" s="9"/>
      <c r="AA212" s="9"/>
      <c r="AB212" s="9"/>
      <c r="AC212" s="9"/>
      <c r="AD212" s="9"/>
      <c r="AE212" s="9"/>
    </row>
    <row r="213" spans="1:31" ht="11.25" customHeight="1">
      <c r="A213" s="594"/>
      <c r="B213" s="9"/>
      <c r="K213" s="9"/>
      <c r="N213" s="9"/>
      <c r="O213" s="9"/>
      <c r="P213" s="9"/>
      <c r="Q213" s="9"/>
      <c r="S213" s="9"/>
      <c r="T213" s="9"/>
      <c r="U213" s="9"/>
      <c r="V213" s="9"/>
      <c r="W213" s="9"/>
      <c r="X213" s="9"/>
      <c r="Y213" s="9"/>
      <c r="Z213" s="9"/>
      <c r="AA213" s="9"/>
      <c r="AB213" s="9"/>
      <c r="AC213" s="9"/>
      <c r="AD213" s="9"/>
      <c r="AE213" s="9"/>
    </row>
    <row r="214" spans="1:31" ht="11.25" customHeight="1">
      <c r="A214" s="594"/>
      <c r="B214" s="9"/>
      <c r="K214" s="9"/>
      <c r="N214" s="9"/>
      <c r="O214" s="9"/>
      <c r="P214" s="9"/>
      <c r="Q214" s="9"/>
      <c r="S214" s="9"/>
      <c r="T214" s="9"/>
      <c r="U214" s="9"/>
      <c r="V214" s="9"/>
      <c r="W214" s="9"/>
      <c r="X214" s="9"/>
      <c r="Y214" s="9"/>
      <c r="Z214" s="9"/>
      <c r="AA214" s="9"/>
      <c r="AB214" s="9"/>
      <c r="AC214" s="9"/>
      <c r="AD214" s="9"/>
      <c r="AE214" s="9"/>
    </row>
    <row r="215" spans="1:31" ht="11.25" customHeight="1">
      <c r="A215" s="594"/>
      <c r="B215" s="9"/>
      <c r="K215" s="9"/>
      <c r="N215" s="9"/>
      <c r="O215" s="9"/>
      <c r="P215" s="9"/>
      <c r="Q215" s="9"/>
      <c r="S215" s="9"/>
      <c r="T215" s="9"/>
      <c r="U215" s="9"/>
      <c r="V215" s="9"/>
      <c r="W215" s="9"/>
      <c r="X215" s="9"/>
      <c r="Y215" s="9"/>
      <c r="Z215" s="9"/>
      <c r="AA215" s="9"/>
      <c r="AB215" s="9"/>
      <c r="AC215" s="9"/>
      <c r="AD215" s="9"/>
      <c r="AE215" s="9"/>
    </row>
    <row r="216" spans="1:31" ht="11.25" customHeight="1">
      <c r="A216" s="594"/>
      <c r="B216" s="9"/>
      <c r="K216" s="9"/>
      <c r="N216" s="9"/>
      <c r="O216" s="9"/>
      <c r="P216" s="9"/>
      <c r="Q216" s="9"/>
      <c r="S216" s="9"/>
      <c r="T216" s="9"/>
      <c r="U216" s="9"/>
      <c r="V216" s="9"/>
      <c r="W216" s="9"/>
      <c r="X216" s="9"/>
      <c r="Y216" s="9"/>
      <c r="Z216" s="9"/>
      <c r="AA216" s="9"/>
      <c r="AB216" s="9"/>
      <c r="AC216" s="9"/>
      <c r="AD216" s="9"/>
      <c r="AE216" s="9"/>
    </row>
    <row r="217" spans="1:31" ht="11.25" customHeight="1">
      <c r="A217" s="594"/>
      <c r="B217" s="9"/>
      <c r="K217" s="9"/>
      <c r="N217" s="9"/>
      <c r="O217" s="9"/>
      <c r="P217" s="9"/>
      <c r="Q217" s="9"/>
      <c r="S217" s="9"/>
      <c r="T217" s="9"/>
      <c r="U217" s="9"/>
      <c r="V217" s="9"/>
      <c r="W217" s="9"/>
      <c r="X217" s="9"/>
      <c r="Y217" s="9"/>
      <c r="Z217" s="9"/>
      <c r="AA217" s="9"/>
      <c r="AB217" s="9"/>
      <c r="AC217" s="9"/>
      <c r="AD217" s="9"/>
      <c r="AE217" s="9"/>
    </row>
    <row r="218" spans="1:31" ht="11.25" customHeight="1">
      <c r="A218" s="594"/>
      <c r="B218" s="9"/>
      <c r="K218" s="9"/>
      <c r="N218" s="9"/>
      <c r="O218" s="9"/>
      <c r="P218" s="9"/>
      <c r="Q218" s="9"/>
      <c r="S218" s="9"/>
      <c r="T218" s="9"/>
      <c r="U218" s="9"/>
      <c r="V218" s="9"/>
      <c r="W218" s="9"/>
      <c r="X218" s="9"/>
      <c r="Y218" s="9"/>
      <c r="Z218" s="9"/>
      <c r="AA218" s="9"/>
      <c r="AB218" s="9"/>
      <c r="AC218" s="9"/>
      <c r="AD218" s="9"/>
      <c r="AE218" s="9"/>
    </row>
  </sheetData>
  <sheetProtection formatColumns="0" formatRows="0" insertRows="0" deleteColumns="0" deleteRows="0" sort="0" autoFilter="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xr:uid="{00000000-0002-0000-2900-000000000000}">
      <formula1>900</formula1>
    </dataValidation>
    <dataValidation type="decimal" allowBlank="1" showErrorMessage="1" errorTitle="Ошибка" error="Допускается ввод только неотрицательных чисел!" sqref="H38:I39 H2:I2 H15:I15 H17:I32 H35:I35 H44:I46" xr:uid="{00000000-0002-0000-29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xr:uid="{00000000-0002-0000-2900-000002000000}">
      <formula1>900</formula1>
    </dataValidation>
    <dataValidation type="decimal" allowBlank="1" showErrorMessage="1" errorTitle="Ошибка" error="Допускается ввод только действительных чисел!" sqref="H36:I37" xr:uid="{00000000-0002-0000-2900-000003000000}">
      <formula1>-9.99999999999999E+23</formula1>
      <formula2>9.99999999999999E+23</formula2>
    </dataValidation>
    <dataValidation type="decimal" allowBlank="1" showErrorMessage="1" errorTitle="Ошибка" error="Допускается ввод только действительных чисел!" sqref="H40:I42" xr:uid="{00000000-0002-0000-2900-000004000000}">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FDDF92-B8D5-10B2-2115-A5E1AFA707E2}">
  <sheetPr>
    <tabColor theme="9" tint="-0.249977111117893"/>
  </sheetPr>
  <dimension ref="A1:AE209"/>
  <sheetViews>
    <sheetView showGridLines="0" topLeftCell="D5" zoomScale="90" workbookViewId="0"/>
  </sheetViews>
  <sheetFormatPr defaultColWidth="9.140625" defaultRowHeight="11.25" customHeight="1"/>
  <cols>
    <col min="1" max="1" width="10.7109375" style="591" hidden="1" customWidth="1"/>
    <col min="2" max="2" width="16.85546875" style="60" hidden="1" customWidth="1"/>
    <col min="3" max="3" width="5.5703125" style="65" hidden="1" customWidth="1"/>
    <col min="4" max="4" width="3.7109375" style="9" customWidth="1"/>
    <col min="5" max="5" width="7.7109375" style="9" customWidth="1"/>
    <col min="6" max="6" width="54.57031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20"/>
    <col min="22" max="26" width="9.140625" style="60"/>
    <col min="27" max="31" width="9.140625" style="6"/>
  </cols>
  <sheetData>
    <row r="1" spans="1:31" s="60" customFormat="1" ht="11.25" hidden="1" customHeight="1">
      <c r="A1" s="591"/>
      <c r="C1" s="65"/>
      <c r="H1" s="60">
        <v>4</v>
      </c>
      <c r="I1" s="60">
        <v>4</v>
      </c>
      <c r="L1" s="65"/>
      <c r="M1" s="65"/>
      <c r="R1" s="65"/>
    </row>
    <row r="2" spans="1:31" s="60" customFormat="1" ht="22.5" hidden="1" customHeight="1">
      <c r="A2" s="591"/>
      <c r="C2" s="65"/>
      <c r="D2" s="315"/>
      <c r="E2" s="39"/>
      <c r="F2" s="316"/>
      <c r="G2" s="39" t="s">
        <v>1716</v>
      </c>
      <c r="H2" s="317"/>
      <c r="I2" s="317"/>
      <c r="J2" s="318" t="s">
        <v>1719</v>
      </c>
      <c r="K2" s="319"/>
      <c r="L2" s="65"/>
      <c r="M2" s="65"/>
      <c r="R2" s="65"/>
      <c r="U2" s="320"/>
      <c r="AA2" s="6"/>
      <c r="AB2" s="6"/>
      <c r="AC2" s="6"/>
      <c r="AD2" s="6"/>
      <c r="AE2" s="6"/>
    </row>
    <row r="3" spans="1:31" ht="11.25" hidden="1" customHeight="1"/>
    <row r="4" spans="1:31" s="6" customFormat="1" ht="11.25" hidden="1" customHeight="1">
      <c r="A4" s="591"/>
      <c r="B4" s="60"/>
      <c r="C4" s="65"/>
      <c r="J4" s="6">
        <v>4</v>
      </c>
      <c r="K4" s="60"/>
      <c r="L4" s="65"/>
      <c r="M4" s="65"/>
      <c r="N4" s="60"/>
      <c r="O4" s="60"/>
      <c r="P4" s="60"/>
      <c r="Q4" s="60"/>
      <c r="R4" s="65"/>
      <c r="S4" s="60"/>
      <c r="T4" s="60"/>
      <c r="U4" s="320"/>
      <c r="V4" s="60"/>
      <c r="W4" s="60"/>
      <c r="X4" s="60"/>
      <c r="Y4" s="60"/>
      <c r="Z4" s="60"/>
    </row>
    <row r="6" spans="1:31" ht="24" customHeight="1">
      <c r="E6" s="1076" t="s">
        <v>1815</v>
      </c>
      <c r="F6" s="1077"/>
      <c r="G6" s="1077"/>
      <c r="H6" s="1077"/>
      <c r="I6" s="1078"/>
      <c r="J6" s="57"/>
    </row>
    <row r="7" spans="1:31" ht="24" customHeight="1">
      <c r="E7" s="1183" t="str">
        <f>IF(org=0,"Не определено",org)</f>
        <v>ИМУП «ПОСЖИЛКОМСЕРВИС»</v>
      </c>
      <c r="F7" s="1184"/>
      <c r="G7" s="1184"/>
      <c r="H7" s="1184"/>
      <c r="I7" s="1185"/>
    </row>
    <row r="8" spans="1:31" ht="11.25" customHeight="1">
      <c r="E8" s="686"/>
      <c r="F8" s="686"/>
      <c r="G8" s="686"/>
      <c r="H8" s="686"/>
      <c r="I8" s="686"/>
    </row>
    <row r="9" spans="1:31" s="65" customFormat="1" ht="0.75" customHeight="1">
      <c r="A9" s="324"/>
      <c r="H9" s="531"/>
      <c r="I9" s="531" t="s">
        <v>118</v>
      </c>
    </row>
    <row r="10" spans="1:31" ht="11.25" customHeight="1">
      <c r="E10" s="418"/>
      <c r="F10" s="1373" t="s">
        <v>106</v>
      </c>
      <c r="G10" s="1374"/>
      <c r="H10" s="894" t="str">
        <f>IF(H9="","",INDEX(DIFFERENTIATION_UNMERGE_VD,MATCH(H9,DIFFERENTIATION_ID_DIFF,0)))</f>
        <v/>
      </c>
      <c r="I10" s="894" t="str">
        <f>IF(I9="","",INDEX(DIFFERENTIATION_UNMERGE_VD,MATCH(I9,DIFFERENTIATION_ID_DIFF,0)))</f>
        <v>Холодное водоснабжение. Питьевая вода</v>
      </c>
      <c r="J10" s="1083"/>
    </row>
    <row r="11" spans="1:31" ht="11.25" customHeight="1">
      <c r="E11" s="418"/>
      <c r="F11" s="1373" t="s">
        <v>414</v>
      </c>
      <c r="G11" s="1374"/>
      <c r="H11" s="894" t="str">
        <f>IF(H9="","",INDEX(DIFFERENTIATION_UNMERGE_AREA,MATCH(H9,DIFFERENTIATION_ID_DIFF,0)))</f>
        <v/>
      </c>
      <c r="I11" s="894" t="str">
        <f>IF(I9="","",INDEX(DIFFERENTIATION_UNMERGE_AREA,MATCH(I9,DIFFERENTIATION_ID_DIFF,0)))</f>
        <v>Территория 1</v>
      </c>
      <c r="J11" s="1083"/>
    </row>
    <row r="12" spans="1:31" ht="11.25" hidden="1" customHeight="1">
      <c r="E12" s="932"/>
      <c r="F12" s="1407" t="s">
        <v>415</v>
      </c>
      <c r="G12" s="1408"/>
      <c r="H12" s="933" t="str">
        <f>IF(H9="","",INDEX(DIFFERENTIATION_UNMERGE_SYSTEM,MATCH(H9,DIFFERENTIATION_ID_DIFF,0)))</f>
        <v/>
      </c>
      <c r="I12" s="933" t="str">
        <f>IF(I9="","",INDEX(DIFFERENTIATION_UNMERGE_SYSTEM,MATCH(I9,DIFFERENTIATION_ID_DIFF,0)))</f>
        <v>без дифференциации</v>
      </c>
      <c r="J12" s="1083"/>
    </row>
    <row r="13" spans="1:31" ht="11.25" customHeight="1">
      <c r="E13" s="1375" t="s">
        <v>288</v>
      </c>
      <c r="F13" s="1376"/>
      <c r="G13" s="1376"/>
      <c r="H13" s="529"/>
      <c r="I13" s="529"/>
      <c r="J13" s="1083"/>
    </row>
    <row r="14" spans="1:31" ht="22.5" customHeight="1">
      <c r="E14" s="39" t="s">
        <v>88</v>
      </c>
      <c r="F14" s="39" t="s">
        <v>290</v>
      </c>
      <c r="G14" s="39" t="s">
        <v>1611</v>
      </c>
      <c r="H14" s="39" t="s">
        <v>291</v>
      </c>
      <c r="I14" s="39" t="s">
        <v>291</v>
      </c>
      <c r="J14" s="1083"/>
    </row>
    <row r="15" spans="1:31" ht="18.75" customHeight="1">
      <c r="D15" s="53"/>
      <c r="E15" s="930" t="s">
        <v>110</v>
      </c>
      <c r="F15" s="150" t="s">
        <v>1816</v>
      </c>
      <c r="G15" s="39" t="s">
        <v>1716</v>
      </c>
      <c r="H15" s="332"/>
      <c r="I15" s="332"/>
      <c r="J15" s="64" t="s">
        <v>1817</v>
      </c>
      <c r="K15" s="319" t="s">
        <v>1768</v>
      </c>
    </row>
    <row r="16" spans="1:31" ht="22.5" customHeight="1">
      <c r="D16" s="53"/>
      <c r="E16" s="930" t="s">
        <v>111</v>
      </c>
      <c r="F16" s="914" t="s">
        <v>1818</v>
      </c>
      <c r="G16" s="39" t="s">
        <v>1716</v>
      </c>
      <c r="H16" s="333">
        <f>SUM(H17,H20:H27)</f>
        <v>0</v>
      </c>
      <c r="I16" s="333">
        <f>SUM(I17,I20:I27)</f>
        <v>0</v>
      </c>
      <c r="J16" s="64" t="s">
        <v>1819</v>
      </c>
      <c r="K16" s="319" t="s">
        <v>1768</v>
      </c>
    </row>
    <row r="17" spans="1:31" ht="33.75" customHeight="1">
      <c r="D17" s="53"/>
      <c r="E17" s="934" t="s">
        <v>452</v>
      </c>
      <c r="F17" s="404" t="s">
        <v>1820</v>
      </c>
      <c r="G17" s="405" t="s">
        <v>1716</v>
      </c>
      <c r="H17" s="332"/>
      <c r="I17" s="332"/>
      <c r="J17" s="64" t="s">
        <v>1821</v>
      </c>
      <c r="K17" s="319"/>
    </row>
    <row r="18" spans="1:31" ht="18.75" customHeight="1">
      <c r="D18" s="53"/>
      <c r="E18" s="934" t="s">
        <v>454</v>
      </c>
      <c r="F18" s="737" t="s">
        <v>1822</v>
      </c>
      <c r="G18" s="405" t="s">
        <v>1716</v>
      </c>
      <c r="H18" s="332"/>
      <c r="I18" s="332"/>
      <c r="J18" s="64"/>
      <c r="K18" s="319"/>
    </row>
    <row r="19" spans="1:31" ht="22.5" customHeight="1">
      <c r="D19" s="53"/>
      <c r="E19" s="934" t="s">
        <v>1775</v>
      </c>
      <c r="F19" s="737" t="s">
        <v>1823</v>
      </c>
      <c r="G19" s="405" t="s">
        <v>1716</v>
      </c>
      <c r="H19" s="332"/>
      <c r="I19" s="332"/>
      <c r="J19" s="64"/>
      <c r="K19" s="319"/>
    </row>
    <row r="20" spans="1:31" ht="33.75" customHeight="1">
      <c r="D20" s="53"/>
      <c r="E20" s="934" t="s">
        <v>295</v>
      </c>
      <c r="F20" s="404" t="s">
        <v>1824</v>
      </c>
      <c r="G20" s="405" t="s">
        <v>1716</v>
      </c>
      <c r="H20" s="332"/>
      <c r="I20" s="332"/>
      <c r="J20" s="64"/>
      <c r="K20" s="319"/>
    </row>
    <row r="21" spans="1:31" ht="33.75" customHeight="1">
      <c r="D21" s="53"/>
      <c r="E21" s="934" t="s">
        <v>298</v>
      </c>
      <c r="F21" s="404" t="s">
        <v>1825</v>
      </c>
      <c r="G21" s="405" t="s">
        <v>1716</v>
      </c>
      <c r="H21" s="332"/>
      <c r="I21" s="332"/>
      <c r="J21" s="64"/>
      <c r="K21" s="319"/>
    </row>
    <row r="22" spans="1:31" ht="56.25" customHeight="1">
      <c r="D22" s="53"/>
      <c r="E22" s="934" t="s">
        <v>1362</v>
      </c>
      <c r="F22" s="404" t="s">
        <v>1826</v>
      </c>
      <c r="G22" s="405" t="s">
        <v>1716</v>
      </c>
      <c r="H22" s="332"/>
      <c r="I22" s="332"/>
      <c r="J22" s="64"/>
      <c r="K22" s="319"/>
    </row>
    <row r="23" spans="1:31" ht="33.75" customHeight="1">
      <c r="D23" s="53"/>
      <c r="E23" s="934" t="s">
        <v>1364</v>
      </c>
      <c r="F23" s="404" t="s">
        <v>1827</v>
      </c>
      <c r="G23" s="405" t="s">
        <v>1716</v>
      </c>
      <c r="H23" s="332"/>
      <c r="I23" s="332"/>
      <c r="J23" s="64"/>
      <c r="K23" s="319"/>
    </row>
    <row r="24" spans="1:31" ht="33.75" customHeight="1">
      <c r="D24" s="53"/>
      <c r="E24" s="934" t="s">
        <v>1378</v>
      </c>
      <c r="F24" s="404" t="s">
        <v>1828</v>
      </c>
      <c r="G24" s="405" t="s">
        <v>1716</v>
      </c>
      <c r="H24" s="332"/>
      <c r="I24" s="332"/>
      <c r="J24" s="64"/>
      <c r="K24" s="319"/>
    </row>
    <row r="25" spans="1:31" ht="22.5" customHeight="1">
      <c r="D25" s="53"/>
      <c r="E25" s="934" t="s">
        <v>1389</v>
      </c>
      <c r="F25" s="404" t="s">
        <v>1829</v>
      </c>
      <c r="G25" s="405" t="s">
        <v>1716</v>
      </c>
      <c r="H25" s="332"/>
      <c r="I25" s="332"/>
      <c r="J25" s="64"/>
      <c r="K25" s="319"/>
    </row>
    <row r="26" spans="1:31" ht="67.5" customHeight="1">
      <c r="D26" s="53"/>
      <c r="E26" s="934" t="s">
        <v>1400</v>
      </c>
      <c r="F26" s="404" t="s">
        <v>1830</v>
      </c>
      <c r="G26" s="405" t="s">
        <v>1716</v>
      </c>
      <c r="H26" s="332"/>
      <c r="I26" s="332"/>
      <c r="J26" s="64"/>
      <c r="K26" s="319"/>
    </row>
    <row r="27" spans="1:31" s="60" customFormat="1" ht="22.5" customHeight="1">
      <c r="A27" s="591"/>
      <c r="C27" s="65"/>
      <c r="D27" s="53"/>
      <c r="E27" s="929" t="s">
        <v>1408</v>
      </c>
      <c r="F27" s="928" t="s">
        <v>1831</v>
      </c>
      <c r="G27" s="351" t="s">
        <v>1716</v>
      </c>
      <c r="H27" s="352">
        <f>SUM(H28:H29)</f>
        <v>0</v>
      </c>
      <c r="I27" s="352">
        <f>SUM(I28:I29)</f>
        <v>0</v>
      </c>
      <c r="J27" s="64" t="s">
        <v>1793</v>
      </c>
      <c r="K27" s="319"/>
      <c r="L27" s="65"/>
      <c r="M27" s="65"/>
      <c r="R27" s="65"/>
      <c r="U27" s="320"/>
      <c r="AA27" s="6"/>
      <c r="AB27" s="6"/>
      <c r="AC27" s="6"/>
      <c r="AD27" s="6"/>
      <c r="AE27" s="6"/>
    </row>
    <row r="28" spans="1:31" s="65" customFormat="1" ht="0.75" customHeight="1">
      <c r="A28" s="324"/>
      <c r="D28" s="324"/>
      <c r="E28" s="327" t="str">
        <f>E27&amp;".0"</f>
        <v>2.9.0</v>
      </c>
      <c r="F28" s="595"/>
      <c r="G28" s="327"/>
      <c r="H28" s="596"/>
      <c r="I28" s="596"/>
      <c r="J28" s="597"/>
    </row>
    <row r="29" spans="1:31" s="60" customFormat="1" ht="18.75" customHeight="1">
      <c r="A29" s="591"/>
      <c r="C29" s="65"/>
      <c r="D29" s="74"/>
      <c r="E29" s="344"/>
      <c r="F29" s="935" t="s">
        <v>1734</v>
      </c>
      <c r="G29" s="345"/>
      <c r="H29" s="346"/>
      <c r="I29" s="346"/>
      <c r="J29" s="171" t="s">
        <v>1794</v>
      </c>
      <c r="K29" s="319"/>
      <c r="L29" s="65"/>
      <c r="M29" s="65"/>
      <c r="R29" s="65"/>
      <c r="U29" s="320"/>
      <c r="AA29" s="6"/>
      <c r="AB29" s="6"/>
      <c r="AC29" s="6"/>
      <c r="AD29" s="6"/>
      <c r="AE29" s="6"/>
    </row>
    <row r="30" spans="1:31" s="60" customFormat="1" ht="22.5" customHeight="1">
      <c r="A30" s="591"/>
      <c r="C30" s="65"/>
      <c r="D30" s="53"/>
      <c r="E30" s="934" t="s">
        <v>90</v>
      </c>
      <c r="F30" s="187" t="s">
        <v>1832</v>
      </c>
      <c r="G30" s="405" t="s">
        <v>1716</v>
      </c>
      <c r="H30" s="332"/>
      <c r="I30" s="332"/>
      <c r="J30" s="64"/>
      <c r="K30" s="319"/>
      <c r="L30" s="65"/>
      <c r="M30" s="65"/>
      <c r="R30" s="65"/>
      <c r="U30" s="320"/>
      <c r="AA30" s="6"/>
      <c r="AB30" s="6"/>
      <c r="AC30" s="6"/>
      <c r="AD30" s="6"/>
      <c r="AE30" s="6"/>
    </row>
    <row r="31" spans="1:31" s="60" customFormat="1" ht="33.75" customHeight="1">
      <c r="A31" s="591"/>
      <c r="C31" s="65"/>
      <c r="D31" s="348"/>
      <c r="E31" s="934" t="s">
        <v>91</v>
      </c>
      <c r="F31" s="187" t="s">
        <v>1833</v>
      </c>
      <c r="G31" s="405" t="s">
        <v>1716</v>
      </c>
      <c r="H31" s="332"/>
      <c r="I31" s="332"/>
      <c r="J31" s="64" t="s">
        <v>1834</v>
      </c>
      <c r="K31" s="319"/>
      <c r="L31" s="65"/>
      <c r="M31" s="65"/>
      <c r="R31" s="65"/>
      <c r="U31" s="320"/>
      <c r="AA31" s="6"/>
      <c r="AB31" s="6"/>
      <c r="AC31" s="6"/>
      <c r="AD31" s="6"/>
      <c r="AE31" s="6"/>
    </row>
    <row r="32" spans="1:31" s="60" customFormat="1" ht="22.5" customHeight="1">
      <c r="A32" s="591"/>
      <c r="C32" s="65"/>
      <c r="D32" s="53"/>
      <c r="E32" s="934" t="s">
        <v>1461</v>
      </c>
      <c r="F32" s="404" t="s">
        <v>1801</v>
      </c>
      <c r="G32" s="405" t="s">
        <v>1716</v>
      </c>
      <c r="H32" s="332"/>
      <c r="I32" s="332"/>
      <c r="J32" s="64" t="s">
        <v>1835</v>
      </c>
      <c r="K32" s="319"/>
      <c r="L32" s="65"/>
      <c r="M32" s="65"/>
      <c r="R32" s="65"/>
      <c r="U32" s="320"/>
      <c r="AA32" s="6"/>
      <c r="AB32" s="6"/>
      <c r="AC32" s="6"/>
      <c r="AD32" s="6"/>
      <c r="AE32" s="6"/>
    </row>
    <row r="33" spans="1:31" s="60" customFormat="1" ht="22.5" customHeight="1">
      <c r="A33" s="591"/>
      <c r="C33" s="65"/>
      <c r="D33" s="53"/>
      <c r="E33" s="934" t="s">
        <v>1478</v>
      </c>
      <c r="F33" s="404" t="s">
        <v>1836</v>
      </c>
      <c r="G33" s="405" t="s">
        <v>1716</v>
      </c>
      <c r="H33" s="332"/>
      <c r="I33" s="332"/>
      <c r="J33" s="64" t="s">
        <v>1837</v>
      </c>
      <c r="K33" s="319"/>
      <c r="L33" s="65"/>
      <c r="M33" s="65"/>
      <c r="R33" s="65"/>
      <c r="U33" s="320"/>
      <c r="AA33" s="6"/>
      <c r="AB33" s="6"/>
      <c r="AC33" s="6"/>
      <c r="AD33" s="6"/>
      <c r="AE33" s="6"/>
    </row>
    <row r="34" spans="1:31" s="60" customFormat="1" ht="22.5" customHeight="1">
      <c r="A34" s="591"/>
      <c r="C34" s="65"/>
      <c r="D34" s="53"/>
      <c r="E34" s="934" t="s">
        <v>1626</v>
      </c>
      <c r="F34" s="404" t="s">
        <v>1804</v>
      </c>
      <c r="G34" s="405" t="s">
        <v>1716</v>
      </c>
      <c r="H34" s="332"/>
      <c r="I34" s="332"/>
      <c r="J34" s="64" t="s">
        <v>1838</v>
      </c>
      <c r="K34" s="319"/>
      <c r="L34" s="65"/>
      <c r="M34" s="65"/>
      <c r="R34" s="65"/>
      <c r="U34" s="320"/>
      <c r="AA34" s="6"/>
      <c r="AB34" s="6"/>
      <c r="AC34" s="6"/>
      <c r="AD34" s="6"/>
      <c r="AE34" s="6"/>
    </row>
    <row r="35" spans="1:31" s="60" customFormat="1" ht="33.75" customHeight="1">
      <c r="A35" s="591"/>
      <c r="C35" s="65" t="s">
        <v>1743</v>
      </c>
      <c r="D35" s="53"/>
      <c r="E35" s="934" t="s">
        <v>112</v>
      </c>
      <c r="F35" s="187" t="s">
        <v>1484</v>
      </c>
      <c r="G35" s="39" t="s">
        <v>294</v>
      </c>
      <c r="H35" s="241"/>
      <c r="I35" s="241"/>
      <c r="J35" s="64" t="s">
        <v>1839</v>
      </c>
      <c r="K35" s="319"/>
      <c r="L35" s="65"/>
      <c r="M35" s="65"/>
      <c r="R35" s="65"/>
      <c r="U35" s="320"/>
      <c r="AA35" s="6"/>
      <c r="AB35" s="6"/>
      <c r="AC35" s="6"/>
      <c r="AD35" s="6"/>
      <c r="AE35" s="6"/>
    </row>
    <row r="36" spans="1:31" s="60" customFormat="1" ht="22.5" customHeight="1">
      <c r="A36" s="591"/>
      <c r="C36" s="65"/>
      <c r="D36" s="53"/>
      <c r="E36" s="934" t="s">
        <v>92</v>
      </c>
      <c r="F36" s="187" t="s">
        <v>1840</v>
      </c>
      <c r="G36" s="405" t="s">
        <v>1809</v>
      </c>
      <c r="H36" s="321"/>
      <c r="I36" s="321"/>
      <c r="J36" s="64" t="s">
        <v>1810</v>
      </c>
      <c r="K36" s="319"/>
      <c r="L36" s="65"/>
      <c r="M36" s="65"/>
      <c r="R36" s="65"/>
      <c r="U36" s="320"/>
      <c r="AA36" s="6"/>
      <c r="AB36" s="6"/>
      <c r="AC36" s="6"/>
      <c r="AD36" s="6"/>
      <c r="AE36" s="6"/>
    </row>
    <row r="37" spans="1:31" s="60" customFormat="1" ht="22.5" customHeight="1">
      <c r="A37" s="591"/>
      <c r="C37" s="65"/>
      <c r="D37" s="53"/>
      <c r="E37" s="934" t="s">
        <v>93</v>
      </c>
      <c r="F37" s="187" t="s">
        <v>1841</v>
      </c>
      <c r="G37" s="405" t="s">
        <v>1812</v>
      </c>
      <c r="H37" s="321"/>
      <c r="I37" s="321"/>
      <c r="J37" s="64" t="s">
        <v>1813</v>
      </c>
      <c r="K37" s="319"/>
      <c r="L37" s="65"/>
      <c r="M37" s="65"/>
      <c r="R37" s="65"/>
      <c r="U37" s="320"/>
      <c r="AA37" s="6"/>
      <c r="AB37" s="6"/>
      <c r="AC37" s="6"/>
      <c r="AD37" s="6"/>
      <c r="AE37" s="6"/>
    </row>
    <row r="38" spans="1:31" ht="11.25" customHeight="1">
      <c r="D38" s="53"/>
    </row>
    <row r="39" spans="1:31" ht="26.25" customHeight="1">
      <c r="D39" s="53"/>
      <c r="E39" s="204" t="s">
        <v>506</v>
      </c>
      <c r="F39" s="1284" t="s">
        <v>1842</v>
      </c>
      <c r="G39" s="1284"/>
      <c r="H39" s="1284"/>
      <c r="I39" s="1284"/>
      <c r="J39" s="1284"/>
    </row>
    <row r="40" spans="1:31" s="209" customFormat="1" ht="37.5" customHeight="1">
      <c r="A40" s="591"/>
      <c r="B40" s="65"/>
      <c r="C40" s="65"/>
      <c r="F40" s="1284" t="s">
        <v>1843</v>
      </c>
      <c r="G40" s="1284"/>
      <c r="H40" s="1284"/>
      <c r="I40" s="1284"/>
      <c r="J40" s="1284"/>
      <c r="K40" s="60"/>
      <c r="L40" s="65"/>
      <c r="M40" s="65"/>
      <c r="N40" s="60"/>
      <c r="O40" s="60"/>
      <c r="P40" s="60"/>
      <c r="Q40" s="60"/>
      <c r="R40" s="65"/>
      <c r="S40" s="60"/>
      <c r="T40" s="60"/>
      <c r="U40" s="320"/>
      <c r="V40" s="60"/>
      <c r="W40" s="60"/>
      <c r="X40" s="60"/>
      <c r="Y40" s="60"/>
      <c r="Z40" s="60"/>
      <c r="AA40" s="6"/>
      <c r="AB40" s="139"/>
      <c r="AC40" s="139"/>
      <c r="AD40" s="139"/>
      <c r="AE40" s="139"/>
    </row>
    <row r="41" spans="1:31" s="209" customFormat="1" ht="11.25" customHeight="1">
      <c r="A41" s="591"/>
      <c r="B41" s="65"/>
      <c r="C41" s="65"/>
      <c r="K41" s="60"/>
      <c r="L41" s="65"/>
      <c r="M41" s="65"/>
      <c r="N41" s="60"/>
      <c r="O41" s="60"/>
      <c r="P41" s="60"/>
      <c r="Q41" s="60"/>
      <c r="R41" s="65"/>
      <c r="S41" s="60"/>
      <c r="T41" s="60"/>
      <c r="U41" s="320"/>
      <c r="V41" s="60"/>
      <c r="W41" s="60"/>
      <c r="X41" s="60"/>
      <c r="Y41" s="60"/>
      <c r="Z41" s="60"/>
      <c r="AA41" s="6"/>
      <c r="AB41" s="139"/>
      <c r="AC41" s="139"/>
      <c r="AD41" s="139"/>
      <c r="AE41" s="139"/>
    </row>
    <row r="42" spans="1:31" s="209" customFormat="1" ht="11.25" customHeight="1">
      <c r="A42" s="591"/>
      <c r="B42" s="65"/>
      <c r="C42" s="65"/>
      <c r="K42" s="60"/>
      <c r="L42" s="65"/>
      <c r="M42" s="65"/>
      <c r="N42" s="60"/>
      <c r="O42" s="60"/>
      <c r="P42" s="60"/>
      <c r="Q42" s="60"/>
      <c r="R42" s="65"/>
      <c r="S42" s="60"/>
      <c r="T42" s="60"/>
      <c r="U42" s="320"/>
      <c r="V42" s="60"/>
      <c r="W42" s="60"/>
      <c r="X42" s="60"/>
      <c r="Y42" s="60"/>
      <c r="Z42" s="60"/>
      <c r="AA42" s="6"/>
      <c r="AB42" s="139"/>
      <c r="AC42" s="139"/>
      <c r="AD42" s="139"/>
      <c r="AE42" s="139"/>
    </row>
    <row r="43" spans="1:31" s="209" customFormat="1" ht="11.25" customHeight="1">
      <c r="A43" s="591"/>
      <c r="B43" s="65"/>
      <c r="C43" s="65"/>
      <c r="H43" s="139"/>
      <c r="I43" s="139"/>
      <c r="K43" s="60"/>
      <c r="L43" s="65"/>
      <c r="M43" s="65"/>
      <c r="N43" s="60"/>
      <c r="O43" s="60"/>
      <c r="P43" s="60"/>
      <c r="Q43" s="60"/>
      <c r="R43" s="65"/>
      <c r="S43" s="60"/>
      <c r="T43" s="60"/>
      <c r="U43" s="320"/>
      <c r="V43" s="60"/>
      <c r="W43" s="60"/>
      <c r="X43" s="60"/>
      <c r="Y43" s="60"/>
      <c r="Z43" s="60"/>
      <c r="AA43" s="6"/>
      <c r="AB43" s="139"/>
      <c r="AC43" s="139"/>
      <c r="AD43" s="139"/>
      <c r="AE43" s="139"/>
    </row>
    <row r="44" spans="1:31" s="209" customFormat="1" ht="11.25" customHeight="1">
      <c r="A44" s="591"/>
      <c r="B44" s="65"/>
      <c r="C44" s="65"/>
      <c r="K44" s="60"/>
      <c r="L44" s="65"/>
      <c r="M44" s="65"/>
      <c r="N44" s="60"/>
      <c r="O44" s="60"/>
      <c r="P44" s="60"/>
      <c r="Q44" s="60"/>
      <c r="R44" s="65"/>
      <c r="S44" s="60"/>
      <c r="T44" s="60"/>
      <c r="U44" s="320"/>
      <c r="V44" s="60"/>
      <c r="W44" s="60"/>
      <c r="X44" s="60"/>
      <c r="Y44" s="60"/>
      <c r="Z44" s="60"/>
      <c r="AA44" s="6"/>
      <c r="AB44" s="139"/>
      <c r="AC44" s="139"/>
      <c r="AD44" s="139"/>
      <c r="AE44" s="139"/>
    </row>
    <row r="45" spans="1:31" s="209" customFormat="1" ht="11.25" customHeight="1">
      <c r="A45" s="591"/>
      <c r="B45" s="65"/>
      <c r="C45" s="65"/>
      <c r="K45" s="60"/>
      <c r="L45" s="65"/>
      <c r="M45" s="65"/>
      <c r="N45" s="60"/>
      <c r="O45" s="60"/>
      <c r="P45" s="60"/>
      <c r="Q45" s="60"/>
      <c r="R45" s="65"/>
      <c r="S45" s="60"/>
      <c r="T45" s="60"/>
      <c r="U45" s="320"/>
      <c r="V45" s="60"/>
      <c r="W45" s="60"/>
      <c r="X45" s="60"/>
      <c r="Y45" s="60"/>
      <c r="Z45" s="60"/>
      <c r="AA45" s="6"/>
      <c r="AB45" s="139"/>
      <c r="AC45" s="139"/>
      <c r="AD45" s="139"/>
      <c r="AE45" s="139"/>
    </row>
    <row r="46" spans="1:31" s="209" customFormat="1" ht="11.25" customHeight="1">
      <c r="A46" s="591"/>
      <c r="B46" s="65"/>
      <c r="C46" s="65"/>
      <c r="K46" s="60"/>
      <c r="L46" s="65"/>
      <c r="M46" s="65"/>
      <c r="N46" s="60"/>
      <c r="O46" s="60"/>
      <c r="P46" s="60"/>
      <c r="Q46" s="60"/>
      <c r="R46" s="65"/>
      <c r="S46" s="60"/>
      <c r="T46" s="60"/>
      <c r="U46" s="320"/>
      <c r="V46" s="60"/>
      <c r="W46" s="60"/>
      <c r="X46" s="60"/>
      <c r="Y46" s="60"/>
      <c r="Z46" s="60"/>
      <c r="AA46" s="6"/>
      <c r="AB46" s="139"/>
      <c r="AC46" s="139"/>
      <c r="AD46" s="139"/>
      <c r="AE46" s="139"/>
    </row>
    <row r="47" spans="1:31" s="209" customFormat="1" ht="11.25" customHeight="1">
      <c r="A47" s="591"/>
      <c r="B47" s="65"/>
      <c r="C47" s="65"/>
      <c r="K47" s="60"/>
      <c r="L47" s="65"/>
      <c r="M47" s="65"/>
      <c r="N47" s="60"/>
      <c r="O47" s="60"/>
      <c r="P47" s="60"/>
      <c r="Q47" s="60"/>
      <c r="R47" s="65"/>
      <c r="S47" s="60"/>
      <c r="T47" s="60"/>
      <c r="U47" s="320"/>
      <c r="V47" s="60"/>
      <c r="W47" s="60"/>
      <c r="X47" s="60"/>
      <c r="Y47" s="60"/>
      <c r="Z47" s="60"/>
      <c r="AA47" s="6"/>
      <c r="AB47" s="139"/>
      <c r="AC47" s="139"/>
      <c r="AD47" s="139"/>
      <c r="AE47" s="139"/>
    </row>
    <row r="48" spans="1:31" s="209" customFormat="1" ht="11.25" customHeight="1">
      <c r="A48" s="591"/>
      <c r="B48" s="65"/>
      <c r="C48" s="65"/>
      <c r="K48" s="60"/>
      <c r="L48" s="65"/>
      <c r="M48" s="65"/>
      <c r="N48" s="60"/>
      <c r="O48" s="60"/>
      <c r="P48" s="60"/>
      <c r="Q48" s="60"/>
      <c r="R48" s="65"/>
      <c r="S48" s="60"/>
      <c r="T48" s="60"/>
      <c r="U48" s="320"/>
      <c r="V48" s="60"/>
      <c r="W48" s="60"/>
      <c r="X48" s="60"/>
      <c r="Y48" s="60"/>
      <c r="Z48" s="60"/>
      <c r="AA48" s="6"/>
      <c r="AB48" s="139"/>
      <c r="AC48" s="139"/>
      <c r="AD48" s="139"/>
      <c r="AE48" s="139"/>
    </row>
    <row r="49" spans="1:31" s="209" customFormat="1" ht="11.25" customHeight="1">
      <c r="A49" s="591"/>
      <c r="B49" s="65"/>
      <c r="C49" s="65"/>
      <c r="K49" s="60"/>
      <c r="L49" s="65"/>
      <c r="M49" s="65"/>
      <c r="N49" s="60"/>
      <c r="O49" s="60"/>
      <c r="P49" s="60"/>
      <c r="Q49" s="60"/>
      <c r="R49" s="65"/>
      <c r="S49" s="60"/>
      <c r="T49" s="60"/>
      <c r="U49" s="320"/>
      <c r="V49" s="60"/>
      <c r="W49" s="60"/>
      <c r="X49" s="60"/>
      <c r="Y49" s="60"/>
      <c r="Z49" s="60"/>
      <c r="AA49" s="6"/>
      <c r="AB49" s="139"/>
      <c r="AC49" s="139"/>
      <c r="AD49" s="139"/>
      <c r="AE49" s="139"/>
    </row>
    <row r="50" spans="1:31" s="209" customFormat="1" ht="11.25" customHeight="1">
      <c r="A50" s="591"/>
      <c r="B50" s="65"/>
      <c r="C50" s="65"/>
      <c r="K50" s="60"/>
      <c r="L50" s="65"/>
      <c r="M50" s="65"/>
      <c r="N50" s="60"/>
      <c r="O50" s="60"/>
      <c r="P50" s="60"/>
      <c r="Q50" s="60"/>
      <c r="R50" s="65"/>
      <c r="S50" s="60"/>
      <c r="T50" s="60"/>
      <c r="U50" s="320"/>
      <c r="V50" s="60"/>
      <c r="W50" s="60"/>
      <c r="X50" s="60"/>
      <c r="Y50" s="60"/>
      <c r="Z50" s="60"/>
      <c r="AA50" s="6"/>
      <c r="AB50" s="139"/>
      <c r="AC50" s="139"/>
      <c r="AD50" s="139"/>
      <c r="AE50" s="139"/>
    </row>
    <row r="51" spans="1:31" s="209" customFormat="1" ht="11.25" customHeight="1">
      <c r="A51" s="591"/>
      <c r="B51" s="65"/>
      <c r="C51" s="65"/>
      <c r="K51" s="60"/>
      <c r="L51" s="65"/>
      <c r="M51" s="65"/>
      <c r="N51" s="60"/>
      <c r="O51" s="60"/>
      <c r="P51" s="60"/>
      <c r="Q51" s="60"/>
      <c r="R51" s="65"/>
      <c r="S51" s="60"/>
      <c r="T51" s="60"/>
      <c r="U51" s="320"/>
      <c r="V51" s="60"/>
      <c r="W51" s="60"/>
      <c r="X51" s="60"/>
      <c r="Y51" s="60"/>
      <c r="Z51" s="60"/>
      <c r="AA51" s="6"/>
      <c r="AB51" s="139"/>
      <c r="AC51" s="139"/>
      <c r="AD51" s="139"/>
      <c r="AE51" s="139"/>
    </row>
    <row r="52" spans="1:31" s="209" customFormat="1" ht="11.25" customHeight="1">
      <c r="A52" s="591"/>
      <c r="B52" s="65"/>
      <c r="C52" s="65"/>
      <c r="K52" s="60"/>
      <c r="L52" s="65"/>
      <c r="M52" s="65"/>
      <c r="N52" s="60"/>
      <c r="O52" s="60"/>
      <c r="P52" s="60"/>
      <c r="Q52" s="60"/>
      <c r="R52" s="65"/>
      <c r="S52" s="60"/>
      <c r="T52" s="60"/>
      <c r="U52" s="320"/>
      <c r="V52" s="60"/>
      <c r="W52" s="60"/>
      <c r="X52" s="60"/>
      <c r="Y52" s="60"/>
      <c r="Z52" s="60"/>
      <c r="AA52" s="6"/>
      <c r="AB52" s="139"/>
      <c r="AC52" s="139"/>
      <c r="AD52" s="139"/>
      <c r="AE52" s="139"/>
    </row>
    <row r="53" spans="1:31" s="209" customFormat="1" ht="11.25" customHeight="1">
      <c r="A53" s="591"/>
      <c r="B53" s="65"/>
      <c r="C53" s="65"/>
      <c r="K53" s="60"/>
      <c r="L53" s="65"/>
      <c r="M53" s="65"/>
      <c r="N53" s="60"/>
      <c r="O53" s="60"/>
      <c r="P53" s="60"/>
      <c r="Q53" s="60"/>
      <c r="R53" s="65"/>
      <c r="S53" s="60"/>
      <c r="T53" s="60"/>
      <c r="U53" s="320"/>
      <c r="V53" s="60"/>
      <c r="W53" s="60"/>
      <c r="X53" s="60"/>
      <c r="Y53" s="60"/>
      <c r="Z53" s="60"/>
      <c r="AA53" s="6"/>
      <c r="AB53" s="139"/>
      <c r="AC53" s="139"/>
      <c r="AD53" s="139"/>
      <c r="AE53" s="139"/>
    </row>
    <row r="54" spans="1:31" s="209" customFormat="1" ht="11.25" customHeight="1">
      <c r="A54" s="591"/>
      <c r="B54" s="65"/>
      <c r="C54" s="65"/>
      <c r="K54" s="60"/>
      <c r="L54" s="65"/>
      <c r="M54" s="65"/>
      <c r="N54" s="60"/>
      <c r="O54" s="60"/>
      <c r="P54" s="60"/>
      <c r="Q54" s="60"/>
      <c r="R54" s="65"/>
      <c r="S54" s="60"/>
      <c r="T54" s="60"/>
      <c r="U54" s="320"/>
      <c r="V54" s="60"/>
      <c r="W54" s="60"/>
      <c r="X54" s="60"/>
      <c r="Y54" s="60"/>
      <c r="Z54" s="60"/>
      <c r="AA54" s="6"/>
      <c r="AB54" s="139"/>
      <c r="AC54" s="139"/>
      <c r="AD54" s="139"/>
      <c r="AE54" s="139"/>
    </row>
    <row r="55" spans="1:31" s="209" customFormat="1" ht="11.25" customHeight="1">
      <c r="A55" s="591"/>
      <c r="B55" s="65"/>
      <c r="C55" s="65"/>
      <c r="K55" s="60"/>
      <c r="L55" s="65"/>
      <c r="M55" s="65"/>
      <c r="N55" s="60"/>
      <c r="O55" s="60"/>
      <c r="P55" s="60"/>
      <c r="Q55" s="60"/>
      <c r="R55" s="65"/>
      <c r="S55" s="60"/>
      <c r="T55" s="60"/>
      <c r="U55" s="320"/>
      <c r="V55" s="60"/>
      <c r="W55" s="60"/>
      <c r="X55" s="60"/>
      <c r="Y55" s="60"/>
      <c r="Z55" s="60"/>
      <c r="AA55" s="6"/>
      <c r="AB55" s="139"/>
      <c r="AC55" s="139"/>
      <c r="AD55" s="139"/>
      <c r="AE55" s="139"/>
    </row>
    <row r="56" spans="1:31" s="209" customFormat="1" ht="11.25" customHeight="1">
      <c r="A56" s="591"/>
      <c r="B56" s="65"/>
      <c r="C56" s="65"/>
      <c r="K56" s="60"/>
      <c r="L56" s="65"/>
      <c r="M56" s="65"/>
      <c r="N56" s="60"/>
      <c r="O56" s="60"/>
      <c r="P56" s="60"/>
      <c r="Q56" s="60"/>
      <c r="R56" s="65"/>
      <c r="S56" s="60"/>
      <c r="T56" s="60"/>
      <c r="U56" s="320"/>
      <c r="V56" s="60"/>
      <c r="W56" s="60"/>
      <c r="X56" s="60"/>
      <c r="Y56" s="60"/>
      <c r="Z56" s="60"/>
      <c r="AA56" s="6"/>
      <c r="AB56" s="139"/>
      <c r="AC56" s="139"/>
      <c r="AD56" s="139"/>
      <c r="AE56" s="139"/>
    </row>
    <row r="57" spans="1:31" s="209" customFormat="1" ht="11.25" customHeight="1">
      <c r="A57" s="591"/>
      <c r="B57" s="65"/>
      <c r="C57" s="65"/>
      <c r="K57" s="60"/>
      <c r="L57" s="65"/>
      <c r="M57" s="65"/>
      <c r="N57" s="60"/>
      <c r="O57" s="60"/>
      <c r="P57" s="60"/>
      <c r="Q57" s="60"/>
      <c r="R57" s="65"/>
      <c r="S57" s="60"/>
      <c r="T57" s="60"/>
      <c r="U57" s="320"/>
      <c r="V57" s="60"/>
      <c r="W57" s="60"/>
      <c r="X57" s="60"/>
      <c r="Y57" s="60"/>
      <c r="Z57" s="60"/>
      <c r="AA57" s="6"/>
      <c r="AB57" s="139"/>
      <c r="AC57" s="139"/>
      <c r="AD57" s="139"/>
      <c r="AE57" s="139"/>
    </row>
    <row r="58" spans="1:31" s="209" customFormat="1" ht="11.25" customHeight="1">
      <c r="A58" s="591"/>
      <c r="B58" s="65"/>
      <c r="C58" s="65"/>
      <c r="K58" s="60"/>
      <c r="L58" s="65"/>
      <c r="M58" s="65"/>
      <c r="N58" s="60"/>
      <c r="O58" s="60"/>
      <c r="P58" s="60"/>
      <c r="Q58" s="60"/>
      <c r="R58" s="65"/>
      <c r="S58" s="60"/>
      <c r="T58" s="60"/>
      <c r="U58" s="320"/>
      <c r="V58" s="60"/>
      <c r="W58" s="60"/>
      <c r="X58" s="60"/>
      <c r="Y58" s="60"/>
      <c r="Z58" s="60"/>
      <c r="AA58" s="6"/>
      <c r="AB58" s="139"/>
      <c r="AC58" s="139"/>
      <c r="AD58" s="139"/>
      <c r="AE58" s="139"/>
    </row>
    <row r="59" spans="1:31" s="209" customFormat="1" ht="11.25" customHeight="1">
      <c r="A59" s="591"/>
      <c r="B59" s="65"/>
      <c r="C59" s="65"/>
      <c r="K59" s="60"/>
      <c r="L59" s="65"/>
      <c r="M59" s="65"/>
      <c r="N59" s="60"/>
      <c r="O59" s="60"/>
      <c r="P59" s="60"/>
      <c r="Q59" s="60"/>
      <c r="R59" s="65"/>
      <c r="S59" s="60"/>
      <c r="T59" s="60"/>
      <c r="U59" s="320"/>
      <c r="V59" s="60"/>
      <c r="W59" s="60"/>
      <c r="X59" s="60"/>
      <c r="Y59" s="60"/>
      <c r="Z59" s="60"/>
      <c r="AA59" s="6"/>
      <c r="AB59" s="139"/>
      <c r="AC59" s="139"/>
      <c r="AD59" s="139"/>
      <c r="AE59" s="139"/>
    </row>
    <row r="60" spans="1:31" s="209" customFormat="1" ht="11.25" customHeight="1">
      <c r="A60" s="591"/>
      <c r="B60" s="65"/>
      <c r="C60" s="65"/>
      <c r="K60" s="60"/>
      <c r="L60" s="65"/>
      <c r="M60" s="65"/>
      <c r="N60" s="60"/>
      <c r="O60" s="60"/>
      <c r="P60" s="60"/>
      <c r="Q60" s="60"/>
      <c r="R60" s="65"/>
      <c r="S60" s="60"/>
      <c r="T60" s="60"/>
      <c r="U60" s="320"/>
      <c r="V60" s="60"/>
      <c r="W60" s="60"/>
      <c r="X60" s="60"/>
      <c r="Y60" s="60"/>
      <c r="Z60" s="60"/>
      <c r="AA60" s="6"/>
      <c r="AB60" s="139"/>
      <c r="AC60" s="139"/>
      <c r="AD60" s="139"/>
      <c r="AE60" s="139"/>
    </row>
    <row r="61" spans="1:31" s="209" customFormat="1" ht="11.25" customHeight="1">
      <c r="A61" s="591"/>
      <c r="B61" s="65"/>
      <c r="C61" s="65"/>
      <c r="K61" s="60"/>
      <c r="L61" s="65"/>
      <c r="M61" s="65"/>
      <c r="N61" s="60"/>
      <c r="O61" s="60"/>
      <c r="P61" s="60"/>
      <c r="Q61" s="60"/>
      <c r="R61" s="65"/>
      <c r="S61" s="60"/>
      <c r="T61" s="60"/>
      <c r="U61" s="320"/>
      <c r="V61" s="60"/>
      <c r="W61" s="60"/>
      <c r="X61" s="60"/>
      <c r="Y61" s="60"/>
      <c r="Z61" s="60"/>
      <c r="AA61" s="6"/>
      <c r="AB61" s="139"/>
      <c r="AC61" s="139"/>
      <c r="AD61" s="139"/>
      <c r="AE61" s="139"/>
    </row>
    <row r="62" spans="1:31" s="209" customFormat="1" ht="11.25" customHeight="1">
      <c r="A62" s="591"/>
      <c r="B62" s="65"/>
      <c r="C62" s="65"/>
      <c r="K62" s="60"/>
      <c r="L62" s="65"/>
      <c r="M62" s="65"/>
      <c r="N62" s="60"/>
      <c r="O62" s="60"/>
      <c r="P62" s="60"/>
      <c r="Q62" s="60"/>
      <c r="R62" s="65"/>
      <c r="S62" s="60"/>
      <c r="T62" s="60"/>
      <c r="U62" s="320"/>
      <c r="V62" s="60"/>
      <c r="W62" s="60"/>
      <c r="X62" s="60"/>
      <c r="Y62" s="60"/>
      <c r="Z62" s="60"/>
      <c r="AA62" s="6"/>
      <c r="AB62" s="139"/>
      <c r="AC62" s="139"/>
      <c r="AD62" s="139"/>
      <c r="AE62" s="139"/>
    </row>
    <row r="63" spans="1:31" s="209" customFormat="1" ht="11.25" customHeight="1">
      <c r="A63" s="591"/>
      <c r="B63" s="65"/>
      <c r="C63" s="65"/>
      <c r="K63" s="60"/>
      <c r="L63" s="65"/>
      <c r="M63" s="65"/>
      <c r="N63" s="60"/>
      <c r="O63" s="60"/>
      <c r="P63" s="60"/>
      <c r="Q63" s="60"/>
      <c r="R63" s="65"/>
      <c r="S63" s="60"/>
      <c r="T63" s="60"/>
      <c r="U63" s="320"/>
      <c r="V63" s="60"/>
      <c r="W63" s="60"/>
      <c r="X63" s="60"/>
      <c r="Y63" s="60"/>
      <c r="Z63" s="60"/>
      <c r="AA63" s="6"/>
      <c r="AB63" s="139"/>
      <c r="AC63" s="139"/>
      <c r="AD63" s="139"/>
      <c r="AE63" s="139"/>
    </row>
    <row r="64" spans="1:31" s="209" customFormat="1" ht="11.25" customHeight="1">
      <c r="A64" s="591"/>
      <c r="B64" s="65"/>
      <c r="C64" s="65"/>
      <c r="K64" s="60"/>
      <c r="L64" s="65"/>
      <c r="M64" s="65"/>
      <c r="N64" s="60"/>
      <c r="O64" s="60"/>
      <c r="P64" s="60"/>
      <c r="Q64" s="60"/>
      <c r="R64" s="65"/>
      <c r="S64" s="60"/>
      <c r="T64" s="60"/>
      <c r="U64" s="320"/>
      <c r="V64" s="60"/>
      <c r="W64" s="60"/>
      <c r="X64" s="60"/>
      <c r="Y64" s="60"/>
      <c r="Z64" s="60"/>
      <c r="AA64" s="6"/>
      <c r="AB64" s="139"/>
      <c r="AC64" s="139"/>
      <c r="AD64" s="139"/>
      <c r="AE64" s="139"/>
    </row>
    <row r="65" spans="1:31" s="209" customFormat="1" ht="11.25" customHeight="1">
      <c r="A65" s="591"/>
      <c r="B65" s="65"/>
      <c r="C65" s="65"/>
      <c r="K65" s="60"/>
      <c r="L65" s="65"/>
      <c r="M65" s="65"/>
      <c r="N65" s="60"/>
      <c r="O65" s="60"/>
      <c r="P65" s="60"/>
      <c r="Q65" s="60"/>
      <c r="R65" s="65"/>
      <c r="S65" s="60"/>
      <c r="T65" s="60"/>
      <c r="U65" s="320"/>
      <c r="V65" s="60"/>
      <c r="W65" s="60"/>
      <c r="X65" s="60"/>
      <c r="Y65" s="60"/>
      <c r="Z65" s="60"/>
      <c r="AA65" s="6"/>
      <c r="AB65" s="139"/>
      <c r="AC65" s="139"/>
      <c r="AD65" s="139"/>
      <c r="AE65" s="139"/>
    </row>
    <row r="66" spans="1:31" s="209" customFormat="1" ht="11.25" customHeight="1">
      <c r="A66" s="591"/>
      <c r="B66" s="65"/>
      <c r="C66" s="65"/>
      <c r="K66" s="60"/>
      <c r="L66" s="65"/>
      <c r="M66" s="65"/>
      <c r="N66" s="60"/>
      <c r="O66" s="60"/>
      <c r="P66" s="60"/>
      <c r="Q66" s="60"/>
      <c r="R66" s="65"/>
      <c r="S66" s="60"/>
      <c r="T66" s="60"/>
      <c r="U66" s="320"/>
      <c r="V66" s="60"/>
      <c r="W66" s="60"/>
      <c r="X66" s="60"/>
      <c r="Y66" s="60"/>
      <c r="Z66" s="60"/>
      <c r="AA66" s="6"/>
      <c r="AB66" s="139"/>
      <c r="AC66" s="139"/>
      <c r="AD66" s="139"/>
      <c r="AE66" s="139"/>
    </row>
    <row r="67" spans="1:31" s="209" customFormat="1" ht="11.25" customHeight="1">
      <c r="A67" s="591"/>
      <c r="B67" s="65"/>
      <c r="C67" s="65"/>
      <c r="K67" s="60"/>
      <c r="L67" s="65"/>
      <c r="M67" s="65"/>
      <c r="N67" s="60"/>
      <c r="O67" s="60"/>
      <c r="P67" s="60"/>
      <c r="Q67" s="60"/>
      <c r="R67" s="65"/>
      <c r="S67" s="60"/>
      <c r="T67" s="60"/>
      <c r="U67" s="320"/>
      <c r="V67" s="60"/>
      <c r="W67" s="60"/>
      <c r="X67" s="60"/>
      <c r="Y67" s="60"/>
      <c r="Z67" s="60"/>
      <c r="AA67" s="6"/>
      <c r="AB67" s="139"/>
      <c r="AC67" s="139"/>
      <c r="AD67" s="139"/>
      <c r="AE67" s="139"/>
    </row>
    <row r="68" spans="1:31" s="209" customFormat="1" ht="11.25" customHeight="1">
      <c r="A68" s="591"/>
      <c r="B68" s="65"/>
      <c r="C68" s="65"/>
      <c r="K68" s="60"/>
      <c r="L68" s="65"/>
      <c r="M68" s="65"/>
      <c r="N68" s="60"/>
      <c r="O68" s="60"/>
      <c r="P68" s="60"/>
      <c r="Q68" s="60"/>
      <c r="R68" s="65"/>
      <c r="S68" s="60"/>
      <c r="T68" s="60"/>
      <c r="U68" s="320"/>
      <c r="V68" s="60"/>
      <c r="W68" s="60"/>
      <c r="X68" s="60"/>
      <c r="Y68" s="60"/>
      <c r="Z68" s="60"/>
      <c r="AA68" s="6"/>
      <c r="AB68" s="139"/>
      <c r="AC68" s="139"/>
      <c r="AD68" s="139"/>
      <c r="AE68" s="139"/>
    </row>
    <row r="69" spans="1:31" s="209" customFormat="1" ht="11.25" customHeight="1">
      <c r="A69" s="591"/>
      <c r="B69" s="65"/>
      <c r="C69" s="65"/>
      <c r="K69" s="60"/>
      <c r="L69" s="65"/>
      <c r="M69" s="65"/>
      <c r="N69" s="60"/>
      <c r="O69" s="60"/>
      <c r="P69" s="60"/>
      <c r="Q69" s="60"/>
      <c r="R69" s="65"/>
      <c r="S69" s="60"/>
      <c r="T69" s="60"/>
      <c r="U69" s="320"/>
      <c r="V69" s="60"/>
      <c r="W69" s="60"/>
      <c r="X69" s="60"/>
      <c r="Y69" s="60"/>
      <c r="Z69" s="60"/>
      <c r="AA69" s="6"/>
      <c r="AB69" s="139"/>
      <c r="AC69" s="139"/>
      <c r="AD69" s="139"/>
      <c r="AE69" s="139"/>
    </row>
    <row r="70" spans="1:31" s="209" customFormat="1" ht="11.25" customHeight="1">
      <c r="A70" s="591"/>
      <c r="B70" s="65"/>
      <c r="C70" s="65"/>
      <c r="K70" s="60"/>
      <c r="L70" s="65"/>
      <c r="M70" s="65"/>
      <c r="N70" s="60"/>
      <c r="O70" s="60"/>
      <c r="P70" s="60"/>
      <c r="Q70" s="60"/>
      <c r="R70" s="65"/>
      <c r="S70" s="60"/>
      <c r="T70" s="60"/>
      <c r="U70" s="320"/>
      <c r="V70" s="60"/>
      <c r="W70" s="60"/>
      <c r="X70" s="60"/>
      <c r="Y70" s="60"/>
      <c r="Z70" s="60"/>
      <c r="AA70" s="6"/>
      <c r="AB70" s="139"/>
      <c r="AC70" s="139"/>
      <c r="AD70" s="139"/>
      <c r="AE70" s="139"/>
    </row>
    <row r="71" spans="1:31" s="209" customFormat="1" ht="11.25" customHeight="1">
      <c r="A71" s="591"/>
      <c r="B71" s="65"/>
      <c r="C71" s="65"/>
      <c r="K71" s="60"/>
      <c r="L71" s="65"/>
      <c r="M71" s="65"/>
      <c r="N71" s="60"/>
      <c r="O71" s="60"/>
      <c r="P71" s="60"/>
      <c r="Q71" s="60"/>
      <c r="R71" s="65"/>
      <c r="S71" s="60"/>
      <c r="T71" s="60"/>
      <c r="U71" s="320"/>
      <c r="V71" s="60"/>
      <c r="W71" s="60"/>
      <c r="X71" s="60"/>
      <c r="Y71" s="60"/>
      <c r="Z71" s="60"/>
      <c r="AA71" s="6"/>
      <c r="AB71" s="139"/>
      <c r="AC71" s="139"/>
      <c r="AD71" s="139"/>
      <c r="AE71" s="139"/>
    </row>
    <row r="72" spans="1:31" s="209" customFormat="1" ht="11.25" customHeight="1">
      <c r="A72" s="591"/>
      <c r="B72" s="65"/>
      <c r="C72" s="65"/>
      <c r="K72" s="60"/>
      <c r="L72" s="65"/>
      <c r="M72" s="65"/>
      <c r="N72" s="60"/>
      <c r="O72" s="60"/>
      <c r="P72" s="60"/>
      <c r="Q72" s="60"/>
      <c r="R72" s="65"/>
      <c r="S72" s="60"/>
      <c r="T72" s="60"/>
      <c r="U72" s="320"/>
      <c r="V72" s="60"/>
      <c r="W72" s="60"/>
      <c r="X72" s="60"/>
      <c r="Y72" s="60"/>
      <c r="Z72" s="60"/>
      <c r="AA72" s="6"/>
      <c r="AB72" s="139"/>
      <c r="AC72" s="139"/>
      <c r="AD72" s="139"/>
      <c r="AE72" s="139"/>
    </row>
    <row r="73" spans="1:31" s="209" customFormat="1" ht="11.25" customHeight="1">
      <c r="A73" s="591"/>
      <c r="B73" s="65"/>
      <c r="C73" s="65"/>
      <c r="K73" s="60"/>
      <c r="L73" s="65"/>
      <c r="M73" s="65"/>
      <c r="N73" s="60"/>
      <c r="O73" s="60"/>
      <c r="P73" s="60"/>
      <c r="Q73" s="60"/>
      <c r="R73" s="65"/>
      <c r="S73" s="60"/>
      <c r="T73" s="60"/>
      <c r="U73" s="320"/>
      <c r="V73" s="60"/>
      <c r="W73" s="60"/>
      <c r="X73" s="60"/>
      <c r="Y73" s="60"/>
      <c r="Z73" s="60"/>
      <c r="AA73" s="6"/>
      <c r="AB73" s="139"/>
      <c r="AC73" s="139"/>
      <c r="AD73" s="139"/>
      <c r="AE73" s="139"/>
    </row>
    <row r="74" spans="1:31" s="209" customFormat="1" ht="11.25" customHeight="1">
      <c r="A74" s="591"/>
      <c r="B74" s="65"/>
      <c r="C74" s="65"/>
      <c r="K74" s="60"/>
      <c r="L74" s="65"/>
      <c r="M74" s="65"/>
      <c r="N74" s="60"/>
      <c r="O74" s="60"/>
      <c r="P74" s="60"/>
      <c r="Q74" s="60"/>
      <c r="R74" s="65"/>
      <c r="S74" s="60"/>
      <c r="T74" s="60"/>
      <c r="U74" s="320"/>
      <c r="V74" s="60"/>
      <c r="W74" s="60"/>
      <c r="X74" s="60"/>
      <c r="Y74" s="60"/>
      <c r="Z74" s="60"/>
      <c r="AA74" s="6"/>
      <c r="AB74" s="139"/>
      <c r="AC74" s="139"/>
      <c r="AD74" s="139"/>
      <c r="AE74" s="139"/>
    </row>
    <row r="75" spans="1:31" s="209" customFormat="1" ht="11.25" customHeight="1">
      <c r="A75" s="591"/>
      <c r="B75" s="65"/>
      <c r="C75" s="65"/>
      <c r="K75" s="60"/>
      <c r="L75" s="65"/>
      <c r="M75" s="65"/>
      <c r="N75" s="60"/>
      <c r="O75" s="60"/>
      <c r="P75" s="60"/>
      <c r="Q75" s="60"/>
      <c r="R75" s="65"/>
      <c r="S75" s="60"/>
      <c r="T75" s="60"/>
      <c r="U75" s="320"/>
      <c r="V75" s="60"/>
      <c r="W75" s="60"/>
      <c r="X75" s="60"/>
      <c r="Y75" s="60"/>
      <c r="Z75" s="60"/>
      <c r="AA75" s="6"/>
      <c r="AB75" s="139"/>
      <c r="AC75" s="139"/>
      <c r="AD75" s="139"/>
      <c r="AE75" s="139"/>
    </row>
    <row r="76" spans="1:31" s="209" customFormat="1" ht="11.25" customHeight="1">
      <c r="A76" s="591"/>
      <c r="B76" s="65"/>
      <c r="C76" s="65"/>
      <c r="K76" s="60"/>
      <c r="L76" s="65"/>
      <c r="M76" s="65"/>
      <c r="N76" s="60"/>
      <c r="O76" s="60"/>
      <c r="P76" s="60"/>
      <c r="Q76" s="60"/>
      <c r="R76" s="65"/>
      <c r="S76" s="60"/>
      <c r="T76" s="60"/>
      <c r="U76" s="320"/>
      <c r="V76" s="60"/>
      <c r="W76" s="60"/>
      <c r="X76" s="60"/>
      <c r="Y76" s="60"/>
      <c r="Z76" s="60"/>
      <c r="AA76" s="6"/>
      <c r="AB76" s="139"/>
      <c r="AC76" s="139"/>
      <c r="AD76" s="139"/>
      <c r="AE76" s="139"/>
    </row>
    <row r="77" spans="1:31" s="209" customFormat="1" ht="11.25" customHeight="1">
      <c r="A77" s="591"/>
      <c r="B77" s="65"/>
      <c r="C77" s="65"/>
      <c r="K77" s="60"/>
      <c r="L77" s="65"/>
      <c r="M77" s="65"/>
      <c r="N77" s="60"/>
      <c r="O77" s="60"/>
      <c r="P77" s="60"/>
      <c r="Q77" s="60"/>
      <c r="R77" s="65"/>
      <c r="S77" s="60"/>
      <c r="T77" s="60"/>
      <c r="U77" s="320"/>
      <c r="V77" s="60"/>
      <c r="W77" s="60"/>
      <c r="X77" s="60"/>
      <c r="Y77" s="60"/>
      <c r="Z77" s="60"/>
      <c r="AA77" s="6"/>
      <c r="AB77" s="139"/>
      <c r="AC77" s="139"/>
      <c r="AD77" s="139"/>
      <c r="AE77" s="139"/>
    </row>
    <row r="78" spans="1:31" s="209" customFormat="1" ht="11.25" customHeight="1">
      <c r="A78" s="591"/>
      <c r="B78" s="65"/>
      <c r="C78" s="65"/>
      <c r="K78" s="60"/>
      <c r="L78" s="65"/>
      <c r="M78" s="65"/>
      <c r="N78" s="60"/>
      <c r="O78" s="60"/>
      <c r="P78" s="60"/>
      <c r="Q78" s="60"/>
      <c r="R78" s="65"/>
      <c r="S78" s="60"/>
      <c r="T78" s="60"/>
      <c r="U78" s="320"/>
      <c r="V78" s="60"/>
      <c r="W78" s="60"/>
      <c r="X78" s="60"/>
      <c r="Y78" s="60"/>
      <c r="Z78" s="60"/>
      <c r="AA78" s="6"/>
      <c r="AB78" s="139"/>
      <c r="AC78" s="139"/>
      <c r="AD78" s="139"/>
      <c r="AE78" s="139"/>
    </row>
    <row r="79" spans="1:31" s="209" customFormat="1" ht="11.25" customHeight="1">
      <c r="A79" s="591"/>
      <c r="B79" s="65"/>
      <c r="C79" s="65"/>
      <c r="K79" s="60"/>
      <c r="L79" s="65"/>
      <c r="M79" s="65"/>
      <c r="N79" s="60"/>
      <c r="O79" s="60"/>
      <c r="P79" s="60"/>
      <c r="Q79" s="60"/>
      <c r="R79" s="65"/>
      <c r="S79" s="60"/>
      <c r="T79" s="60"/>
      <c r="U79" s="320"/>
      <c r="V79" s="60"/>
      <c r="W79" s="60"/>
      <c r="X79" s="60"/>
      <c r="Y79" s="60"/>
      <c r="Z79" s="60"/>
      <c r="AA79" s="6"/>
      <c r="AB79" s="139"/>
      <c r="AC79" s="139"/>
      <c r="AD79" s="139"/>
      <c r="AE79" s="139"/>
    </row>
    <row r="80" spans="1:31" s="209" customFormat="1" ht="11.25" customHeight="1">
      <c r="A80" s="591"/>
      <c r="B80" s="65"/>
      <c r="C80" s="65"/>
      <c r="K80" s="60"/>
      <c r="L80" s="65"/>
      <c r="M80" s="65"/>
      <c r="N80" s="60"/>
      <c r="O80" s="60"/>
      <c r="P80" s="60"/>
      <c r="Q80" s="60"/>
      <c r="R80" s="65"/>
      <c r="S80" s="60"/>
      <c r="T80" s="60"/>
      <c r="U80" s="320"/>
      <c r="V80" s="60"/>
      <c r="W80" s="60"/>
      <c r="X80" s="60"/>
      <c r="Y80" s="60"/>
      <c r="Z80" s="60"/>
      <c r="AA80" s="6"/>
      <c r="AB80" s="139"/>
      <c r="AC80" s="139"/>
      <c r="AD80" s="139"/>
      <c r="AE80" s="139"/>
    </row>
    <row r="81" spans="1:31" s="209" customFormat="1" ht="11.25" customHeight="1">
      <c r="A81" s="591"/>
      <c r="B81" s="65"/>
      <c r="C81" s="65"/>
      <c r="K81" s="60"/>
      <c r="L81" s="65"/>
      <c r="M81" s="65"/>
      <c r="N81" s="60"/>
      <c r="O81" s="60"/>
      <c r="P81" s="60"/>
      <c r="Q81" s="60"/>
      <c r="R81" s="65"/>
      <c r="S81" s="60"/>
      <c r="T81" s="60"/>
      <c r="U81" s="320"/>
      <c r="V81" s="60"/>
      <c r="W81" s="60"/>
      <c r="X81" s="60"/>
      <c r="Y81" s="60"/>
      <c r="Z81" s="60"/>
      <c r="AA81" s="6"/>
      <c r="AB81" s="139"/>
      <c r="AC81" s="139"/>
      <c r="AD81" s="139"/>
      <c r="AE81" s="139"/>
    </row>
    <row r="82" spans="1:31" s="209" customFormat="1" ht="11.25" customHeight="1">
      <c r="A82" s="591"/>
      <c r="B82" s="65"/>
      <c r="C82" s="65"/>
      <c r="K82" s="60"/>
      <c r="L82" s="65"/>
      <c r="M82" s="65"/>
      <c r="N82" s="60"/>
      <c r="O82" s="60"/>
      <c r="P82" s="60"/>
      <c r="Q82" s="60"/>
      <c r="R82" s="65"/>
      <c r="S82" s="60"/>
      <c r="T82" s="60"/>
      <c r="U82" s="320"/>
      <c r="V82" s="60"/>
      <c r="W82" s="60"/>
      <c r="X82" s="60"/>
      <c r="Y82" s="60"/>
      <c r="Z82" s="60"/>
      <c r="AA82" s="6"/>
      <c r="AB82" s="139"/>
      <c r="AC82" s="139"/>
      <c r="AD82" s="139"/>
      <c r="AE82" s="139"/>
    </row>
    <row r="83" spans="1:31" s="209" customFormat="1" ht="11.25" customHeight="1">
      <c r="A83" s="591"/>
      <c r="B83" s="65"/>
      <c r="C83" s="65"/>
      <c r="K83" s="60"/>
      <c r="L83" s="65"/>
      <c r="M83" s="65"/>
      <c r="N83" s="60"/>
      <c r="O83" s="60"/>
      <c r="P83" s="60"/>
      <c r="Q83" s="60"/>
      <c r="R83" s="65"/>
      <c r="S83" s="60"/>
      <c r="T83" s="60"/>
      <c r="U83" s="320"/>
      <c r="V83" s="60"/>
      <c r="W83" s="60"/>
      <c r="X83" s="60"/>
      <c r="Y83" s="60"/>
      <c r="Z83" s="60"/>
      <c r="AA83" s="6"/>
      <c r="AB83" s="139"/>
      <c r="AC83" s="139"/>
      <c r="AD83" s="139"/>
      <c r="AE83" s="139"/>
    </row>
    <row r="84" spans="1:31" s="209" customFormat="1" ht="11.25" customHeight="1">
      <c r="A84" s="591"/>
      <c r="B84" s="65"/>
      <c r="C84" s="65"/>
      <c r="K84" s="60"/>
      <c r="L84" s="65"/>
      <c r="M84" s="65"/>
      <c r="N84" s="60"/>
      <c r="O84" s="60"/>
      <c r="P84" s="60"/>
      <c r="Q84" s="60"/>
      <c r="R84" s="65"/>
      <c r="S84" s="60"/>
      <c r="T84" s="60"/>
      <c r="U84" s="320"/>
      <c r="V84" s="60"/>
      <c r="W84" s="60"/>
      <c r="X84" s="60"/>
      <c r="Y84" s="60"/>
      <c r="Z84" s="60"/>
      <c r="AA84" s="6"/>
      <c r="AB84" s="139"/>
      <c r="AC84" s="139"/>
      <c r="AD84" s="139"/>
      <c r="AE84" s="139"/>
    </row>
    <row r="85" spans="1:31" s="209" customFormat="1" ht="11.25" customHeight="1">
      <c r="A85" s="591"/>
      <c r="B85" s="65"/>
      <c r="C85" s="65"/>
      <c r="K85" s="60"/>
      <c r="L85" s="65"/>
      <c r="M85" s="65"/>
      <c r="N85" s="60"/>
      <c r="O85" s="60"/>
      <c r="P85" s="60"/>
      <c r="Q85" s="60"/>
      <c r="R85" s="65"/>
      <c r="S85" s="60"/>
      <c r="T85" s="60"/>
      <c r="U85" s="320"/>
      <c r="V85" s="60"/>
      <c r="W85" s="60"/>
      <c r="X85" s="60"/>
      <c r="Y85" s="60"/>
      <c r="Z85" s="60"/>
      <c r="AA85" s="6"/>
      <c r="AB85" s="139"/>
      <c r="AC85" s="139"/>
      <c r="AD85" s="139"/>
      <c r="AE85" s="139"/>
    </row>
    <row r="86" spans="1:31" s="209" customFormat="1" ht="11.25" customHeight="1">
      <c r="A86" s="591"/>
      <c r="B86" s="65"/>
      <c r="C86" s="65"/>
      <c r="K86" s="60"/>
      <c r="L86" s="65"/>
      <c r="M86" s="65"/>
      <c r="N86" s="60"/>
      <c r="O86" s="60"/>
      <c r="P86" s="60"/>
      <c r="Q86" s="60"/>
      <c r="R86" s="65"/>
      <c r="S86" s="60"/>
      <c r="T86" s="60"/>
      <c r="U86" s="320"/>
      <c r="V86" s="60"/>
      <c r="W86" s="60"/>
      <c r="X86" s="60"/>
      <c r="Y86" s="60"/>
      <c r="Z86" s="60"/>
      <c r="AA86" s="6"/>
      <c r="AB86" s="139"/>
      <c r="AC86" s="139"/>
      <c r="AD86" s="139"/>
      <c r="AE86" s="139"/>
    </row>
    <row r="87" spans="1:31" s="209" customFormat="1" ht="11.25" customHeight="1">
      <c r="A87" s="591"/>
      <c r="B87" s="65"/>
      <c r="C87" s="65"/>
      <c r="K87" s="60"/>
      <c r="L87" s="65"/>
      <c r="M87" s="65"/>
      <c r="N87" s="60"/>
      <c r="O87" s="60"/>
      <c r="P87" s="60"/>
      <c r="Q87" s="60"/>
      <c r="R87" s="65"/>
      <c r="S87" s="60"/>
      <c r="T87" s="60"/>
      <c r="U87" s="320"/>
      <c r="V87" s="60"/>
      <c r="W87" s="60"/>
      <c r="X87" s="60"/>
      <c r="Y87" s="60"/>
      <c r="Z87" s="60"/>
      <c r="AA87" s="6"/>
      <c r="AB87" s="139"/>
      <c r="AC87" s="139"/>
      <c r="AD87" s="139"/>
      <c r="AE87" s="139"/>
    </row>
    <row r="88" spans="1:31" s="209" customFormat="1" ht="11.25" customHeight="1">
      <c r="A88" s="591"/>
      <c r="B88" s="65"/>
      <c r="C88" s="65"/>
      <c r="K88" s="60"/>
      <c r="L88" s="65"/>
      <c r="M88" s="65"/>
      <c r="N88" s="60"/>
      <c r="O88" s="60"/>
      <c r="P88" s="60"/>
      <c r="Q88" s="60"/>
      <c r="R88" s="65"/>
      <c r="S88" s="60"/>
      <c r="T88" s="60"/>
      <c r="U88" s="320"/>
      <c r="V88" s="60"/>
      <c r="W88" s="60"/>
      <c r="X88" s="60"/>
      <c r="Y88" s="60"/>
      <c r="Z88" s="60"/>
      <c r="AA88" s="6"/>
      <c r="AB88" s="139"/>
      <c r="AC88" s="139"/>
      <c r="AD88" s="139"/>
      <c r="AE88" s="139"/>
    </row>
    <row r="89" spans="1:31" s="209" customFormat="1" ht="11.25" customHeight="1">
      <c r="A89" s="591"/>
      <c r="B89" s="65"/>
      <c r="C89" s="65"/>
      <c r="K89" s="60"/>
      <c r="L89" s="65"/>
      <c r="M89" s="65"/>
      <c r="N89" s="60"/>
      <c r="O89" s="60"/>
      <c r="P89" s="60"/>
      <c r="Q89" s="60"/>
      <c r="R89" s="65"/>
      <c r="S89" s="60"/>
      <c r="T89" s="60"/>
      <c r="U89" s="320"/>
      <c r="V89" s="60"/>
      <c r="W89" s="60"/>
      <c r="X89" s="60"/>
      <c r="Y89" s="60"/>
      <c r="Z89" s="60"/>
      <c r="AA89" s="6"/>
      <c r="AB89" s="139"/>
      <c r="AC89" s="139"/>
      <c r="AD89" s="139"/>
      <c r="AE89" s="139"/>
    </row>
    <row r="90" spans="1:31" s="209" customFormat="1" ht="11.25" customHeight="1">
      <c r="A90" s="591"/>
      <c r="B90" s="65"/>
      <c r="C90" s="65"/>
      <c r="K90" s="60"/>
      <c r="L90" s="65"/>
      <c r="M90" s="65"/>
      <c r="N90" s="60"/>
      <c r="O90" s="60"/>
      <c r="P90" s="60"/>
      <c r="Q90" s="60"/>
      <c r="R90" s="65"/>
      <c r="S90" s="60"/>
      <c r="T90" s="60"/>
      <c r="U90" s="320"/>
      <c r="V90" s="60"/>
      <c r="W90" s="60"/>
      <c r="X90" s="60"/>
      <c r="Y90" s="60"/>
      <c r="Z90" s="60"/>
      <c r="AA90" s="6"/>
      <c r="AB90" s="139"/>
      <c r="AC90" s="139"/>
      <c r="AD90" s="139"/>
      <c r="AE90" s="139"/>
    </row>
    <row r="91" spans="1:31" s="209" customFormat="1" ht="11.25" customHeight="1">
      <c r="A91" s="591"/>
      <c r="B91" s="65"/>
      <c r="C91" s="65"/>
      <c r="K91" s="60"/>
      <c r="L91" s="65"/>
      <c r="M91" s="65"/>
      <c r="N91" s="60"/>
      <c r="O91" s="60"/>
      <c r="P91" s="60"/>
      <c r="Q91" s="60"/>
      <c r="R91" s="65"/>
      <c r="S91" s="60"/>
      <c r="T91" s="60"/>
      <c r="U91" s="320"/>
      <c r="V91" s="60"/>
      <c r="W91" s="60"/>
      <c r="X91" s="60"/>
      <c r="Y91" s="60"/>
      <c r="Z91" s="60"/>
      <c r="AA91" s="6"/>
      <c r="AB91" s="139"/>
      <c r="AC91" s="139"/>
      <c r="AD91" s="139"/>
      <c r="AE91" s="139"/>
    </row>
    <row r="92" spans="1:31" s="209" customFormat="1" ht="11.25" customHeight="1">
      <c r="A92" s="591"/>
      <c r="B92" s="65"/>
      <c r="C92" s="65"/>
      <c r="K92" s="60"/>
      <c r="L92" s="65"/>
      <c r="M92" s="65"/>
      <c r="N92" s="60"/>
      <c r="O92" s="60"/>
      <c r="P92" s="60"/>
      <c r="Q92" s="60"/>
      <c r="R92" s="65"/>
      <c r="S92" s="60"/>
      <c r="T92" s="60"/>
      <c r="U92" s="320"/>
      <c r="V92" s="60"/>
      <c r="W92" s="60"/>
      <c r="X92" s="60"/>
      <c r="Y92" s="60"/>
      <c r="Z92" s="60"/>
      <c r="AA92" s="6"/>
      <c r="AB92" s="139"/>
      <c r="AC92" s="139"/>
      <c r="AD92" s="139"/>
      <c r="AE92" s="139"/>
    </row>
    <row r="93" spans="1:31" s="209" customFormat="1" ht="11.25" customHeight="1">
      <c r="A93" s="591"/>
      <c r="B93" s="65"/>
      <c r="C93" s="65"/>
      <c r="K93" s="60"/>
      <c r="L93" s="65"/>
      <c r="M93" s="65"/>
      <c r="N93" s="60"/>
      <c r="O93" s="60"/>
      <c r="P93" s="60"/>
      <c r="Q93" s="60"/>
      <c r="R93" s="65"/>
      <c r="S93" s="60"/>
      <c r="T93" s="60"/>
      <c r="U93" s="320"/>
      <c r="V93" s="60"/>
      <c r="W93" s="60"/>
      <c r="X93" s="60"/>
      <c r="Y93" s="60"/>
      <c r="Z93" s="60"/>
      <c r="AA93" s="6"/>
      <c r="AB93" s="139"/>
      <c r="AC93" s="139"/>
      <c r="AD93" s="139"/>
      <c r="AE93" s="139"/>
    </row>
    <row r="94" spans="1:31" s="209" customFormat="1" ht="11.25" customHeight="1">
      <c r="A94" s="591"/>
      <c r="B94" s="65"/>
      <c r="C94" s="65"/>
      <c r="K94" s="60"/>
      <c r="L94" s="65"/>
      <c r="M94" s="65"/>
      <c r="N94" s="60"/>
      <c r="O94" s="60"/>
      <c r="P94" s="60"/>
      <c r="Q94" s="60"/>
      <c r="R94" s="65"/>
      <c r="S94" s="60"/>
      <c r="T94" s="60"/>
      <c r="U94" s="320"/>
      <c r="V94" s="60"/>
      <c r="W94" s="60"/>
      <c r="X94" s="60"/>
      <c r="Y94" s="60"/>
      <c r="Z94" s="60"/>
      <c r="AA94" s="6"/>
      <c r="AB94" s="139"/>
      <c r="AC94" s="139"/>
      <c r="AD94" s="139"/>
      <c r="AE94" s="139"/>
    </row>
    <row r="95" spans="1:31" s="209" customFormat="1" ht="11.25" customHeight="1">
      <c r="A95" s="591"/>
      <c r="B95" s="65"/>
      <c r="C95" s="65"/>
      <c r="K95" s="60"/>
      <c r="L95" s="65"/>
      <c r="M95" s="65"/>
      <c r="N95" s="60"/>
      <c r="O95" s="60"/>
      <c r="P95" s="60"/>
      <c r="Q95" s="60"/>
      <c r="R95" s="65"/>
      <c r="S95" s="60"/>
      <c r="T95" s="60"/>
      <c r="U95" s="320"/>
      <c r="V95" s="60"/>
      <c r="W95" s="60"/>
      <c r="X95" s="60"/>
      <c r="Y95" s="60"/>
      <c r="Z95" s="60"/>
      <c r="AA95" s="6"/>
      <c r="AB95" s="139"/>
      <c r="AC95" s="139"/>
      <c r="AD95" s="139"/>
      <c r="AE95" s="139"/>
    </row>
    <row r="96" spans="1:31" s="209" customFormat="1" ht="11.25" customHeight="1">
      <c r="A96" s="591"/>
      <c r="B96" s="65"/>
      <c r="C96" s="65"/>
      <c r="K96" s="60"/>
      <c r="L96" s="65"/>
      <c r="M96" s="65"/>
      <c r="N96" s="60"/>
      <c r="O96" s="60"/>
      <c r="P96" s="60"/>
      <c r="Q96" s="60"/>
      <c r="R96" s="65"/>
      <c r="S96" s="60"/>
      <c r="T96" s="60"/>
      <c r="U96" s="320"/>
      <c r="V96" s="60"/>
      <c r="W96" s="60"/>
      <c r="X96" s="60"/>
      <c r="Y96" s="60"/>
      <c r="Z96" s="60"/>
      <c r="AA96" s="6"/>
      <c r="AB96" s="139"/>
      <c r="AC96" s="139"/>
      <c r="AD96" s="139"/>
      <c r="AE96" s="139"/>
    </row>
    <row r="97" spans="1:31" s="209" customFormat="1" ht="11.25" customHeight="1">
      <c r="A97" s="591"/>
      <c r="B97" s="65"/>
      <c r="C97" s="65"/>
      <c r="K97" s="60"/>
      <c r="L97" s="65"/>
      <c r="M97" s="65"/>
      <c r="N97" s="60"/>
      <c r="O97" s="60"/>
      <c r="P97" s="60"/>
      <c r="Q97" s="60"/>
      <c r="R97" s="65"/>
      <c r="S97" s="60"/>
      <c r="T97" s="60"/>
      <c r="U97" s="320"/>
      <c r="V97" s="60"/>
      <c r="W97" s="60"/>
      <c r="X97" s="60"/>
      <c r="Y97" s="60"/>
      <c r="Z97" s="60"/>
      <c r="AA97" s="6"/>
      <c r="AB97" s="139"/>
      <c r="AC97" s="139"/>
      <c r="AD97" s="139"/>
      <c r="AE97" s="139"/>
    </row>
    <row r="98" spans="1:31" s="209" customFormat="1" ht="11.25" customHeight="1">
      <c r="A98" s="591"/>
      <c r="B98" s="65"/>
      <c r="C98" s="65"/>
      <c r="K98" s="60"/>
      <c r="L98" s="65"/>
      <c r="M98" s="65"/>
      <c r="N98" s="60"/>
      <c r="O98" s="60"/>
      <c r="P98" s="60"/>
      <c r="Q98" s="60"/>
      <c r="R98" s="65"/>
      <c r="S98" s="60"/>
      <c r="T98" s="60"/>
      <c r="U98" s="320"/>
      <c r="V98" s="60"/>
      <c r="W98" s="60"/>
      <c r="X98" s="60"/>
      <c r="Y98" s="60"/>
      <c r="Z98" s="60"/>
      <c r="AA98" s="6"/>
      <c r="AB98" s="139"/>
      <c r="AC98" s="139"/>
      <c r="AD98" s="139"/>
      <c r="AE98" s="139"/>
    </row>
    <row r="99" spans="1:31" s="209" customFormat="1" ht="11.25" customHeight="1">
      <c r="A99" s="591"/>
      <c r="B99" s="65"/>
      <c r="C99" s="65"/>
      <c r="K99" s="60"/>
      <c r="L99" s="65"/>
      <c r="M99" s="65"/>
      <c r="N99" s="60"/>
      <c r="O99" s="60"/>
      <c r="P99" s="60"/>
      <c r="Q99" s="60"/>
      <c r="R99" s="65"/>
      <c r="S99" s="60"/>
      <c r="T99" s="60"/>
      <c r="U99" s="320"/>
      <c r="V99" s="60"/>
      <c r="W99" s="60"/>
      <c r="X99" s="60"/>
      <c r="Y99" s="60"/>
      <c r="Z99" s="60"/>
      <c r="AA99" s="6"/>
      <c r="AB99" s="139"/>
      <c r="AC99" s="139"/>
      <c r="AD99" s="139"/>
      <c r="AE99" s="139"/>
    </row>
    <row r="100" spans="1:31" s="209" customFormat="1" ht="11.25" customHeight="1">
      <c r="A100" s="591"/>
      <c r="B100" s="65"/>
      <c r="C100" s="65"/>
      <c r="K100" s="60"/>
      <c r="L100" s="65"/>
      <c r="M100" s="65"/>
      <c r="N100" s="60"/>
      <c r="O100" s="60"/>
      <c r="P100" s="60"/>
      <c r="Q100" s="60"/>
      <c r="R100" s="65"/>
      <c r="S100" s="60"/>
      <c r="T100" s="60"/>
      <c r="U100" s="320"/>
      <c r="V100" s="60"/>
      <c r="W100" s="60"/>
      <c r="X100" s="60"/>
      <c r="Y100" s="60"/>
      <c r="Z100" s="60"/>
      <c r="AA100" s="6"/>
      <c r="AB100" s="139"/>
      <c r="AC100" s="139"/>
      <c r="AD100" s="139"/>
      <c r="AE100" s="139"/>
    </row>
    <row r="101" spans="1:31" s="209" customFormat="1" ht="11.25" customHeight="1">
      <c r="A101" s="591"/>
      <c r="B101" s="65"/>
      <c r="C101" s="65"/>
      <c r="K101" s="60"/>
      <c r="L101" s="65"/>
      <c r="M101" s="65"/>
      <c r="N101" s="60"/>
      <c r="O101" s="60"/>
      <c r="P101" s="60"/>
      <c r="Q101" s="60"/>
      <c r="R101" s="65"/>
      <c r="S101" s="60"/>
      <c r="T101" s="60"/>
      <c r="U101" s="320"/>
      <c r="V101" s="60"/>
      <c r="W101" s="60"/>
      <c r="X101" s="60"/>
      <c r="Y101" s="60"/>
      <c r="Z101" s="60"/>
      <c r="AA101" s="6"/>
      <c r="AB101" s="139"/>
      <c r="AC101" s="139"/>
      <c r="AD101" s="139"/>
      <c r="AE101" s="139"/>
    </row>
    <row r="102" spans="1:31" s="209" customFormat="1" ht="11.25" customHeight="1">
      <c r="A102" s="591"/>
      <c r="B102" s="65"/>
      <c r="C102" s="65"/>
      <c r="K102" s="60"/>
      <c r="L102" s="65"/>
      <c r="M102" s="65"/>
      <c r="N102" s="60"/>
      <c r="O102" s="60"/>
      <c r="P102" s="60"/>
      <c r="Q102" s="60"/>
      <c r="R102" s="65"/>
      <c r="S102" s="60"/>
      <c r="T102" s="60"/>
      <c r="U102" s="320"/>
      <c r="V102" s="60"/>
      <c r="W102" s="60"/>
      <c r="X102" s="60"/>
      <c r="Y102" s="60"/>
      <c r="Z102" s="60"/>
      <c r="AA102" s="6"/>
      <c r="AB102" s="139"/>
      <c r="AC102" s="139"/>
      <c r="AD102" s="139"/>
      <c r="AE102" s="139"/>
    </row>
    <row r="103" spans="1:31" s="209" customFormat="1" ht="11.25" customHeight="1">
      <c r="A103" s="591"/>
      <c r="B103" s="65"/>
      <c r="C103" s="65"/>
      <c r="K103" s="60"/>
      <c r="L103" s="65"/>
      <c r="M103" s="65"/>
      <c r="N103" s="60"/>
      <c r="O103" s="60"/>
      <c r="P103" s="60"/>
      <c r="Q103" s="60"/>
      <c r="R103" s="65"/>
      <c r="S103" s="60"/>
      <c r="T103" s="60"/>
      <c r="U103" s="320"/>
      <c r="V103" s="60"/>
      <c r="W103" s="60"/>
      <c r="X103" s="60"/>
      <c r="Y103" s="60"/>
      <c r="Z103" s="60"/>
      <c r="AA103" s="6"/>
      <c r="AB103" s="139"/>
      <c r="AC103" s="139"/>
      <c r="AD103" s="139"/>
      <c r="AE103" s="139"/>
    </row>
    <row r="104" spans="1:31" s="209" customFormat="1" ht="11.25" customHeight="1">
      <c r="A104" s="591"/>
      <c r="B104" s="65"/>
      <c r="C104" s="65"/>
      <c r="K104" s="60"/>
      <c r="L104" s="65"/>
      <c r="M104" s="65"/>
      <c r="N104" s="60"/>
      <c r="O104" s="60"/>
      <c r="P104" s="60"/>
      <c r="Q104" s="60"/>
      <c r="R104" s="65"/>
      <c r="S104" s="60"/>
      <c r="T104" s="60"/>
      <c r="U104" s="320"/>
      <c r="V104" s="60"/>
      <c r="W104" s="60"/>
      <c r="X104" s="60"/>
      <c r="Y104" s="60"/>
      <c r="Z104" s="60"/>
      <c r="AA104" s="6"/>
      <c r="AB104" s="139"/>
      <c r="AC104" s="139"/>
      <c r="AD104" s="139"/>
      <c r="AE104" s="139"/>
    </row>
    <row r="105" spans="1:31" s="209" customFormat="1" ht="11.25" customHeight="1">
      <c r="A105" s="591"/>
      <c r="B105" s="65"/>
      <c r="C105" s="65"/>
      <c r="K105" s="60"/>
      <c r="L105" s="65"/>
      <c r="M105" s="65"/>
      <c r="N105" s="60"/>
      <c r="O105" s="60"/>
      <c r="P105" s="60"/>
      <c r="Q105" s="60"/>
      <c r="R105" s="65"/>
      <c r="S105" s="60"/>
      <c r="T105" s="60"/>
      <c r="U105" s="320"/>
      <c r="V105" s="60"/>
      <c r="W105" s="60"/>
      <c r="X105" s="60"/>
      <c r="Y105" s="60"/>
      <c r="Z105" s="60"/>
      <c r="AA105" s="6"/>
      <c r="AB105" s="139"/>
      <c r="AC105" s="139"/>
      <c r="AD105" s="139"/>
      <c r="AE105" s="139"/>
    </row>
    <row r="106" spans="1:31" s="209" customFormat="1" ht="11.25" customHeight="1">
      <c r="A106" s="591"/>
      <c r="B106" s="65"/>
      <c r="C106" s="65"/>
      <c r="K106" s="60"/>
      <c r="L106" s="65"/>
      <c r="M106" s="65"/>
      <c r="N106" s="60"/>
      <c r="O106" s="60"/>
      <c r="P106" s="60"/>
      <c r="Q106" s="60"/>
      <c r="R106" s="65"/>
      <c r="S106" s="60"/>
      <c r="T106" s="60"/>
      <c r="U106" s="320"/>
      <c r="V106" s="60"/>
      <c r="W106" s="60"/>
      <c r="X106" s="60"/>
      <c r="Y106" s="60"/>
      <c r="Z106" s="60"/>
      <c r="AA106" s="6"/>
      <c r="AB106" s="139"/>
      <c r="AC106" s="139"/>
      <c r="AD106" s="139"/>
      <c r="AE106" s="139"/>
    </row>
    <row r="107" spans="1:31" s="209" customFormat="1" ht="11.25" customHeight="1">
      <c r="A107" s="591"/>
      <c r="B107" s="65"/>
      <c r="C107" s="65"/>
      <c r="K107" s="60"/>
      <c r="L107" s="65"/>
      <c r="M107" s="65"/>
      <c r="N107" s="60"/>
      <c r="O107" s="60"/>
      <c r="P107" s="60"/>
      <c r="Q107" s="60"/>
      <c r="R107" s="65"/>
      <c r="S107" s="60"/>
      <c r="T107" s="60"/>
      <c r="U107" s="320"/>
      <c r="V107" s="60"/>
      <c r="W107" s="60"/>
      <c r="X107" s="60"/>
      <c r="Y107" s="60"/>
      <c r="Z107" s="60"/>
      <c r="AA107" s="6"/>
      <c r="AB107" s="139"/>
      <c r="AC107" s="139"/>
      <c r="AD107" s="139"/>
      <c r="AE107" s="139"/>
    </row>
    <row r="108" spans="1:31" s="209" customFormat="1" ht="11.25" customHeight="1">
      <c r="A108" s="591"/>
      <c r="B108" s="65"/>
      <c r="C108" s="65"/>
      <c r="K108" s="60"/>
      <c r="L108" s="65"/>
      <c r="M108" s="65"/>
      <c r="N108" s="60"/>
      <c r="O108" s="60"/>
      <c r="P108" s="60"/>
      <c r="Q108" s="60"/>
      <c r="R108" s="65"/>
      <c r="S108" s="60"/>
      <c r="T108" s="60"/>
      <c r="U108" s="320"/>
      <c r="V108" s="60"/>
      <c r="W108" s="60"/>
      <c r="X108" s="60"/>
      <c r="Y108" s="60"/>
      <c r="Z108" s="60"/>
      <c r="AA108" s="6"/>
      <c r="AB108" s="139"/>
      <c r="AC108" s="139"/>
      <c r="AD108" s="139"/>
      <c r="AE108" s="139"/>
    </row>
    <row r="109" spans="1:31" s="209" customFormat="1" ht="11.25" customHeight="1">
      <c r="A109" s="591"/>
      <c r="B109" s="65"/>
      <c r="C109" s="65"/>
      <c r="K109" s="60"/>
      <c r="L109" s="65"/>
      <c r="M109" s="65"/>
      <c r="N109" s="60"/>
      <c r="O109" s="60"/>
      <c r="P109" s="60"/>
      <c r="Q109" s="60"/>
      <c r="R109" s="65"/>
      <c r="S109" s="60"/>
      <c r="T109" s="60"/>
      <c r="U109" s="320"/>
      <c r="V109" s="60"/>
      <c r="W109" s="60"/>
      <c r="X109" s="60"/>
      <c r="Y109" s="60"/>
      <c r="Z109" s="60"/>
      <c r="AA109" s="6"/>
      <c r="AB109" s="139"/>
      <c r="AC109" s="139"/>
      <c r="AD109" s="139"/>
      <c r="AE109" s="139"/>
    </row>
    <row r="110" spans="1:31" s="209" customFormat="1" ht="11.25" customHeight="1">
      <c r="A110" s="591"/>
      <c r="B110" s="65"/>
      <c r="C110" s="65"/>
      <c r="K110" s="60"/>
      <c r="L110" s="65"/>
      <c r="M110" s="65"/>
      <c r="N110" s="60"/>
      <c r="O110" s="60"/>
      <c r="P110" s="60"/>
      <c r="Q110" s="60"/>
      <c r="R110" s="65"/>
      <c r="S110" s="60"/>
      <c r="T110" s="60"/>
      <c r="U110" s="320"/>
      <c r="V110" s="60"/>
      <c r="W110" s="60"/>
      <c r="X110" s="60"/>
      <c r="Y110" s="60"/>
      <c r="Z110" s="60"/>
      <c r="AA110" s="6"/>
      <c r="AB110" s="139"/>
      <c r="AC110" s="139"/>
      <c r="AD110" s="139"/>
      <c r="AE110" s="139"/>
    </row>
    <row r="111" spans="1:31" s="209" customFormat="1" ht="11.25" customHeight="1">
      <c r="A111" s="591"/>
      <c r="B111" s="65"/>
      <c r="C111" s="65"/>
      <c r="K111" s="60"/>
      <c r="L111" s="65"/>
      <c r="M111" s="65"/>
      <c r="N111" s="60"/>
      <c r="O111" s="60"/>
      <c r="P111" s="60"/>
      <c r="Q111" s="60"/>
      <c r="R111" s="65"/>
      <c r="S111" s="60"/>
      <c r="T111" s="60"/>
      <c r="U111" s="320"/>
      <c r="V111" s="60"/>
      <c r="W111" s="60"/>
      <c r="X111" s="60"/>
      <c r="Y111" s="60"/>
      <c r="Z111" s="60"/>
      <c r="AA111" s="6"/>
      <c r="AB111" s="139"/>
      <c r="AC111" s="139"/>
      <c r="AD111" s="139"/>
      <c r="AE111" s="139"/>
    </row>
    <row r="112" spans="1:31" s="209" customFormat="1" ht="11.25" customHeight="1">
      <c r="A112" s="591"/>
      <c r="B112" s="65"/>
      <c r="C112" s="65"/>
      <c r="K112" s="60"/>
      <c r="L112" s="65"/>
      <c r="M112" s="65"/>
      <c r="N112" s="60"/>
      <c r="O112" s="60"/>
      <c r="P112" s="60"/>
      <c r="Q112" s="60"/>
      <c r="R112" s="65"/>
      <c r="S112" s="60"/>
      <c r="T112" s="60"/>
      <c r="U112" s="320"/>
      <c r="V112" s="60"/>
      <c r="W112" s="60"/>
      <c r="X112" s="60"/>
      <c r="Y112" s="60"/>
      <c r="Z112" s="60"/>
      <c r="AA112" s="6"/>
      <c r="AB112" s="139"/>
      <c r="AC112" s="139"/>
      <c r="AD112" s="139"/>
      <c r="AE112" s="139"/>
    </row>
    <row r="113" spans="1:31" s="209" customFormat="1" ht="11.25" customHeight="1">
      <c r="A113" s="591"/>
      <c r="B113" s="65"/>
      <c r="C113" s="65"/>
      <c r="K113" s="60"/>
      <c r="L113" s="65"/>
      <c r="M113" s="65"/>
      <c r="N113" s="60"/>
      <c r="O113" s="60"/>
      <c r="P113" s="60"/>
      <c r="Q113" s="60"/>
      <c r="R113" s="65"/>
      <c r="S113" s="60"/>
      <c r="T113" s="60"/>
      <c r="U113" s="320"/>
      <c r="V113" s="60"/>
      <c r="W113" s="60"/>
      <c r="X113" s="60"/>
      <c r="Y113" s="60"/>
      <c r="Z113" s="60"/>
      <c r="AA113" s="6"/>
      <c r="AB113" s="139"/>
      <c r="AC113" s="139"/>
      <c r="AD113" s="139"/>
      <c r="AE113" s="139"/>
    </row>
    <row r="114" spans="1:31" s="209" customFormat="1" ht="11.25" customHeight="1">
      <c r="A114" s="591"/>
      <c r="B114" s="65"/>
      <c r="C114" s="65"/>
      <c r="K114" s="60"/>
      <c r="L114" s="65"/>
      <c r="M114" s="65"/>
      <c r="N114" s="60"/>
      <c r="O114" s="60"/>
      <c r="P114" s="60"/>
      <c r="Q114" s="60"/>
      <c r="R114" s="65"/>
      <c r="S114" s="60"/>
      <c r="T114" s="60"/>
      <c r="U114" s="320"/>
      <c r="V114" s="60"/>
      <c r="W114" s="60"/>
      <c r="X114" s="60"/>
      <c r="Y114" s="60"/>
      <c r="Z114" s="60"/>
      <c r="AA114" s="6"/>
      <c r="AB114" s="139"/>
      <c r="AC114" s="139"/>
      <c r="AD114" s="139"/>
      <c r="AE114" s="139"/>
    </row>
    <row r="115" spans="1:31" s="209" customFormat="1" ht="11.25" customHeight="1">
      <c r="A115" s="591"/>
      <c r="B115" s="65"/>
      <c r="C115" s="65"/>
      <c r="K115" s="60"/>
      <c r="L115" s="65"/>
      <c r="M115" s="65"/>
      <c r="N115" s="60"/>
      <c r="O115" s="60"/>
      <c r="P115" s="60"/>
      <c r="Q115" s="60"/>
      <c r="R115" s="65"/>
      <c r="S115" s="60"/>
      <c r="T115" s="60"/>
      <c r="U115" s="320"/>
      <c r="V115" s="60"/>
      <c r="W115" s="60"/>
      <c r="X115" s="60"/>
      <c r="Y115" s="60"/>
      <c r="Z115" s="60"/>
      <c r="AA115" s="6"/>
      <c r="AB115" s="139"/>
      <c r="AC115" s="139"/>
      <c r="AD115" s="139"/>
      <c r="AE115" s="139"/>
    </row>
    <row r="116" spans="1:31" s="209" customFormat="1" ht="11.25" customHeight="1">
      <c r="A116" s="591"/>
      <c r="B116" s="65"/>
      <c r="C116" s="65"/>
      <c r="K116" s="60"/>
      <c r="L116" s="65"/>
      <c r="M116" s="65"/>
      <c r="N116" s="60"/>
      <c r="O116" s="60"/>
      <c r="P116" s="60"/>
      <c r="Q116" s="60"/>
      <c r="R116" s="65"/>
      <c r="S116" s="60"/>
      <c r="T116" s="60"/>
      <c r="U116" s="320"/>
      <c r="V116" s="60"/>
      <c r="W116" s="60"/>
      <c r="X116" s="60"/>
      <c r="Y116" s="60"/>
      <c r="Z116" s="60"/>
      <c r="AA116" s="6"/>
      <c r="AB116" s="139"/>
      <c r="AC116" s="139"/>
      <c r="AD116" s="139"/>
      <c r="AE116" s="139"/>
    </row>
    <row r="117" spans="1:31" s="209" customFormat="1" ht="11.25" customHeight="1">
      <c r="A117" s="591"/>
      <c r="B117" s="65"/>
      <c r="C117" s="65"/>
      <c r="K117" s="60"/>
      <c r="L117" s="65"/>
      <c r="M117" s="65"/>
      <c r="N117" s="60"/>
      <c r="O117" s="60"/>
      <c r="P117" s="60"/>
      <c r="Q117" s="60"/>
      <c r="R117" s="65"/>
      <c r="S117" s="60"/>
      <c r="T117" s="60"/>
      <c r="U117" s="320"/>
      <c r="V117" s="60"/>
      <c r="W117" s="60"/>
      <c r="X117" s="60"/>
      <c r="Y117" s="60"/>
      <c r="Z117" s="60"/>
      <c r="AA117" s="6"/>
      <c r="AB117" s="139"/>
      <c r="AC117" s="139"/>
      <c r="AD117" s="139"/>
      <c r="AE117" s="139"/>
    </row>
    <row r="118" spans="1:31" s="209" customFormat="1" ht="11.25" customHeight="1">
      <c r="A118" s="591"/>
      <c r="B118" s="65"/>
      <c r="C118" s="65"/>
      <c r="K118" s="60"/>
      <c r="L118" s="65"/>
      <c r="M118" s="65"/>
      <c r="N118" s="60"/>
      <c r="O118" s="60"/>
      <c r="P118" s="60"/>
      <c r="Q118" s="60"/>
      <c r="R118" s="65"/>
      <c r="S118" s="60"/>
      <c r="T118" s="60"/>
      <c r="U118" s="320"/>
      <c r="V118" s="60"/>
      <c r="W118" s="60"/>
      <c r="X118" s="60"/>
      <c r="Y118" s="60"/>
      <c r="Z118" s="60"/>
      <c r="AA118" s="6"/>
      <c r="AB118" s="139"/>
      <c r="AC118" s="139"/>
      <c r="AD118" s="139"/>
      <c r="AE118" s="139"/>
    </row>
    <row r="119" spans="1:31" s="209" customFormat="1" ht="11.25" customHeight="1">
      <c r="A119" s="591"/>
      <c r="B119" s="65"/>
      <c r="C119" s="65"/>
      <c r="K119" s="60"/>
      <c r="L119" s="65"/>
      <c r="M119" s="65"/>
      <c r="N119" s="60"/>
      <c r="O119" s="60"/>
      <c r="P119" s="60"/>
      <c r="Q119" s="60"/>
      <c r="R119" s="65"/>
      <c r="S119" s="60"/>
      <c r="T119" s="60"/>
      <c r="U119" s="320"/>
      <c r="V119" s="60"/>
      <c r="W119" s="60"/>
      <c r="X119" s="60"/>
      <c r="Y119" s="60"/>
      <c r="Z119" s="60"/>
      <c r="AA119" s="6"/>
      <c r="AB119" s="139"/>
      <c r="AC119" s="139"/>
      <c r="AD119" s="139"/>
      <c r="AE119" s="139"/>
    </row>
    <row r="120" spans="1:31" s="209" customFormat="1" ht="11.25" customHeight="1">
      <c r="A120" s="591"/>
      <c r="B120" s="65"/>
      <c r="C120" s="65"/>
      <c r="K120" s="60"/>
      <c r="L120" s="65"/>
      <c r="M120" s="65"/>
      <c r="N120" s="60"/>
      <c r="O120" s="60"/>
      <c r="P120" s="60"/>
      <c r="Q120" s="60"/>
      <c r="R120" s="65"/>
      <c r="S120" s="60"/>
      <c r="T120" s="60"/>
      <c r="U120" s="320"/>
      <c r="V120" s="60"/>
      <c r="W120" s="60"/>
      <c r="X120" s="60"/>
      <c r="Y120" s="60"/>
      <c r="Z120" s="60"/>
      <c r="AA120" s="6"/>
      <c r="AB120" s="139"/>
      <c r="AC120" s="139"/>
      <c r="AD120" s="139"/>
      <c r="AE120" s="139"/>
    </row>
    <row r="121" spans="1:31" s="209" customFormat="1" ht="11.25" customHeight="1">
      <c r="A121" s="591"/>
      <c r="B121" s="65"/>
      <c r="C121" s="65"/>
      <c r="K121" s="60"/>
      <c r="L121" s="65"/>
      <c r="M121" s="65"/>
      <c r="N121" s="60"/>
      <c r="O121" s="60"/>
      <c r="P121" s="60"/>
      <c r="Q121" s="60"/>
      <c r="R121" s="65"/>
      <c r="S121" s="60"/>
      <c r="T121" s="60"/>
      <c r="U121" s="320"/>
      <c r="V121" s="60"/>
      <c r="W121" s="60"/>
      <c r="X121" s="60"/>
      <c r="Y121" s="60"/>
      <c r="Z121" s="60"/>
      <c r="AA121" s="6"/>
      <c r="AB121" s="139"/>
      <c r="AC121" s="139"/>
      <c r="AD121" s="139"/>
      <c r="AE121" s="139"/>
    </row>
    <row r="122" spans="1:31" s="209" customFormat="1" ht="11.25" customHeight="1">
      <c r="A122" s="591"/>
      <c r="B122" s="65"/>
      <c r="C122" s="65"/>
      <c r="K122" s="60"/>
      <c r="L122" s="65"/>
      <c r="M122" s="65"/>
      <c r="N122" s="60"/>
      <c r="O122" s="60"/>
      <c r="P122" s="60"/>
      <c r="Q122" s="60"/>
      <c r="R122" s="65"/>
      <c r="S122" s="60"/>
      <c r="T122" s="60"/>
      <c r="U122" s="320"/>
      <c r="V122" s="60"/>
      <c r="W122" s="60"/>
      <c r="X122" s="60"/>
      <c r="Y122" s="60"/>
      <c r="Z122" s="60"/>
      <c r="AA122" s="6"/>
      <c r="AB122" s="139"/>
      <c r="AC122" s="139"/>
      <c r="AD122" s="139"/>
      <c r="AE122" s="139"/>
    </row>
    <row r="123" spans="1:31" s="209" customFormat="1" ht="11.25" customHeight="1">
      <c r="A123" s="591"/>
      <c r="B123" s="65"/>
      <c r="C123" s="65"/>
      <c r="K123" s="60"/>
      <c r="L123" s="65"/>
      <c r="M123" s="65"/>
      <c r="N123" s="60"/>
      <c r="O123" s="60"/>
      <c r="P123" s="60"/>
      <c r="Q123" s="60"/>
      <c r="R123" s="65"/>
      <c r="S123" s="60"/>
      <c r="T123" s="60"/>
      <c r="U123" s="320"/>
      <c r="V123" s="60"/>
      <c r="W123" s="60"/>
      <c r="X123" s="60"/>
      <c r="Y123" s="60"/>
      <c r="Z123" s="60"/>
      <c r="AA123" s="6"/>
      <c r="AB123" s="139"/>
      <c r="AC123" s="139"/>
      <c r="AD123" s="139"/>
      <c r="AE123" s="139"/>
    </row>
    <row r="124" spans="1:31" s="209" customFormat="1" ht="11.25" customHeight="1">
      <c r="A124" s="591"/>
      <c r="B124" s="65"/>
      <c r="C124" s="65"/>
      <c r="K124" s="60"/>
      <c r="L124" s="65"/>
      <c r="M124" s="65"/>
      <c r="N124" s="60"/>
      <c r="O124" s="60"/>
      <c r="P124" s="60"/>
      <c r="Q124" s="60"/>
      <c r="R124" s="65"/>
      <c r="S124" s="60"/>
      <c r="T124" s="60"/>
      <c r="U124" s="320"/>
      <c r="V124" s="60"/>
      <c r="W124" s="60"/>
      <c r="X124" s="60"/>
      <c r="Y124" s="60"/>
      <c r="Z124" s="60"/>
      <c r="AA124" s="6"/>
      <c r="AB124" s="139"/>
      <c r="AC124" s="139"/>
      <c r="AD124" s="139"/>
      <c r="AE124" s="139"/>
    </row>
    <row r="125" spans="1:31" s="209" customFormat="1" ht="11.25" customHeight="1">
      <c r="A125" s="591"/>
      <c r="B125" s="65"/>
      <c r="C125" s="65"/>
      <c r="K125" s="60"/>
      <c r="L125" s="65"/>
      <c r="M125" s="65"/>
      <c r="N125" s="60"/>
      <c r="O125" s="60"/>
      <c r="P125" s="60"/>
      <c r="Q125" s="60"/>
      <c r="R125" s="65"/>
      <c r="S125" s="60"/>
      <c r="T125" s="60"/>
      <c r="U125" s="320"/>
      <c r="V125" s="60"/>
      <c r="W125" s="60"/>
      <c r="X125" s="60"/>
      <c r="Y125" s="60"/>
      <c r="Z125" s="60"/>
      <c r="AA125" s="6"/>
      <c r="AB125" s="139"/>
      <c r="AC125" s="139"/>
      <c r="AD125" s="139"/>
      <c r="AE125" s="139"/>
    </row>
    <row r="126" spans="1:31" s="209" customFormat="1" ht="11.25" customHeight="1">
      <c r="A126" s="591"/>
      <c r="B126" s="65"/>
      <c r="C126" s="65"/>
      <c r="K126" s="60"/>
      <c r="L126" s="65"/>
      <c r="M126" s="65"/>
      <c r="N126" s="60"/>
      <c r="O126" s="60"/>
      <c r="P126" s="60"/>
      <c r="Q126" s="60"/>
      <c r="R126" s="65"/>
      <c r="S126" s="60"/>
      <c r="T126" s="60"/>
      <c r="U126" s="320"/>
      <c r="V126" s="60"/>
      <c r="W126" s="60"/>
      <c r="X126" s="60"/>
      <c r="Y126" s="60"/>
      <c r="Z126" s="60"/>
      <c r="AA126" s="6"/>
      <c r="AB126" s="139"/>
      <c r="AC126" s="139"/>
      <c r="AD126" s="139"/>
      <c r="AE126" s="139"/>
    </row>
    <row r="127" spans="1:31" s="209" customFormat="1" ht="11.25" customHeight="1">
      <c r="A127" s="591"/>
      <c r="B127" s="65"/>
      <c r="C127" s="65"/>
      <c r="K127" s="60"/>
      <c r="L127" s="65"/>
      <c r="M127" s="65"/>
      <c r="N127" s="60"/>
      <c r="O127" s="60"/>
      <c r="P127" s="60"/>
      <c r="Q127" s="60"/>
      <c r="R127" s="65"/>
      <c r="S127" s="60"/>
      <c r="T127" s="60"/>
      <c r="U127" s="320"/>
      <c r="V127" s="60"/>
      <c r="W127" s="60"/>
      <c r="X127" s="60"/>
      <c r="Y127" s="60"/>
      <c r="Z127" s="60"/>
      <c r="AA127" s="6"/>
      <c r="AB127" s="139"/>
      <c r="AC127" s="139"/>
      <c r="AD127" s="139"/>
      <c r="AE127" s="139"/>
    </row>
    <row r="128" spans="1:31" s="209" customFormat="1" ht="11.25" customHeight="1">
      <c r="A128" s="591"/>
      <c r="B128" s="65"/>
      <c r="C128" s="65"/>
      <c r="K128" s="60"/>
      <c r="L128" s="65"/>
      <c r="M128" s="65"/>
      <c r="N128" s="60"/>
      <c r="O128" s="60"/>
      <c r="P128" s="60"/>
      <c r="Q128" s="60"/>
      <c r="R128" s="65"/>
      <c r="S128" s="60"/>
      <c r="T128" s="60"/>
      <c r="U128" s="320"/>
      <c r="V128" s="60"/>
      <c r="W128" s="60"/>
      <c r="X128" s="60"/>
      <c r="Y128" s="60"/>
      <c r="Z128" s="60"/>
      <c r="AA128" s="6"/>
      <c r="AB128" s="139"/>
      <c r="AC128" s="139"/>
      <c r="AD128" s="139"/>
      <c r="AE128" s="139"/>
    </row>
    <row r="129" spans="1:31" s="209" customFormat="1" ht="11.25" customHeight="1">
      <c r="A129" s="591"/>
      <c r="B129" s="65"/>
      <c r="C129" s="65"/>
      <c r="K129" s="60"/>
      <c r="L129" s="65"/>
      <c r="M129" s="65"/>
      <c r="N129" s="60"/>
      <c r="O129" s="60"/>
      <c r="P129" s="60"/>
      <c r="Q129" s="60"/>
      <c r="R129" s="65"/>
      <c r="S129" s="60"/>
      <c r="T129" s="60"/>
      <c r="U129" s="320"/>
      <c r="V129" s="60"/>
      <c r="W129" s="60"/>
      <c r="X129" s="60"/>
      <c r="Y129" s="60"/>
      <c r="Z129" s="60"/>
      <c r="AA129" s="6"/>
      <c r="AB129" s="139"/>
      <c r="AC129" s="139"/>
      <c r="AD129" s="139"/>
      <c r="AE129" s="139"/>
    </row>
    <row r="130" spans="1:31" s="209" customFormat="1" ht="11.25" customHeight="1">
      <c r="A130" s="591"/>
      <c r="B130" s="65"/>
      <c r="C130" s="65"/>
      <c r="K130" s="60"/>
      <c r="L130" s="65"/>
      <c r="M130" s="65"/>
      <c r="N130" s="60"/>
      <c r="O130" s="60"/>
      <c r="P130" s="60"/>
      <c r="Q130" s="60"/>
      <c r="R130" s="65"/>
      <c r="S130" s="60"/>
      <c r="T130" s="60"/>
      <c r="U130" s="320"/>
      <c r="V130" s="60"/>
      <c r="W130" s="60"/>
      <c r="X130" s="60"/>
      <c r="Y130" s="60"/>
      <c r="Z130" s="60"/>
      <c r="AA130" s="6"/>
      <c r="AB130" s="139"/>
      <c r="AC130" s="139"/>
      <c r="AD130" s="139"/>
      <c r="AE130" s="139"/>
    </row>
    <row r="131" spans="1:31" s="209" customFormat="1" ht="11.25" customHeight="1">
      <c r="A131" s="591"/>
      <c r="B131" s="65"/>
      <c r="C131" s="65"/>
      <c r="K131" s="60"/>
      <c r="L131" s="65"/>
      <c r="M131" s="65"/>
      <c r="N131" s="60"/>
      <c r="O131" s="60"/>
      <c r="P131" s="60"/>
      <c r="Q131" s="60"/>
      <c r="R131" s="65"/>
      <c r="S131" s="60"/>
      <c r="T131" s="60"/>
      <c r="U131" s="320"/>
      <c r="V131" s="60"/>
      <c r="W131" s="60"/>
      <c r="X131" s="60"/>
      <c r="Y131" s="60"/>
      <c r="Z131" s="60"/>
      <c r="AA131" s="6"/>
      <c r="AB131" s="139"/>
      <c r="AC131" s="139"/>
      <c r="AD131" s="139"/>
      <c r="AE131" s="139"/>
    </row>
    <row r="132" spans="1:31" s="209" customFormat="1" ht="11.25" customHeight="1">
      <c r="A132" s="591"/>
      <c r="B132" s="65"/>
      <c r="C132" s="65"/>
      <c r="K132" s="60"/>
      <c r="L132" s="65"/>
      <c r="M132" s="65"/>
      <c r="N132" s="60"/>
      <c r="O132" s="60"/>
      <c r="P132" s="60"/>
      <c r="Q132" s="60"/>
      <c r="R132" s="65"/>
      <c r="S132" s="60"/>
      <c r="T132" s="60"/>
      <c r="U132" s="320"/>
      <c r="V132" s="60"/>
      <c r="W132" s="60"/>
      <c r="X132" s="60"/>
      <c r="Y132" s="60"/>
      <c r="Z132" s="60"/>
      <c r="AA132" s="6"/>
      <c r="AB132" s="139"/>
      <c r="AC132" s="139"/>
      <c r="AD132" s="139"/>
      <c r="AE132" s="139"/>
    </row>
    <row r="133" spans="1:31" s="209" customFormat="1" ht="11.25" customHeight="1">
      <c r="A133" s="591"/>
      <c r="B133" s="65"/>
      <c r="C133" s="65"/>
      <c r="K133" s="60"/>
      <c r="L133" s="65"/>
      <c r="M133" s="65"/>
      <c r="N133" s="60"/>
      <c r="O133" s="60"/>
      <c r="P133" s="60"/>
      <c r="Q133" s="60"/>
      <c r="R133" s="65"/>
      <c r="S133" s="60"/>
      <c r="T133" s="60"/>
      <c r="U133" s="320"/>
      <c r="V133" s="60"/>
      <c r="W133" s="60"/>
      <c r="X133" s="60"/>
      <c r="Y133" s="60"/>
      <c r="Z133" s="60"/>
      <c r="AA133" s="6"/>
      <c r="AB133" s="139"/>
      <c r="AC133" s="139"/>
      <c r="AD133" s="139"/>
      <c r="AE133" s="139"/>
    </row>
    <row r="134" spans="1:31" s="209" customFormat="1" ht="11.25" customHeight="1">
      <c r="A134" s="591"/>
      <c r="B134" s="65"/>
      <c r="C134" s="65"/>
      <c r="K134" s="60"/>
      <c r="L134" s="65"/>
      <c r="M134" s="65"/>
      <c r="N134" s="60"/>
      <c r="O134" s="60"/>
      <c r="P134" s="60"/>
      <c r="Q134" s="60"/>
      <c r="R134" s="65"/>
      <c r="S134" s="60"/>
      <c r="T134" s="60"/>
      <c r="U134" s="320"/>
      <c r="V134" s="60"/>
      <c r="W134" s="60"/>
      <c r="X134" s="60"/>
      <c r="Y134" s="60"/>
      <c r="Z134" s="60"/>
      <c r="AA134" s="6"/>
      <c r="AB134" s="139"/>
      <c r="AC134" s="139"/>
      <c r="AD134" s="139"/>
      <c r="AE134" s="139"/>
    </row>
    <row r="135" spans="1:31" s="209" customFormat="1" ht="11.25" customHeight="1">
      <c r="A135" s="591"/>
      <c r="B135" s="65"/>
      <c r="C135" s="65"/>
      <c r="K135" s="60"/>
      <c r="L135" s="65"/>
      <c r="M135" s="65"/>
      <c r="N135" s="60"/>
      <c r="O135" s="60"/>
      <c r="P135" s="60"/>
      <c r="Q135" s="60"/>
      <c r="R135" s="65"/>
      <c r="S135" s="60"/>
      <c r="T135" s="60"/>
      <c r="U135" s="320"/>
      <c r="V135" s="60"/>
      <c r="W135" s="60"/>
      <c r="X135" s="60"/>
      <c r="Y135" s="60"/>
      <c r="Z135" s="60"/>
      <c r="AA135" s="6"/>
      <c r="AB135" s="139"/>
      <c r="AC135" s="139"/>
      <c r="AD135" s="139"/>
      <c r="AE135" s="139"/>
    </row>
    <row r="136" spans="1:31" s="209" customFormat="1" ht="11.25" customHeight="1">
      <c r="A136" s="591"/>
      <c r="B136" s="65"/>
      <c r="C136" s="65"/>
      <c r="K136" s="60"/>
      <c r="L136" s="65"/>
      <c r="M136" s="65"/>
      <c r="N136" s="60"/>
      <c r="O136" s="60"/>
      <c r="P136" s="60"/>
      <c r="Q136" s="60"/>
      <c r="R136" s="65"/>
      <c r="S136" s="60"/>
      <c r="T136" s="60"/>
      <c r="U136" s="320"/>
      <c r="V136" s="60"/>
      <c r="W136" s="60"/>
      <c r="X136" s="60"/>
      <c r="Y136" s="60"/>
      <c r="Z136" s="60"/>
      <c r="AA136" s="6"/>
      <c r="AB136" s="139"/>
      <c r="AC136" s="139"/>
      <c r="AD136" s="139"/>
      <c r="AE136" s="139"/>
    </row>
    <row r="137" spans="1:31" s="209" customFormat="1" ht="11.25" customHeight="1">
      <c r="A137" s="591"/>
      <c r="B137" s="65"/>
      <c r="C137" s="65"/>
      <c r="K137" s="60"/>
      <c r="L137" s="65"/>
      <c r="M137" s="65"/>
      <c r="N137" s="60"/>
      <c r="O137" s="60"/>
      <c r="P137" s="60"/>
      <c r="Q137" s="60"/>
      <c r="R137" s="65"/>
      <c r="S137" s="60"/>
      <c r="T137" s="60"/>
      <c r="U137" s="320"/>
      <c r="V137" s="60"/>
      <c r="W137" s="60"/>
      <c r="X137" s="60"/>
      <c r="Y137" s="60"/>
      <c r="Z137" s="60"/>
      <c r="AA137" s="6"/>
      <c r="AB137" s="139"/>
      <c r="AC137" s="139"/>
      <c r="AD137" s="139"/>
      <c r="AE137" s="139"/>
    </row>
    <row r="138" spans="1:31" s="209" customFormat="1" ht="11.25" customHeight="1">
      <c r="A138" s="591"/>
      <c r="B138" s="65"/>
      <c r="C138" s="65"/>
      <c r="K138" s="60"/>
      <c r="L138" s="65"/>
      <c r="M138" s="65"/>
      <c r="N138" s="60"/>
      <c r="O138" s="60"/>
      <c r="P138" s="60"/>
      <c r="Q138" s="60"/>
      <c r="R138" s="65"/>
      <c r="S138" s="60"/>
      <c r="T138" s="60"/>
      <c r="U138" s="320"/>
      <c r="V138" s="60"/>
      <c r="W138" s="60"/>
      <c r="X138" s="60"/>
      <c r="Y138" s="60"/>
      <c r="Z138" s="60"/>
      <c r="AA138" s="6"/>
      <c r="AB138" s="139"/>
      <c r="AC138" s="139"/>
      <c r="AD138" s="139"/>
      <c r="AE138" s="139"/>
    </row>
    <row r="139" spans="1:31" s="209" customFormat="1" ht="11.25" customHeight="1">
      <c r="A139" s="591"/>
      <c r="B139" s="65"/>
      <c r="C139" s="65"/>
      <c r="K139" s="60"/>
      <c r="L139" s="65"/>
      <c r="M139" s="65"/>
      <c r="N139" s="60"/>
      <c r="O139" s="60"/>
      <c r="P139" s="60"/>
      <c r="Q139" s="60"/>
      <c r="R139" s="65"/>
      <c r="S139" s="60"/>
      <c r="T139" s="60"/>
      <c r="U139" s="320"/>
      <c r="V139" s="60"/>
      <c r="W139" s="60"/>
      <c r="X139" s="60"/>
      <c r="Y139" s="60"/>
      <c r="Z139" s="60"/>
      <c r="AA139" s="6"/>
      <c r="AB139" s="139"/>
      <c r="AC139" s="139"/>
      <c r="AD139" s="139"/>
      <c r="AE139" s="139"/>
    </row>
    <row r="140" spans="1:31" s="209" customFormat="1" ht="11.25" customHeight="1">
      <c r="A140" s="591"/>
      <c r="B140" s="65"/>
      <c r="C140" s="65"/>
      <c r="K140" s="60"/>
      <c r="L140" s="65"/>
      <c r="M140" s="65"/>
      <c r="N140" s="60"/>
      <c r="O140" s="60"/>
      <c r="P140" s="60"/>
      <c r="Q140" s="60"/>
      <c r="R140" s="65"/>
      <c r="S140" s="60"/>
      <c r="T140" s="60"/>
      <c r="U140" s="320"/>
      <c r="V140" s="60"/>
      <c r="W140" s="60"/>
      <c r="X140" s="60"/>
      <c r="Y140" s="60"/>
      <c r="Z140" s="60"/>
      <c r="AA140" s="6"/>
      <c r="AB140" s="139"/>
      <c r="AC140" s="139"/>
      <c r="AD140" s="139"/>
      <c r="AE140" s="139"/>
    </row>
    <row r="141" spans="1:31" s="209" customFormat="1" ht="11.25" customHeight="1">
      <c r="A141" s="591"/>
      <c r="B141" s="65"/>
      <c r="C141" s="65"/>
      <c r="K141" s="60"/>
      <c r="L141" s="65"/>
      <c r="M141" s="65"/>
      <c r="N141" s="60"/>
      <c r="O141" s="60"/>
      <c r="P141" s="60"/>
      <c r="Q141" s="60"/>
      <c r="R141" s="65"/>
      <c r="S141" s="60"/>
      <c r="T141" s="60"/>
      <c r="U141" s="320"/>
      <c r="V141" s="60"/>
      <c r="W141" s="60"/>
      <c r="X141" s="60"/>
      <c r="Y141" s="60"/>
      <c r="Z141" s="60"/>
      <c r="AA141" s="6"/>
      <c r="AB141" s="139"/>
      <c r="AC141" s="139"/>
      <c r="AD141" s="139"/>
      <c r="AE141" s="139"/>
    </row>
    <row r="142" spans="1:31" s="209" customFormat="1" ht="11.25" customHeight="1">
      <c r="A142" s="591"/>
      <c r="B142" s="65"/>
      <c r="C142" s="65"/>
      <c r="K142" s="60"/>
      <c r="L142" s="65"/>
      <c r="M142" s="65"/>
      <c r="N142" s="60"/>
      <c r="O142" s="60"/>
      <c r="P142" s="60"/>
      <c r="Q142" s="60"/>
      <c r="R142" s="65"/>
      <c r="S142" s="60"/>
      <c r="T142" s="60"/>
      <c r="U142" s="320"/>
      <c r="V142" s="60"/>
      <c r="W142" s="60"/>
      <c r="X142" s="60"/>
      <c r="Y142" s="60"/>
      <c r="Z142" s="60"/>
      <c r="AA142" s="6"/>
      <c r="AB142" s="139"/>
      <c r="AC142" s="139"/>
      <c r="AD142" s="139"/>
      <c r="AE142" s="139"/>
    </row>
    <row r="143" spans="1:31" s="209" customFormat="1" ht="11.25" customHeight="1">
      <c r="A143" s="591"/>
      <c r="B143" s="65"/>
      <c r="C143" s="65"/>
      <c r="K143" s="60"/>
      <c r="L143" s="65"/>
      <c r="M143" s="65"/>
      <c r="N143" s="60"/>
      <c r="O143" s="60"/>
      <c r="P143" s="60"/>
      <c r="Q143" s="60"/>
      <c r="R143" s="65"/>
      <c r="S143" s="60"/>
      <c r="T143" s="60"/>
      <c r="U143" s="320"/>
      <c r="V143" s="60"/>
      <c r="W143" s="60"/>
      <c r="X143" s="60"/>
      <c r="Y143" s="60"/>
      <c r="Z143" s="60"/>
      <c r="AA143" s="6"/>
      <c r="AB143" s="139"/>
      <c r="AC143" s="139"/>
      <c r="AD143" s="139"/>
      <c r="AE143" s="139"/>
    </row>
    <row r="144" spans="1:31" s="209" customFormat="1" ht="11.25" customHeight="1">
      <c r="A144" s="591"/>
      <c r="B144" s="65"/>
      <c r="C144" s="65"/>
      <c r="K144" s="60"/>
      <c r="L144" s="65"/>
      <c r="M144" s="65"/>
      <c r="N144" s="60"/>
      <c r="O144" s="60"/>
      <c r="P144" s="60"/>
      <c r="Q144" s="60"/>
      <c r="R144" s="65"/>
      <c r="S144" s="60"/>
      <c r="T144" s="60"/>
      <c r="U144" s="320"/>
      <c r="V144" s="60"/>
      <c r="W144" s="60"/>
      <c r="X144" s="60"/>
      <c r="Y144" s="60"/>
      <c r="Z144" s="60"/>
      <c r="AA144" s="6"/>
      <c r="AB144" s="139"/>
      <c r="AC144" s="139"/>
      <c r="AD144" s="139"/>
      <c r="AE144" s="139"/>
    </row>
    <row r="145" spans="1:31" s="209" customFormat="1" ht="11.25" customHeight="1">
      <c r="A145" s="591"/>
      <c r="B145" s="65"/>
      <c r="C145" s="65"/>
      <c r="K145" s="60"/>
      <c r="L145" s="65"/>
      <c r="M145" s="65"/>
      <c r="N145" s="60"/>
      <c r="O145" s="60"/>
      <c r="P145" s="60"/>
      <c r="Q145" s="60"/>
      <c r="R145" s="65"/>
      <c r="S145" s="60"/>
      <c r="T145" s="60"/>
      <c r="U145" s="320"/>
      <c r="V145" s="60"/>
      <c r="W145" s="60"/>
      <c r="X145" s="60"/>
      <c r="Y145" s="60"/>
      <c r="Z145" s="60"/>
      <c r="AA145" s="6"/>
      <c r="AB145" s="139"/>
      <c r="AC145" s="139"/>
      <c r="AD145" s="139"/>
      <c r="AE145" s="139"/>
    </row>
    <row r="146" spans="1:31" s="209" customFormat="1" ht="11.25" customHeight="1">
      <c r="A146" s="591"/>
      <c r="B146" s="65"/>
      <c r="C146" s="65"/>
      <c r="K146" s="60"/>
      <c r="L146" s="65"/>
      <c r="M146" s="65"/>
      <c r="N146" s="60"/>
      <c r="O146" s="60"/>
      <c r="P146" s="60"/>
      <c r="Q146" s="60"/>
      <c r="R146" s="65"/>
      <c r="S146" s="60"/>
      <c r="T146" s="60"/>
      <c r="U146" s="320"/>
      <c r="V146" s="60"/>
      <c r="W146" s="60"/>
      <c r="X146" s="60"/>
      <c r="Y146" s="60"/>
      <c r="Z146" s="60"/>
      <c r="AA146" s="6"/>
      <c r="AB146" s="139"/>
      <c r="AC146" s="139"/>
      <c r="AD146" s="139"/>
      <c r="AE146" s="139"/>
    </row>
    <row r="147" spans="1:31" s="209" customFormat="1" ht="11.25" customHeight="1">
      <c r="A147" s="591"/>
      <c r="B147" s="65"/>
      <c r="C147" s="65"/>
      <c r="K147" s="60"/>
      <c r="L147" s="65"/>
      <c r="M147" s="65"/>
      <c r="N147" s="60"/>
      <c r="O147" s="60"/>
      <c r="P147" s="60"/>
      <c r="Q147" s="60"/>
      <c r="R147" s="65"/>
      <c r="S147" s="60"/>
      <c r="T147" s="60"/>
      <c r="U147" s="320"/>
      <c r="V147" s="60"/>
      <c r="W147" s="60"/>
      <c r="X147" s="60"/>
      <c r="Y147" s="60"/>
      <c r="Z147" s="60"/>
      <c r="AA147" s="6"/>
      <c r="AB147" s="139"/>
      <c r="AC147" s="139"/>
      <c r="AD147" s="139"/>
      <c r="AE147" s="139"/>
    </row>
    <row r="148" spans="1:31" s="209" customFormat="1" ht="11.25" customHeight="1">
      <c r="A148" s="591"/>
      <c r="B148" s="65"/>
      <c r="C148" s="65"/>
      <c r="K148" s="60"/>
      <c r="L148" s="65"/>
      <c r="M148" s="65"/>
      <c r="N148" s="60"/>
      <c r="O148" s="60"/>
      <c r="P148" s="60"/>
      <c r="Q148" s="60"/>
      <c r="R148" s="65"/>
      <c r="S148" s="60"/>
      <c r="T148" s="60"/>
      <c r="U148" s="320"/>
      <c r="V148" s="60"/>
      <c r="W148" s="60"/>
      <c r="X148" s="60"/>
      <c r="Y148" s="60"/>
      <c r="Z148" s="60"/>
      <c r="AA148" s="6"/>
      <c r="AB148" s="139"/>
      <c r="AC148" s="139"/>
      <c r="AD148" s="139"/>
      <c r="AE148" s="139"/>
    </row>
    <row r="149" spans="1:31" s="209" customFormat="1" ht="11.25" customHeight="1">
      <c r="A149" s="591"/>
      <c r="B149" s="65"/>
      <c r="C149" s="65"/>
      <c r="K149" s="60"/>
      <c r="L149" s="65"/>
      <c r="M149" s="65"/>
      <c r="N149" s="60"/>
      <c r="O149" s="60"/>
      <c r="P149" s="60"/>
      <c r="Q149" s="60"/>
      <c r="R149" s="65"/>
      <c r="S149" s="60"/>
      <c r="T149" s="60"/>
      <c r="U149" s="320"/>
      <c r="V149" s="60"/>
      <c r="W149" s="60"/>
      <c r="X149" s="60"/>
      <c r="Y149" s="60"/>
      <c r="Z149" s="60"/>
      <c r="AA149" s="6"/>
      <c r="AB149" s="139"/>
      <c r="AC149" s="139"/>
      <c r="AD149" s="139"/>
      <c r="AE149" s="139"/>
    </row>
    <row r="150" spans="1:31" s="209" customFormat="1" ht="11.25" customHeight="1">
      <c r="A150" s="591"/>
      <c r="B150" s="65"/>
      <c r="C150" s="65"/>
      <c r="K150" s="60"/>
      <c r="L150" s="65"/>
      <c r="M150" s="65"/>
      <c r="N150" s="60"/>
      <c r="O150" s="60"/>
      <c r="P150" s="60"/>
      <c r="Q150" s="60"/>
      <c r="R150" s="65"/>
      <c r="S150" s="60"/>
      <c r="T150" s="60"/>
      <c r="U150" s="320"/>
      <c r="V150" s="60"/>
      <c r="W150" s="60"/>
      <c r="X150" s="60"/>
      <c r="Y150" s="60"/>
      <c r="Z150" s="60"/>
      <c r="AA150" s="6"/>
      <c r="AB150" s="139"/>
      <c r="AC150" s="139"/>
      <c r="AD150" s="139"/>
      <c r="AE150" s="139"/>
    </row>
    <row r="151" spans="1:31" s="209" customFormat="1" ht="11.25" customHeight="1">
      <c r="A151" s="591"/>
      <c r="B151" s="65"/>
      <c r="C151" s="65"/>
      <c r="K151" s="60"/>
      <c r="L151" s="65"/>
      <c r="M151" s="65"/>
      <c r="N151" s="60"/>
      <c r="O151" s="60"/>
      <c r="P151" s="60"/>
      <c r="Q151" s="60"/>
      <c r="R151" s="65"/>
      <c r="S151" s="60"/>
      <c r="T151" s="60"/>
      <c r="U151" s="320"/>
      <c r="V151" s="60"/>
      <c r="W151" s="60"/>
      <c r="X151" s="60"/>
      <c r="Y151" s="60"/>
      <c r="Z151" s="60"/>
      <c r="AA151" s="6"/>
      <c r="AB151" s="139"/>
      <c r="AC151" s="139"/>
      <c r="AD151" s="139"/>
      <c r="AE151" s="139"/>
    </row>
    <row r="152" spans="1:31" s="209" customFormat="1" ht="11.25" customHeight="1">
      <c r="A152" s="591"/>
      <c r="B152" s="65"/>
      <c r="C152" s="65"/>
      <c r="K152" s="60"/>
      <c r="L152" s="65"/>
      <c r="M152" s="65"/>
      <c r="N152" s="60"/>
      <c r="O152" s="60"/>
      <c r="P152" s="60"/>
      <c r="Q152" s="60"/>
      <c r="R152" s="65"/>
      <c r="S152" s="60"/>
      <c r="T152" s="60"/>
      <c r="U152" s="320"/>
      <c r="V152" s="60"/>
      <c r="W152" s="60"/>
      <c r="X152" s="60"/>
      <c r="Y152" s="60"/>
      <c r="Z152" s="60"/>
      <c r="AA152" s="6"/>
      <c r="AB152" s="139"/>
      <c r="AC152" s="139"/>
      <c r="AD152" s="139"/>
      <c r="AE152" s="139"/>
    </row>
    <row r="153" spans="1:31" s="209" customFormat="1" ht="11.25" customHeight="1">
      <c r="A153" s="591"/>
      <c r="B153" s="65"/>
      <c r="C153" s="65"/>
      <c r="K153" s="60"/>
      <c r="L153" s="65"/>
      <c r="M153" s="65"/>
      <c r="N153" s="60"/>
      <c r="O153" s="60"/>
      <c r="P153" s="60"/>
      <c r="Q153" s="60"/>
      <c r="R153" s="65"/>
      <c r="S153" s="60"/>
      <c r="T153" s="60"/>
      <c r="U153" s="320"/>
      <c r="V153" s="60"/>
      <c r="W153" s="60"/>
      <c r="X153" s="60"/>
      <c r="Y153" s="60"/>
      <c r="Z153" s="60"/>
      <c r="AA153" s="6"/>
      <c r="AB153" s="139"/>
      <c r="AC153" s="139"/>
      <c r="AD153" s="139"/>
      <c r="AE153" s="139"/>
    </row>
    <row r="154" spans="1:31" s="209" customFormat="1" ht="11.25" customHeight="1">
      <c r="A154" s="591"/>
      <c r="B154" s="65"/>
      <c r="C154" s="65"/>
      <c r="K154" s="60"/>
      <c r="L154" s="65"/>
      <c r="M154" s="65"/>
      <c r="N154" s="60"/>
      <c r="O154" s="60"/>
      <c r="P154" s="60"/>
      <c r="Q154" s="60"/>
      <c r="R154" s="65"/>
      <c r="S154" s="60"/>
      <c r="T154" s="60"/>
      <c r="U154" s="320"/>
      <c r="V154" s="60"/>
      <c r="W154" s="60"/>
      <c r="X154" s="60"/>
      <c r="Y154" s="60"/>
      <c r="Z154" s="60"/>
      <c r="AA154" s="6"/>
      <c r="AB154" s="139"/>
      <c r="AC154" s="139"/>
      <c r="AD154" s="139"/>
      <c r="AE154" s="139"/>
    </row>
    <row r="155" spans="1:31" s="209" customFormat="1" ht="11.25" customHeight="1">
      <c r="A155" s="591"/>
      <c r="B155" s="65"/>
      <c r="C155" s="65"/>
      <c r="K155" s="60"/>
      <c r="L155" s="65"/>
      <c r="M155" s="65"/>
      <c r="N155" s="60"/>
      <c r="O155" s="60"/>
      <c r="P155" s="60"/>
      <c r="Q155" s="60"/>
      <c r="R155" s="65"/>
      <c r="S155" s="60"/>
      <c r="T155" s="60"/>
      <c r="U155" s="320"/>
      <c r="V155" s="60"/>
      <c r="W155" s="60"/>
      <c r="X155" s="60"/>
      <c r="Y155" s="60"/>
      <c r="Z155" s="60"/>
      <c r="AA155" s="6"/>
      <c r="AB155" s="139"/>
      <c r="AC155" s="139"/>
      <c r="AD155" s="139"/>
      <c r="AE155" s="139"/>
    </row>
    <row r="156" spans="1:31" s="209" customFormat="1" ht="11.25" customHeight="1">
      <c r="A156" s="591"/>
      <c r="B156" s="65"/>
      <c r="C156" s="65"/>
      <c r="K156" s="60"/>
      <c r="L156" s="65"/>
      <c r="M156" s="65"/>
      <c r="N156" s="60"/>
      <c r="O156" s="60"/>
      <c r="P156" s="60"/>
      <c r="Q156" s="60"/>
      <c r="R156" s="65"/>
      <c r="S156" s="60"/>
      <c r="T156" s="60"/>
      <c r="U156" s="320"/>
      <c r="V156" s="60"/>
      <c r="W156" s="60"/>
      <c r="X156" s="60"/>
      <c r="Y156" s="60"/>
      <c r="Z156" s="60"/>
      <c r="AA156" s="6"/>
      <c r="AB156" s="139"/>
      <c r="AC156" s="139"/>
      <c r="AD156" s="139"/>
      <c r="AE156" s="139"/>
    </row>
    <row r="157" spans="1:31" s="209" customFormat="1" ht="11.25" customHeight="1">
      <c r="A157" s="591"/>
      <c r="B157" s="65"/>
      <c r="C157" s="65"/>
      <c r="K157" s="60"/>
      <c r="L157" s="65"/>
      <c r="M157" s="65"/>
      <c r="N157" s="60"/>
      <c r="O157" s="60"/>
      <c r="P157" s="60"/>
      <c r="Q157" s="60"/>
      <c r="R157" s="65"/>
      <c r="S157" s="60"/>
      <c r="T157" s="60"/>
      <c r="U157" s="320"/>
      <c r="V157" s="60"/>
      <c r="W157" s="60"/>
      <c r="X157" s="60"/>
      <c r="Y157" s="60"/>
      <c r="Z157" s="60"/>
      <c r="AA157" s="6"/>
      <c r="AB157" s="139"/>
      <c r="AC157" s="139"/>
      <c r="AD157" s="139"/>
      <c r="AE157" s="139"/>
    </row>
    <row r="158" spans="1:31" s="209" customFormat="1" ht="11.25" customHeight="1">
      <c r="A158" s="591"/>
      <c r="B158" s="65"/>
      <c r="C158" s="65"/>
      <c r="K158" s="60"/>
      <c r="L158" s="65"/>
      <c r="M158" s="65"/>
      <c r="N158" s="60"/>
      <c r="O158" s="60"/>
      <c r="P158" s="60"/>
      <c r="Q158" s="60"/>
      <c r="R158" s="65"/>
      <c r="S158" s="60"/>
      <c r="T158" s="60"/>
      <c r="U158" s="320"/>
      <c r="V158" s="60"/>
      <c r="W158" s="60"/>
      <c r="X158" s="60"/>
      <c r="Y158" s="60"/>
      <c r="Z158" s="60"/>
      <c r="AA158" s="6"/>
      <c r="AB158" s="139"/>
      <c r="AC158" s="139"/>
      <c r="AD158" s="139"/>
      <c r="AE158" s="139"/>
    </row>
    <row r="159" spans="1:31" s="209" customFormat="1" ht="11.25" customHeight="1">
      <c r="A159" s="591"/>
      <c r="B159" s="65"/>
      <c r="C159" s="65"/>
      <c r="K159" s="60"/>
      <c r="L159" s="65"/>
      <c r="M159" s="65"/>
      <c r="N159" s="60"/>
      <c r="O159" s="60"/>
      <c r="P159" s="60"/>
      <c r="Q159" s="60"/>
      <c r="R159" s="65"/>
      <c r="S159" s="60"/>
      <c r="T159" s="60"/>
      <c r="U159" s="320"/>
      <c r="V159" s="60"/>
      <c r="W159" s="60"/>
      <c r="X159" s="60"/>
      <c r="Y159" s="60"/>
      <c r="Z159" s="60"/>
      <c r="AA159" s="6"/>
      <c r="AB159" s="139"/>
      <c r="AC159" s="139"/>
      <c r="AD159" s="139"/>
      <c r="AE159" s="139"/>
    </row>
    <row r="160" spans="1:31" s="209" customFormat="1" ht="11.25" customHeight="1">
      <c r="A160" s="591"/>
      <c r="B160" s="65"/>
      <c r="C160" s="65"/>
      <c r="K160" s="60"/>
      <c r="L160" s="65"/>
      <c r="M160" s="65"/>
      <c r="N160" s="60"/>
      <c r="O160" s="60"/>
      <c r="P160" s="60"/>
      <c r="Q160" s="60"/>
      <c r="R160" s="65"/>
      <c r="S160" s="60"/>
      <c r="T160" s="60"/>
      <c r="U160" s="320"/>
      <c r="V160" s="60"/>
      <c r="W160" s="60"/>
      <c r="X160" s="60"/>
      <c r="Y160" s="60"/>
      <c r="Z160" s="60"/>
      <c r="AA160" s="6"/>
      <c r="AB160" s="139"/>
      <c r="AC160" s="139"/>
      <c r="AD160" s="139"/>
      <c r="AE160" s="139"/>
    </row>
    <row r="161" spans="1:31" s="209" customFormat="1" ht="11.25" customHeight="1">
      <c r="A161" s="591"/>
      <c r="B161" s="65"/>
      <c r="C161" s="65"/>
      <c r="K161" s="60"/>
      <c r="L161" s="65"/>
      <c r="M161" s="65"/>
      <c r="N161" s="60"/>
      <c r="O161" s="60"/>
      <c r="P161" s="60"/>
      <c r="Q161" s="60"/>
      <c r="R161" s="65"/>
      <c r="S161" s="60"/>
      <c r="T161" s="60"/>
      <c r="U161" s="320"/>
      <c r="V161" s="60"/>
      <c r="W161" s="60"/>
      <c r="X161" s="60"/>
      <c r="Y161" s="60"/>
      <c r="Z161" s="60"/>
      <c r="AA161" s="6"/>
      <c r="AB161" s="139"/>
      <c r="AC161" s="139"/>
      <c r="AD161" s="139"/>
      <c r="AE161" s="139"/>
    </row>
    <row r="162" spans="1:31" s="209" customFormat="1" ht="11.25" customHeight="1">
      <c r="A162" s="591"/>
      <c r="B162" s="65"/>
      <c r="C162" s="65"/>
      <c r="K162" s="60"/>
      <c r="L162" s="65"/>
      <c r="M162" s="65"/>
      <c r="N162" s="60"/>
      <c r="O162" s="60"/>
      <c r="P162" s="60"/>
      <c r="Q162" s="60"/>
      <c r="R162" s="65"/>
      <c r="S162" s="60"/>
      <c r="T162" s="60"/>
      <c r="U162" s="320"/>
      <c r="V162" s="60"/>
      <c r="W162" s="60"/>
      <c r="X162" s="60"/>
      <c r="Y162" s="60"/>
      <c r="Z162" s="60"/>
      <c r="AA162" s="6"/>
      <c r="AB162" s="139"/>
      <c r="AC162" s="139"/>
      <c r="AD162" s="139"/>
      <c r="AE162" s="139"/>
    </row>
    <row r="163" spans="1:31" s="209" customFormat="1" ht="11.25" customHeight="1">
      <c r="A163" s="591"/>
      <c r="B163" s="65"/>
      <c r="C163" s="65"/>
      <c r="K163" s="60"/>
      <c r="L163" s="65"/>
      <c r="M163" s="65"/>
      <c r="N163" s="60"/>
      <c r="O163" s="60"/>
      <c r="P163" s="60"/>
      <c r="Q163" s="60"/>
      <c r="R163" s="65"/>
      <c r="S163" s="60"/>
      <c r="T163" s="60"/>
      <c r="U163" s="320"/>
      <c r="V163" s="60"/>
      <c r="W163" s="60"/>
      <c r="X163" s="60"/>
      <c r="Y163" s="60"/>
      <c r="Z163" s="60"/>
      <c r="AA163" s="6"/>
      <c r="AB163" s="139"/>
      <c r="AC163" s="139"/>
      <c r="AD163" s="139"/>
      <c r="AE163" s="139"/>
    </row>
    <row r="164" spans="1:31" s="209" customFormat="1" ht="11.25" customHeight="1">
      <c r="A164" s="591"/>
      <c r="B164" s="65"/>
      <c r="C164" s="65"/>
      <c r="K164" s="60"/>
      <c r="L164" s="65"/>
      <c r="M164" s="65"/>
      <c r="N164" s="60"/>
      <c r="O164" s="60"/>
      <c r="P164" s="60"/>
      <c r="Q164" s="60"/>
      <c r="R164" s="65"/>
      <c r="S164" s="60"/>
      <c r="T164" s="60"/>
      <c r="U164" s="320"/>
      <c r="V164" s="60"/>
      <c r="W164" s="60"/>
      <c r="X164" s="60"/>
      <c r="Y164" s="60"/>
      <c r="Z164" s="60"/>
      <c r="AA164" s="6"/>
      <c r="AB164" s="139"/>
      <c r="AC164" s="139"/>
      <c r="AD164" s="139"/>
      <c r="AE164" s="139"/>
    </row>
    <row r="165" spans="1:31" s="209" customFormat="1" ht="11.25" customHeight="1">
      <c r="A165" s="591"/>
      <c r="B165" s="65"/>
      <c r="C165" s="65"/>
      <c r="K165" s="60"/>
      <c r="L165" s="65"/>
      <c r="M165" s="65"/>
      <c r="N165" s="60"/>
      <c r="O165" s="60"/>
      <c r="P165" s="60"/>
      <c r="Q165" s="60"/>
      <c r="R165" s="65"/>
      <c r="S165" s="60"/>
      <c r="T165" s="60"/>
      <c r="U165" s="320"/>
      <c r="V165" s="60"/>
      <c r="W165" s="60"/>
      <c r="X165" s="60"/>
      <c r="Y165" s="60"/>
      <c r="Z165" s="60"/>
      <c r="AA165" s="6"/>
      <c r="AB165" s="139"/>
      <c r="AC165" s="139"/>
      <c r="AD165" s="139"/>
      <c r="AE165" s="139"/>
    </row>
    <row r="166" spans="1:31" s="209" customFormat="1" ht="11.25" customHeight="1">
      <c r="A166" s="591"/>
      <c r="B166" s="65"/>
      <c r="C166" s="65"/>
      <c r="K166" s="60"/>
      <c r="L166" s="65"/>
      <c r="M166" s="65"/>
      <c r="N166" s="60"/>
      <c r="O166" s="60"/>
      <c r="P166" s="60"/>
      <c r="Q166" s="60"/>
      <c r="R166" s="65"/>
      <c r="S166" s="60"/>
      <c r="T166" s="60"/>
      <c r="U166" s="320"/>
      <c r="V166" s="60"/>
      <c r="W166" s="60"/>
      <c r="X166" s="60"/>
      <c r="Y166" s="60"/>
      <c r="Z166" s="60"/>
      <c r="AA166" s="6"/>
      <c r="AB166" s="139"/>
      <c r="AC166" s="139"/>
      <c r="AD166" s="139"/>
      <c r="AE166" s="139"/>
    </row>
    <row r="167" spans="1:31" s="209" customFormat="1" ht="11.25" customHeight="1">
      <c r="A167" s="591"/>
      <c r="B167" s="65"/>
      <c r="C167" s="65"/>
      <c r="K167" s="60"/>
      <c r="L167" s="65"/>
      <c r="M167" s="65"/>
      <c r="N167" s="60"/>
      <c r="O167" s="60"/>
      <c r="P167" s="60"/>
      <c r="Q167" s="60"/>
      <c r="R167" s="65"/>
      <c r="S167" s="60"/>
      <c r="T167" s="60"/>
      <c r="U167" s="320"/>
      <c r="V167" s="60"/>
      <c r="W167" s="60"/>
      <c r="X167" s="60"/>
      <c r="Y167" s="60"/>
      <c r="Z167" s="60"/>
      <c r="AA167" s="6"/>
      <c r="AB167" s="139"/>
      <c r="AC167" s="139"/>
      <c r="AD167" s="139"/>
      <c r="AE167" s="139"/>
    </row>
    <row r="168" spans="1:31" s="209" customFormat="1" ht="11.25" customHeight="1">
      <c r="A168" s="591"/>
      <c r="B168" s="65"/>
      <c r="C168" s="65"/>
      <c r="K168" s="60"/>
      <c r="L168" s="65"/>
      <c r="M168" s="65"/>
      <c r="N168" s="60"/>
      <c r="O168" s="60"/>
      <c r="P168" s="60"/>
      <c r="Q168" s="60"/>
      <c r="R168" s="65"/>
      <c r="S168" s="60"/>
      <c r="T168" s="60"/>
      <c r="U168" s="320"/>
      <c r="V168" s="60"/>
      <c r="W168" s="60"/>
      <c r="X168" s="60"/>
      <c r="Y168" s="60"/>
      <c r="Z168" s="60"/>
      <c r="AA168" s="6"/>
      <c r="AB168" s="139"/>
      <c r="AC168" s="139"/>
      <c r="AD168" s="139"/>
      <c r="AE168" s="139"/>
    </row>
    <row r="169" spans="1:31" s="209" customFormat="1" ht="11.25" customHeight="1">
      <c r="A169" s="591"/>
      <c r="B169" s="65"/>
      <c r="C169" s="65"/>
      <c r="K169" s="60"/>
      <c r="L169" s="65"/>
      <c r="M169" s="65"/>
      <c r="N169" s="60"/>
      <c r="O169" s="60"/>
      <c r="P169" s="60"/>
      <c r="Q169" s="60"/>
      <c r="R169" s="65"/>
      <c r="S169" s="60"/>
      <c r="T169" s="60"/>
      <c r="U169" s="320"/>
      <c r="V169" s="60"/>
      <c r="W169" s="60"/>
      <c r="X169" s="60"/>
      <c r="Y169" s="60"/>
      <c r="Z169" s="60"/>
      <c r="AA169" s="6"/>
      <c r="AB169" s="139"/>
      <c r="AC169" s="139"/>
      <c r="AD169" s="139"/>
      <c r="AE169" s="139"/>
    </row>
    <row r="170" spans="1:31" s="209" customFormat="1" ht="11.25" customHeight="1">
      <c r="A170" s="591"/>
      <c r="B170" s="65"/>
      <c r="C170" s="65"/>
      <c r="K170" s="60"/>
      <c r="L170" s="65"/>
      <c r="M170" s="65"/>
      <c r="N170" s="60"/>
      <c r="O170" s="60"/>
      <c r="P170" s="60"/>
      <c r="Q170" s="60"/>
      <c r="R170" s="65"/>
      <c r="S170" s="60"/>
      <c r="T170" s="60"/>
      <c r="U170" s="320"/>
      <c r="V170" s="60"/>
      <c r="W170" s="60"/>
      <c r="X170" s="60"/>
      <c r="Y170" s="60"/>
      <c r="Z170" s="60"/>
      <c r="AA170" s="6"/>
      <c r="AB170" s="139"/>
      <c r="AC170" s="139"/>
      <c r="AD170" s="139"/>
      <c r="AE170" s="139"/>
    </row>
    <row r="171" spans="1:31" s="209" customFormat="1" ht="11.25" customHeight="1">
      <c r="A171" s="591"/>
      <c r="B171" s="65"/>
      <c r="C171" s="65"/>
      <c r="K171" s="60"/>
      <c r="L171" s="65"/>
      <c r="M171" s="65"/>
      <c r="N171" s="60"/>
      <c r="O171" s="60"/>
      <c r="P171" s="60"/>
      <c r="Q171" s="60"/>
      <c r="R171" s="65"/>
      <c r="S171" s="60"/>
      <c r="T171" s="60"/>
      <c r="U171" s="320"/>
      <c r="V171" s="60"/>
      <c r="W171" s="60"/>
      <c r="X171" s="60"/>
      <c r="Y171" s="60"/>
      <c r="Z171" s="60"/>
      <c r="AA171" s="6"/>
      <c r="AB171" s="139"/>
      <c r="AC171" s="139"/>
      <c r="AD171" s="139"/>
      <c r="AE171" s="139"/>
    </row>
    <row r="172" spans="1:31" s="209" customFormat="1" ht="11.25" customHeight="1">
      <c r="A172" s="591"/>
      <c r="B172" s="65"/>
      <c r="C172" s="65"/>
      <c r="K172" s="60"/>
      <c r="L172" s="65"/>
      <c r="M172" s="65"/>
      <c r="N172" s="60"/>
      <c r="O172" s="60"/>
      <c r="P172" s="60"/>
      <c r="Q172" s="60"/>
      <c r="R172" s="65"/>
      <c r="S172" s="60"/>
      <c r="T172" s="60"/>
      <c r="U172" s="320"/>
      <c r="V172" s="60"/>
      <c r="W172" s="60"/>
      <c r="X172" s="60"/>
      <c r="Y172" s="60"/>
      <c r="Z172" s="60"/>
      <c r="AA172" s="6"/>
      <c r="AB172" s="139"/>
      <c r="AC172" s="139"/>
      <c r="AD172" s="139"/>
      <c r="AE172" s="139"/>
    </row>
    <row r="173" spans="1:31" s="209" customFormat="1" ht="11.25" customHeight="1">
      <c r="A173" s="591"/>
      <c r="B173" s="65"/>
      <c r="C173" s="65"/>
      <c r="K173" s="60"/>
      <c r="L173" s="65"/>
      <c r="M173" s="65"/>
      <c r="N173" s="60"/>
      <c r="O173" s="60"/>
      <c r="P173" s="60"/>
      <c r="Q173" s="60"/>
      <c r="R173" s="65"/>
      <c r="S173" s="60"/>
      <c r="T173" s="60"/>
      <c r="U173" s="320"/>
      <c r="V173" s="60"/>
      <c r="W173" s="60"/>
      <c r="X173" s="60"/>
      <c r="Y173" s="60"/>
      <c r="Z173" s="60"/>
      <c r="AA173" s="6"/>
      <c r="AB173" s="139"/>
      <c r="AC173" s="139"/>
      <c r="AD173" s="139"/>
      <c r="AE173" s="139"/>
    </row>
    <row r="174" spans="1:31" s="209" customFormat="1" ht="11.25" customHeight="1">
      <c r="A174" s="591"/>
      <c r="B174" s="65"/>
      <c r="C174" s="65"/>
      <c r="K174" s="60"/>
      <c r="L174" s="65"/>
      <c r="M174" s="65"/>
      <c r="N174" s="60"/>
      <c r="O174" s="60"/>
      <c r="P174" s="60"/>
      <c r="Q174" s="60"/>
      <c r="R174" s="65"/>
      <c r="S174" s="60"/>
      <c r="T174" s="60"/>
      <c r="U174" s="320"/>
      <c r="V174" s="60"/>
      <c r="W174" s="60"/>
      <c r="X174" s="60"/>
      <c r="Y174" s="60"/>
      <c r="Z174" s="60"/>
      <c r="AA174" s="6"/>
      <c r="AB174" s="139"/>
      <c r="AC174" s="139"/>
      <c r="AD174" s="139"/>
      <c r="AE174" s="139"/>
    </row>
    <row r="175" spans="1:31" s="209" customFormat="1" ht="11.25" customHeight="1">
      <c r="A175" s="591"/>
      <c r="B175" s="65"/>
      <c r="C175" s="65"/>
      <c r="K175" s="60"/>
      <c r="L175" s="65"/>
      <c r="M175" s="65"/>
      <c r="N175" s="60"/>
      <c r="O175" s="60"/>
      <c r="P175" s="60"/>
      <c r="Q175" s="60"/>
      <c r="R175" s="65"/>
      <c r="S175" s="60"/>
      <c r="T175" s="60"/>
      <c r="U175" s="320"/>
      <c r="V175" s="60"/>
      <c r="W175" s="60"/>
      <c r="X175" s="60"/>
      <c r="Y175" s="60"/>
      <c r="Z175" s="60"/>
      <c r="AA175" s="6"/>
      <c r="AB175" s="139"/>
      <c r="AC175" s="139"/>
      <c r="AD175" s="139"/>
      <c r="AE175" s="139"/>
    </row>
    <row r="176" spans="1:31" s="209" customFormat="1" ht="11.25" customHeight="1">
      <c r="A176" s="591"/>
      <c r="B176" s="65"/>
      <c r="C176" s="65"/>
      <c r="K176" s="60"/>
      <c r="L176" s="65"/>
      <c r="M176" s="65"/>
      <c r="N176" s="60"/>
      <c r="O176" s="60"/>
      <c r="P176" s="60"/>
      <c r="Q176" s="60"/>
      <c r="R176" s="65"/>
      <c r="S176" s="60"/>
      <c r="T176" s="60"/>
      <c r="U176" s="320"/>
      <c r="V176" s="60"/>
      <c r="W176" s="60"/>
      <c r="X176" s="60"/>
      <c r="Y176" s="60"/>
      <c r="Z176" s="60"/>
      <c r="AA176" s="6"/>
      <c r="AB176" s="139"/>
      <c r="AC176" s="139"/>
      <c r="AD176" s="139"/>
      <c r="AE176" s="139"/>
    </row>
    <row r="177" spans="1:31" s="209" customFormat="1" ht="11.25" customHeight="1">
      <c r="A177" s="591"/>
      <c r="B177" s="65"/>
      <c r="C177" s="65"/>
      <c r="K177" s="60"/>
      <c r="L177" s="65"/>
      <c r="M177" s="65"/>
      <c r="N177" s="60"/>
      <c r="O177" s="60"/>
      <c r="P177" s="60"/>
      <c r="Q177" s="60"/>
      <c r="R177" s="65"/>
      <c r="S177" s="60"/>
      <c r="T177" s="60"/>
      <c r="U177" s="320"/>
      <c r="V177" s="60"/>
      <c r="W177" s="60"/>
      <c r="X177" s="60"/>
      <c r="Y177" s="60"/>
      <c r="Z177" s="60"/>
      <c r="AA177" s="6"/>
      <c r="AB177" s="139"/>
      <c r="AC177" s="139"/>
      <c r="AD177" s="139"/>
      <c r="AE177" s="139"/>
    </row>
    <row r="178" spans="1:31" s="209" customFormat="1" ht="11.25" customHeight="1">
      <c r="A178" s="591"/>
      <c r="B178" s="65"/>
      <c r="C178" s="65"/>
      <c r="K178" s="60"/>
      <c r="L178" s="65"/>
      <c r="M178" s="65"/>
      <c r="N178" s="60"/>
      <c r="O178" s="60"/>
      <c r="P178" s="60"/>
      <c r="Q178" s="60"/>
      <c r="R178" s="65"/>
      <c r="S178" s="60"/>
      <c r="T178" s="60"/>
      <c r="U178" s="320"/>
      <c r="V178" s="60"/>
      <c r="W178" s="60"/>
      <c r="X178" s="60"/>
      <c r="Y178" s="60"/>
      <c r="Z178" s="60"/>
      <c r="AA178" s="6"/>
      <c r="AB178" s="139"/>
      <c r="AC178" s="139"/>
      <c r="AD178" s="139"/>
      <c r="AE178" s="139"/>
    </row>
    <row r="179" spans="1:31" s="209" customFormat="1" ht="11.25" customHeight="1">
      <c r="A179" s="591"/>
      <c r="B179" s="65"/>
      <c r="C179" s="65"/>
      <c r="K179" s="60"/>
      <c r="L179" s="65"/>
      <c r="M179" s="65"/>
      <c r="N179" s="60"/>
      <c r="O179" s="60"/>
      <c r="P179" s="60"/>
      <c r="Q179" s="60"/>
      <c r="R179" s="65"/>
      <c r="S179" s="60"/>
      <c r="T179" s="60"/>
      <c r="U179" s="320"/>
      <c r="V179" s="60"/>
      <c r="W179" s="60"/>
      <c r="X179" s="60"/>
      <c r="Y179" s="60"/>
      <c r="Z179" s="60"/>
      <c r="AA179" s="6"/>
      <c r="AB179" s="139"/>
      <c r="AC179" s="139"/>
      <c r="AD179" s="139"/>
      <c r="AE179" s="139"/>
    </row>
    <row r="180" spans="1:31" s="209" customFormat="1" ht="11.25" customHeight="1">
      <c r="A180" s="591"/>
      <c r="B180" s="65"/>
      <c r="C180" s="65"/>
      <c r="K180" s="60"/>
      <c r="L180" s="65"/>
      <c r="M180" s="65"/>
      <c r="N180" s="60"/>
      <c r="O180" s="60"/>
      <c r="P180" s="60"/>
      <c r="Q180" s="60"/>
      <c r="R180" s="65"/>
      <c r="S180" s="60"/>
      <c r="T180" s="60"/>
      <c r="U180" s="320"/>
      <c r="V180" s="60"/>
      <c r="W180" s="60"/>
      <c r="X180" s="60"/>
      <c r="Y180" s="60"/>
      <c r="Z180" s="60"/>
      <c r="AA180" s="6"/>
      <c r="AB180" s="139"/>
      <c r="AC180" s="139"/>
      <c r="AD180" s="139"/>
      <c r="AE180" s="139"/>
    </row>
    <row r="181" spans="1:31" s="209" customFormat="1" ht="11.25" customHeight="1">
      <c r="A181" s="591"/>
      <c r="B181" s="65"/>
      <c r="C181" s="65"/>
      <c r="K181" s="60"/>
      <c r="L181" s="65"/>
      <c r="M181" s="65"/>
      <c r="N181" s="60"/>
      <c r="O181" s="60"/>
      <c r="P181" s="60"/>
      <c r="Q181" s="60"/>
      <c r="R181" s="65"/>
      <c r="S181" s="60"/>
      <c r="T181" s="60"/>
      <c r="U181" s="320"/>
      <c r="V181" s="60"/>
      <c r="W181" s="60"/>
      <c r="X181" s="60"/>
      <c r="Y181" s="60"/>
      <c r="Z181" s="60"/>
      <c r="AA181" s="6"/>
      <c r="AB181" s="139"/>
      <c r="AC181" s="139"/>
      <c r="AD181" s="139"/>
      <c r="AE181" s="139"/>
    </row>
    <row r="182" spans="1:31" s="209" customFormat="1" ht="11.25" customHeight="1">
      <c r="A182" s="591"/>
      <c r="B182" s="65"/>
      <c r="C182" s="65"/>
      <c r="K182" s="60"/>
      <c r="L182" s="65"/>
      <c r="M182" s="65"/>
      <c r="N182" s="60"/>
      <c r="O182" s="60"/>
      <c r="P182" s="60"/>
      <c r="Q182" s="60"/>
      <c r="R182" s="65"/>
      <c r="S182" s="60"/>
      <c r="T182" s="60"/>
      <c r="U182" s="320"/>
      <c r="V182" s="60"/>
      <c r="W182" s="60"/>
      <c r="X182" s="60"/>
      <c r="Y182" s="60"/>
      <c r="Z182" s="60"/>
      <c r="AA182" s="6"/>
      <c r="AB182" s="139"/>
      <c r="AC182" s="139"/>
      <c r="AD182" s="139"/>
      <c r="AE182" s="139"/>
    </row>
    <row r="183" spans="1:31" s="209" customFormat="1" ht="11.25" customHeight="1">
      <c r="A183" s="591"/>
      <c r="B183" s="65"/>
      <c r="C183" s="65"/>
      <c r="K183" s="60"/>
      <c r="L183" s="65"/>
      <c r="M183" s="65"/>
      <c r="N183" s="60"/>
      <c r="O183" s="60"/>
      <c r="P183" s="60"/>
      <c r="Q183" s="60"/>
      <c r="R183" s="65"/>
      <c r="S183" s="60"/>
      <c r="T183" s="60"/>
      <c r="U183" s="320"/>
      <c r="V183" s="60"/>
      <c r="W183" s="60"/>
      <c r="X183" s="60"/>
      <c r="Y183" s="60"/>
      <c r="Z183" s="60"/>
      <c r="AA183" s="6"/>
      <c r="AB183" s="139"/>
      <c r="AC183" s="139"/>
      <c r="AD183" s="139"/>
      <c r="AE183" s="139"/>
    </row>
    <row r="184" spans="1:31" s="209" customFormat="1" ht="11.25" customHeight="1">
      <c r="A184" s="591"/>
      <c r="B184" s="65"/>
      <c r="C184" s="65"/>
      <c r="K184" s="60"/>
      <c r="L184" s="65"/>
      <c r="M184" s="65"/>
      <c r="N184" s="60"/>
      <c r="O184" s="60"/>
      <c r="P184" s="60"/>
      <c r="Q184" s="60"/>
      <c r="R184" s="65"/>
      <c r="S184" s="60"/>
      <c r="T184" s="60"/>
      <c r="U184" s="320"/>
      <c r="V184" s="60"/>
      <c r="W184" s="60"/>
      <c r="X184" s="60"/>
      <c r="Y184" s="60"/>
      <c r="Z184" s="60"/>
      <c r="AA184" s="6"/>
      <c r="AB184" s="139"/>
      <c r="AC184" s="139"/>
      <c r="AD184" s="139"/>
      <c r="AE184" s="139"/>
    </row>
    <row r="185" spans="1:31" s="209" customFormat="1" ht="11.25" customHeight="1">
      <c r="A185" s="591"/>
      <c r="B185" s="65"/>
      <c r="C185" s="65"/>
      <c r="K185" s="60"/>
      <c r="L185" s="65"/>
      <c r="M185" s="65"/>
      <c r="N185" s="60"/>
      <c r="O185" s="60"/>
      <c r="P185" s="60"/>
      <c r="Q185" s="60"/>
      <c r="R185" s="65"/>
      <c r="S185" s="60"/>
      <c r="T185" s="60"/>
      <c r="U185" s="320"/>
      <c r="V185" s="60"/>
      <c r="W185" s="60"/>
      <c r="X185" s="60"/>
      <c r="Y185" s="60"/>
      <c r="Z185" s="60"/>
      <c r="AA185" s="6"/>
      <c r="AB185" s="139"/>
      <c r="AC185" s="139"/>
      <c r="AD185" s="139"/>
      <c r="AE185" s="139"/>
    </row>
    <row r="186" spans="1:31" s="209" customFormat="1" ht="11.25" customHeight="1">
      <c r="A186" s="591"/>
      <c r="B186" s="65"/>
      <c r="C186" s="65"/>
      <c r="K186" s="60"/>
      <c r="L186" s="65"/>
      <c r="M186" s="65"/>
      <c r="N186" s="60"/>
      <c r="O186" s="60"/>
      <c r="P186" s="60"/>
      <c r="Q186" s="60"/>
      <c r="R186" s="65"/>
      <c r="S186" s="60"/>
      <c r="T186" s="60"/>
      <c r="U186" s="320"/>
      <c r="V186" s="60"/>
      <c r="W186" s="60"/>
      <c r="X186" s="60"/>
      <c r="Y186" s="60"/>
      <c r="Z186" s="60"/>
      <c r="AA186" s="6"/>
      <c r="AB186" s="139"/>
      <c r="AC186" s="139"/>
      <c r="AD186" s="139"/>
      <c r="AE186" s="139"/>
    </row>
    <row r="187" spans="1:31" s="209" customFormat="1" ht="11.25" customHeight="1">
      <c r="A187" s="591"/>
      <c r="B187" s="65"/>
      <c r="C187" s="65"/>
      <c r="K187" s="60"/>
      <c r="L187" s="65"/>
      <c r="M187" s="65"/>
      <c r="N187" s="60"/>
      <c r="O187" s="60"/>
      <c r="P187" s="60"/>
      <c r="Q187" s="60"/>
      <c r="R187" s="65"/>
      <c r="S187" s="60"/>
      <c r="T187" s="60"/>
      <c r="U187" s="320"/>
      <c r="V187" s="60"/>
      <c r="W187" s="60"/>
      <c r="X187" s="60"/>
      <c r="Y187" s="60"/>
      <c r="Z187" s="60"/>
      <c r="AA187" s="6"/>
      <c r="AB187" s="139"/>
      <c r="AC187" s="139"/>
      <c r="AD187" s="139"/>
      <c r="AE187" s="139"/>
    </row>
    <row r="188" spans="1:31" s="209" customFormat="1" ht="11.25" customHeight="1">
      <c r="A188" s="591"/>
      <c r="B188" s="65"/>
      <c r="C188" s="65"/>
      <c r="K188" s="60"/>
      <c r="L188" s="65"/>
      <c r="M188" s="65"/>
      <c r="N188" s="60"/>
      <c r="O188" s="60"/>
      <c r="P188" s="60"/>
      <c r="Q188" s="60"/>
      <c r="R188" s="65"/>
      <c r="S188" s="60"/>
      <c r="T188" s="60"/>
      <c r="U188" s="320"/>
      <c r="V188" s="60"/>
      <c r="W188" s="60"/>
      <c r="X188" s="60"/>
      <c r="Y188" s="60"/>
      <c r="Z188" s="60"/>
      <c r="AA188" s="6"/>
      <c r="AB188" s="139"/>
      <c r="AC188" s="139"/>
      <c r="AD188" s="139"/>
      <c r="AE188" s="139"/>
    </row>
    <row r="189" spans="1:31" s="209" customFormat="1" ht="11.25" customHeight="1">
      <c r="A189" s="591"/>
      <c r="B189" s="65"/>
      <c r="C189" s="65"/>
      <c r="K189" s="60"/>
      <c r="L189" s="65"/>
      <c r="M189" s="65"/>
      <c r="N189" s="60"/>
      <c r="O189" s="60"/>
      <c r="P189" s="60"/>
      <c r="Q189" s="60"/>
      <c r="R189" s="65"/>
      <c r="S189" s="60"/>
      <c r="T189" s="60"/>
      <c r="U189" s="320"/>
      <c r="V189" s="60"/>
      <c r="W189" s="60"/>
      <c r="X189" s="60"/>
      <c r="Y189" s="60"/>
      <c r="Z189" s="60"/>
      <c r="AA189" s="6"/>
      <c r="AB189" s="139"/>
      <c r="AC189" s="139"/>
      <c r="AD189" s="139"/>
      <c r="AE189" s="139"/>
    </row>
    <row r="190" spans="1:31" s="209" customFormat="1" ht="11.25" customHeight="1">
      <c r="A190" s="591"/>
      <c r="B190" s="65"/>
      <c r="C190" s="65"/>
      <c r="K190" s="60"/>
      <c r="L190" s="65"/>
      <c r="M190" s="65"/>
      <c r="N190" s="60"/>
      <c r="O190" s="60"/>
      <c r="P190" s="60"/>
      <c r="Q190" s="60"/>
      <c r="R190" s="65"/>
      <c r="S190" s="60"/>
      <c r="T190" s="60"/>
      <c r="U190" s="320"/>
      <c r="V190" s="60"/>
      <c r="W190" s="60"/>
      <c r="X190" s="60"/>
      <c r="Y190" s="60"/>
      <c r="Z190" s="60"/>
      <c r="AA190" s="6"/>
      <c r="AB190" s="139"/>
      <c r="AC190" s="139"/>
      <c r="AD190" s="139"/>
      <c r="AE190" s="139"/>
    </row>
    <row r="191" spans="1:31" s="209" customFormat="1" ht="11.25" customHeight="1">
      <c r="A191" s="591"/>
      <c r="B191" s="65"/>
      <c r="C191" s="65"/>
      <c r="K191" s="60"/>
      <c r="L191" s="65"/>
      <c r="M191" s="65"/>
      <c r="N191" s="60"/>
      <c r="O191" s="60"/>
      <c r="P191" s="60"/>
      <c r="Q191" s="60"/>
      <c r="R191" s="65"/>
      <c r="S191" s="60"/>
      <c r="T191" s="60"/>
      <c r="U191" s="320"/>
      <c r="V191" s="60"/>
      <c r="W191" s="60"/>
      <c r="X191" s="60"/>
      <c r="Y191" s="60"/>
      <c r="Z191" s="60"/>
      <c r="AA191" s="6"/>
      <c r="AB191" s="139"/>
      <c r="AC191" s="139"/>
      <c r="AD191" s="139"/>
      <c r="AE191" s="139"/>
    </row>
    <row r="192" spans="1:31" s="209" customFormat="1" ht="11.25" customHeight="1">
      <c r="A192" s="591"/>
      <c r="B192" s="65"/>
      <c r="C192" s="65"/>
      <c r="K192" s="60"/>
      <c r="L192" s="65"/>
      <c r="M192" s="65"/>
      <c r="N192" s="60"/>
      <c r="O192" s="60"/>
      <c r="P192" s="60"/>
      <c r="Q192" s="60"/>
      <c r="R192" s="65"/>
      <c r="S192" s="60"/>
      <c r="T192" s="60"/>
      <c r="U192" s="320"/>
      <c r="V192" s="60"/>
      <c r="W192" s="60"/>
      <c r="X192" s="60"/>
      <c r="Y192" s="60"/>
      <c r="Z192" s="60"/>
      <c r="AA192" s="6"/>
      <c r="AB192" s="139"/>
      <c r="AC192" s="139"/>
      <c r="AD192" s="139"/>
      <c r="AE192" s="139"/>
    </row>
    <row r="193" spans="1:31" s="209" customFormat="1" ht="11.25" customHeight="1">
      <c r="A193" s="591"/>
      <c r="B193" s="65"/>
      <c r="C193" s="65"/>
      <c r="K193" s="60"/>
      <c r="L193" s="65"/>
      <c r="M193" s="65"/>
      <c r="N193" s="60"/>
      <c r="O193" s="60"/>
      <c r="P193" s="60"/>
      <c r="Q193" s="60"/>
      <c r="R193" s="65"/>
      <c r="S193" s="60"/>
      <c r="T193" s="60"/>
      <c r="U193" s="320"/>
      <c r="V193" s="60"/>
      <c r="W193" s="60"/>
      <c r="X193" s="60"/>
      <c r="Y193" s="60"/>
      <c r="Z193" s="60"/>
      <c r="AA193" s="6"/>
      <c r="AB193" s="139"/>
      <c r="AC193" s="139"/>
      <c r="AD193" s="139"/>
      <c r="AE193" s="139"/>
    </row>
    <row r="194" spans="1:31" s="209" customFormat="1" ht="11.25" customHeight="1">
      <c r="A194" s="591"/>
      <c r="B194" s="65"/>
      <c r="C194" s="65"/>
      <c r="K194" s="60"/>
      <c r="L194" s="65"/>
      <c r="M194" s="65"/>
      <c r="N194" s="60"/>
      <c r="O194" s="60"/>
      <c r="P194" s="60"/>
      <c r="Q194" s="60"/>
      <c r="R194" s="65"/>
      <c r="S194" s="60"/>
      <c r="T194" s="60"/>
      <c r="U194" s="320"/>
      <c r="V194" s="60"/>
      <c r="W194" s="60"/>
      <c r="X194" s="60"/>
      <c r="Y194" s="60"/>
      <c r="Z194" s="60"/>
      <c r="AA194" s="6"/>
      <c r="AB194" s="139"/>
      <c r="AC194" s="139"/>
      <c r="AD194" s="139"/>
      <c r="AE194" s="139"/>
    </row>
    <row r="195" spans="1:31" s="209" customFormat="1" ht="11.25" customHeight="1">
      <c r="A195" s="591"/>
      <c r="B195" s="65"/>
      <c r="C195" s="65"/>
      <c r="K195" s="60"/>
      <c r="L195" s="65"/>
      <c r="M195" s="65"/>
      <c r="N195" s="60"/>
      <c r="O195" s="60"/>
      <c r="P195" s="60"/>
      <c r="Q195" s="60"/>
      <c r="R195" s="65"/>
      <c r="S195" s="60"/>
      <c r="T195" s="60"/>
      <c r="U195" s="320"/>
      <c r="V195" s="60"/>
      <c r="W195" s="60"/>
      <c r="X195" s="60"/>
      <c r="Y195" s="60"/>
      <c r="Z195" s="60"/>
      <c r="AA195" s="6"/>
      <c r="AB195" s="139"/>
      <c r="AC195" s="139"/>
      <c r="AD195" s="139"/>
      <c r="AE195" s="139"/>
    </row>
    <row r="199" spans="1:31" ht="11.25" customHeight="1">
      <c r="A199" s="594"/>
      <c r="B199" s="9"/>
      <c r="K199" s="9"/>
      <c r="N199" s="9"/>
      <c r="O199" s="9"/>
      <c r="P199" s="9"/>
      <c r="Q199" s="9"/>
      <c r="S199" s="9"/>
      <c r="T199" s="9"/>
      <c r="U199" s="9"/>
      <c r="V199" s="9"/>
      <c r="W199" s="9"/>
      <c r="X199" s="9"/>
      <c r="Y199" s="9"/>
      <c r="Z199" s="9"/>
      <c r="AA199" s="9"/>
      <c r="AB199" s="9"/>
      <c r="AC199" s="9"/>
      <c r="AD199" s="9"/>
      <c r="AE199" s="9"/>
    </row>
    <row r="200" spans="1:31" ht="11.25" customHeight="1">
      <c r="A200" s="594"/>
      <c r="B200" s="9"/>
      <c r="K200" s="9"/>
      <c r="N200" s="9"/>
      <c r="O200" s="9"/>
      <c r="P200" s="9"/>
      <c r="Q200" s="9"/>
      <c r="S200" s="9"/>
      <c r="T200" s="9"/>
      <c r="U200" s="9"/>
      <c r="V200" s="9"/>
      <c r="W200" s="9"/>
      <c r="X200" s="9"/>
      <c r="Y200" s="9"/>
      <c r="Z200" s="9"/>
      <c r="AA200" s="9"/>
      <c r="AB200" s="9"/>
      <c r="AC200" s="9"/>
      <c r="AD200" s="9"/>
      <c r="AE200" s="9"/>
    </row>
    <row r="201" spans="1:31" ht="11.25" customHeight="1">
      <c r="A201" s="594"/>
      <c r="B201" s="9"/>
      <c r="K201" s="9"/>
      <c r="N201" s="9"/>
      <c r="O201" s="9"/>
      <c r="P201" s="9"/>
      <c r="Q201" s="9"/>
      <c r="S201" s="9"/>
      <c r="T201" s="9"/>
      <c r="U201" s="9"/>
      <c r="V201" s="9"/>
      <c r="W201" s="9"/>
      <c r="X201" s="9"/>
      <c r="Y201" s="9"/>
      <c r="Z201" s="9"/>
      <c r="AA201" s="9"/>
      <c r="AB201" s="9"/>
      <c r="AC201" s="9"/>
      <c r="AD201" s="9"/>
      <c r="AE201" s="9"/>
    </row>
    <row r="202" spans="1:31" ht="11.25" customHeight="1">
      <c r="A202" s="594"/>
      <c r="B202" s="9"/>
      <c r="K202" s="9"/>
      <c r="N202" s="9"/>
      <c r="O202" s="9"/>
      <c r="P202" s="9"/>
      <c r="Q202" s="9"/>
      <c r="S202" s="9"/>
      <c r="T202" s="9"/>
      <c r="U202" s="9"/>
      <c r="V202" s="9"/>
      <c r="W202" s="9"/>
      <c r="X202" s="9"/>
      <c r="Y202" s="9"/>
      <c r="Z202" s="9"/>
      <c r="AA202" s="9"/>
      <c r="AB202" s="9"/>
      <c r="AC202" s="9"/>
      <c r="AD202" s="9"/>
      <c r="AE202" s="9"/>
    </row>
    <row r="203" spans="1:31" ht="11.25" customHeight="1">
      <c r="A203" s="594"/>
      <c r="B203" s="9"/>
      <c r="K203" s="9"/>
      <c r="N203" s="9"/>
      <c r="O203" s="9"/>
      <c r="P203" s="9"/>
      <c r="Q203" s="9"/>
      <c r="S203" s="9"/>
      <c r="T203" s="9"/>
      <c r="U203" s="9"/>
      <c r="V203" s="9"/>
      <c r="W203" s="9"/>
      <c r="X203" s="9"/>
      <c r="Y203" s="9"/>
      <c r="Z203" s="9"/>
      <c r="AA203" s="9"/>
      <c r="AB203" s="9"/>
      <c r="AC203" s="9"/>
      <c r="AD203" s="9"/>
      <c r="AE203" s="9"/>
    </row>
    <row r="204" spans="1:31" ht="11.25" customHeight="1">
      <c r="A204" s="594"/>
      <c r="B204" s="9"/>
      <c r="K204" s="9"/>
      <c r="N204" s="9"/>
      <c r="O204" s="9"/>
      <c r="P204" s="9"/>
      <c r="Q204" s="9"/>
      <c r="S204" s="9"/>
      <c r="T204" s="9"/>
      <c r="U204" s="9"/>
      <c r="V204" s="9"/>
      <c r="W204" s="9"/>
      <c r="X204" s="9"/>
      <c r="Y204" s="9"/>
      <c r="Z204" s="9"/>
      <c r="AA204" s="9"/>
      <c r="AB204" s="9"/>
      <c r="AC204" s="9"/>
      <c r="AD204" s="9"/>
      <c r="AE204" s="9"/>
    </row>
    <row r="205" spans="1:31" ht="11.25" customHeight="1">
      <c r="A205" s="594"/>
      <c r="B205" s="9"/>
      <c r="K205" s="9"/>
      <c r="N205" s="9"/>
      <c r="O205" s="9"/>
      <c r="P205" s="9"/>
      <c r="Q205" s="9"/>
      <c r="S205" s="9"/>
      <c r="T205" s="9"/>
      <c r="U205" s="9"/>
      <c r="V205" s="9"/>
      <c r="W205" s="9"/>
      <c r="X205" s="9"/>
      <c r="Y205" s="9"/>
      <c r="Z205" s="9"/>
      <c r="AA205" s="9"/>
      <c r="AB205" s="9"/>
      <c r="AC205" s="9"/>
      <c r="AD205" s="9"/>
      <c r="AE205" s="9"/>
    </row>
    <row r="206" spans="1:31" ht="11.25" customHeight="1">
      <c r="A206" s="594"/>
      <c r="B206" s="9"/>
      <c r="K206" s="9"/>
      <c r="N206" s="9"/>
      <c r="O206" s="9"/>
      <c r="P206" s="9"/>
      <c r="Q206" s="9"/>
      <c r="S206" s="9"/>
      <c r="T206" s="9"/>
      <c r="U206" s="9"/>
      <c r="V206" s="9"/>
      <c r="W206" s="9"/>
      <c r="X206" s="9"/>
      <c r="Y206" s="9"/>
      <c r="Z206" s="9"/>
      <c r="AA206" s="9"/>
      <c r="AB206" s="9"/>
      <c r="AC206" s="9"/>
      <c r="AD206" s="9"/>
      <c r="AE206" s="9"/>
    </row>
    <row r="207" spans="1:31" ht="11.25" customHeight="1">
      <c r="A207" s="594"/>
      <c r="B207" s="9"/>
      <c r="K207" s="9"/>
      <c r="N207" s="9"/>
      <c r="O207" s="9"/>
      <c r="P207" s="9"/>
      <c r="Q207" s="9"/>
      <c r="S207" s="9"/>
      <c r="T207" s="9"/>
      <c r="U207" s="9"/>
      <c r="V207" s="9"/>
      <c r="W207" s="9"/>
      <c r="X207" s="9"/>
      <c r="Y207" s="9"/>
      <c r="Z207" s="9"/>
      <c r="AA207" s="9"/>
      <c r="AB207" s="9"/>
      <c r="AC207" s="9"/>
      <c r="AD207" s="9"/>
      <c r="AE207" s="9"/>
    </row>
    <row r="208" spans="1:31" ht="11.25" customHeight="1">
      <c r="A208" s="594"/>
      <c r="B208" s="9"/>
      <c r="K208" s="9"/>
      <c r="N208" s="9"/>
      <c r="O208" s="9"/>
      <c r="P208" s="9"/>
      <c r="Q208" s="9"/>
      <c r="S208" s="9"/>
      <c r="T208" s="9"/>
      <c r="U208" s="9"/>
      <c r="V208" s="9"/>
      <c r="W208" s="9"/>
      <c r="X208" s="9"/>
      <c r="Y208" s="9"/>
      <c r="Z208" s="9"/>
      <c r="AA208" s="9"/>
      <c r="AB208" s="9"/>
      <c r="AC208" s="9"/>
      <c r="AD208" s="9"/>
      <c r="AE208" s="9"/>
    </row>
    <row r="209" spans="1:31" ht="11.25" customHeight="1">
      <c r="A209" s="594"/>
      <c r="B209" s="9"/>
      <c r="K209" s="9"/>
      <c r="N209" s="9"/>
      <c r="O209" s="9"/>
      <c r="P209" s="9"/>
      <c r="Q209" s="9"/>
      <c r="S209" s="9"/>
      <c r="T209" s="9"/>
      <c r="U209" s="9"/>
      <c r="V209" s="9"/>
      <c r="W209" s="9"/>
      <c r="X209" s="9"/>
      <c r="Y209" s="9"/>
      <c r="Z209" s="9"/>
      <c r="AA209" s="9"/>
      <c r="AB209" s="9"/>
      <c r="AC209" s="9"/>
      <c r="AD209" s="9"/>
      <c r="AE209" s="9"/>
    </row>
  </sheetData>
  <sheetProtection formatColumns="0" formatRows="0" insertRows="0" deleteColumns="0" deleteRows="0" sort="0" autoFilter="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xr:uid="{00000000-0002-0000-2A00-000000000000}">
      <formula1>-9.99999999999999E+37</formula1>
      <formula2>9.99999999999999E+37</formula2>
    </dataValidation>
    <dataValidation type="decimal" allowBlank="1" showErrorMessage="1" errorTitle="Ошибка" error="Допускается ввод только действительных чисел!" sqref="H30:I30" xr:uid="{00000000-0002-0000-2A00-000001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xr:uid="{00000000-0002-0000-2A00-000002000000}">
      <formula1>900</formula1>
    </dataValidation>
    <dataValidation type="decimal" allowBlank="1" showErrorMessage="1" errorTitle="Ошибка" error="Допускается ввод только неотрицательных чисел!" sqref="H31:I31 H2:I2 H15:I15 H17:I27 H36:I37" xr:uid="{00000000-0002-0000-2A00-000003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xr:uid="{00000000-0002-0000-2A00-000004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D1FF7-094D-9254-2B63-56D4C5C151FE}">
  <sheetPr>
    <tabColor theme="9" tint="-0.249977111117893"/>
  </sheetPr>
  <dimension ref="A1:W101"/>
  <sheetViews>
    <sheetView showGridLines="0" topLeftCell="C2" zoomScale="90" workbookViewId="0"/>
  </sheetViews>
  <sheetFormatPr defaultColWidth="10.5703125" defaultRowHeight="11.25" customHeight="1"/>
  <cols>
    <col min="1" max="1" width="9.140625" style="314" hidden="1" customWidth="1"/>
    <col min="2" max="2" width="3.5703125" style="65" hidden="1" customWidth="1"/>
    <col min="3" max="3" width="3.7109375" style="9" customWidth="1"/>
    <col min="4" max="4" width="7.7109375" style="9" customWidth="1"/>
    <col min="5" max="5" width="69.85546875" style="9" customWidth="1"/>
    <col min="6" max="6" width="11.140625" style="9" customWidth="1"/>
    <col min="7" max="8" width="44" style="9" hidden="1" customWidth="1"/>
    <col min="9" max="10" width="44" style="9" customWidth="1"/>
    <col min="11" max="11" width="74" style="9" customWidth="1"/>
    <col min="12" max="12" width="3.7109375" style="9" customWidth="1"/>
    <col min="13" max="23" width="10.5703125" style="9"/>
  </cols>
  <sheetData>
    <row r="1" spans="1:12" s="60" customFormat="1" ht="11.25" hidden="1" customHeight="1">
      <c r="A1" s="314"/>
      <c r="B1" s="65"/>
      <c r="G1" s="60">
        <v>4</v>
      </c>
      <c r="I1" s="60">
        <v>4</v>
      </c>
      <c r="K1" s="60">
        <v>5</v>
      </c>
    </row>
    <row r="2" spans="1:12" ht="3" customHeight="1"/>
    <row r="3" spans="1:12" ht="35.25" customHeight="1">
      <c r="D3" s="1076"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077"/>
      <c r="F3" s="1078"/>
    </row>
    <row r="4" spans="1:12" s="9" customFormat="1" ht="20.25" customHeight="1">
      <c r="A4" s="314"/>
      <c r="B4" s="65"/>
      <c r="D4" s="1183" t="str">
        <f>IF(org=0,"Не определено",org)</f>
        <v>ИМУП «ПОСЖИЛКОМСЕРВИС»</v>
      </c>
      <c r="E4" s="1184"/>
      <c r="F4" s="1185"/>
    </row>
    <row r="5" spans="1:12" ht="11.25" customHeight="1">
      <c r="H5" s="445"/>
      <c r="J5" s="445"/>
    </row>
    <row r="6" spans="1:12" ht="0.75" customHeight="1">
      <c r="E6" s="56"/>
      <c r="F6" s="367"/>
      <c r="G6" s="619"/>
      <c r="H6" s="619"/>
      <c r="I6" s="619" t="s">
        <v>118</v>
      </c>
      <c r="J6" s="619"/>
    </row>
    <row r="7" spans="1:12" ht="11.25" customHeight="1">
      <c r="D7" s="418"/>
      <c r="E7" s="1373" t="s">
        <v>106</v>
      </c>
      <c r="F7" s="1374"/>
      <c r="G7" s="1409" t="str">
        <f>IF(G6="","",INDEX(DIFFERENTIATION_UNMERGE_VD,MATCH(G6,DIFFERENTIATION_ID_DIFF,0)))</f>
        <v/>
      </c>
      <c r="H7" s="1410"/>
      <c r="I7" s="1409" t="str">
        <f>IF(I6="","",INDEX(DIFFERENTIATION_UNMERGE_VD,MATCH(I6,DIFFERENTIATION_ID_DIFF,0)))</f>
        <v>Холодное водоснабжение. Питьевая вода</v>
      </c>
      <c r="J7" s="1410"/>
      <c r="K7" s="1137"/>
    </row>
    <row r="8" spans="1:12" ht="11.25" customHeight="1">
      <c r="D8" s="418"/>
      <c r="E8" s="1373" t="s">
        <v>414</v>
      </c>
      <c r="F8" s="1374"/>
      <c r="G8" s="1409" t="str">
        <f>IF(G6="","",INDEX(DIFFERENTIATION_UNMERGE_AREA,MATCH(G6,DIFFERENTIATION_ID_DIFF,0)))</f>
        <v/>
      </c>
      <c r="H8" s="1410"/>
      <c r="I8" s="1409" t="str">
        <f>IF(I6="","",INDEX(DIFFERENTIATION_UNMERGE_AREA,MATCH(I6,DIFFERENTIATION_ID_DIFF,0)))</f>
        <v>Территория 1</v>
      </c>
      <c r="J8" s="1410"/>
      <c r="K8" s="1142"/>
    </row>
    <row r="9" spans="1:12" ht="11.25" customHeight="1">
      <c r="D9" s="418"/>
      <c r="E9" s="1373" t="s">
        <v>415</v>
      </c>
      <c r="F9" s="1374"/>
      <c r="G9" s="1409" t="str">
        <f>IF(G6="","",INDEX(DIFFERENTIATION_UNMERGE_SYSTEM,MATCH(G6,DIFFERENTIATION_ID_DIFF,0)))</f>
        <v/>
      </c>
      <c r="H9" s="1410"/>
      <c r="I9" s="1409" t="str">
        <f>IF(I6="","",INDEX(DIFFERENTIATION_UNMERGE_SYSTEM,MATCH(I6,DIFFERENTIATION_ID_DIFF,0)))</f>
        <v>без дифференциации</v>
      </c>
      <c r="J9" s="1410"/>
      <c r="K9" s="1142"/>
    </row>
    <row r="10" spans="1:12" s="9" customFormat="1" ht="11.25" customHeight="1">
      <c r="A10" s="314"/>
      <c r="B10" s="65"/>
      <c r="D10" s="1065" t="s">
        <v>288</v>
      </c>
      <c r="E10" s="1070"/>
      <c r="F10" s="1070"/>
      <c r="G10" s="1070"/>
      <c r="H10" s="1070"/>
      <c r="I10" s="1070"/>
      <c r="J10" s="1064"/>
      <c r="K10" s="1142"/>
    </row>
    <row r="11" spans="1:12" s="9" customFormat="1" ht="22.5" customHeight="1">
      <c r="A11" s="1284"/>
      <c r="B11" s="1284"/>
      <c r="C11" s="1"/>
      <c r="D11" s="39" t="s">
        <v>88</v>
      </c>
      <c r="E11" s="39" t="s">
        <v>1844</v>
      </c>
      <c r="F11" s="39" t="s">
        <v>1611</v>
      </c>
      <c r="G11" s="39" t="s">
        <v>291</v>
      </c>
      <c r="H11" s="39" t="s">
        <v>380</v>
      </c>
      <c r="I11" s="39" t="s">
        <v>291</v>
      </c>
      <c r="J11" s="399" t="s">
        <v>380</v>
      </c>
      <c r="K11" s="1193"/>
      <c r="L11" s="383"/>
    </row>
    <row r="12" spans="1:12" s="65" customFormat="1" ht="10.5" customHeight="1">
      <c r="A12" s="324"/>
      <c r="D12" s="324" t="s">
        <v>110</v>
      </c>
      <c r="E12" s="324" t="s">
        <v>111</v>
      </c>
      <c r="F12" s="324" t="s">
        <v>90</v>
      </c>
      <c r="G12" s="119" t="str">
        <f>G1&amp;".1"</f>
        <v>4.1</v>
      </c>
      <c r="H12" s="119" t="str">
        <f>G1&amp;".2"</f>
        <v>4.2</v>
      </c>
      <c r="I12" s="119" t="str">
        <f>I1&amp;".1"</f>
        <v>4.1</v>
      </c>
      <c r="J12" s="119" t="str">
        <f>I1&amp;".2"</f>
        <v>4.2</v>
      </c>
      <c r="K12" s="119"/>
    </row>
    <row r="13" spans="1:12" ht="22.5" hidden="1" customHeight="1">
      <c r="A13" s="1411" t="s">
        <v>593</v>
      </c>
      <c r="D13" s="41" t="s">
        <v>110</v>
      </c>
      <c r="E13" s="150" t="s">
        <v>1612</v>
      </c>
      <c r="F13" s="384" t="s">
        <v>1613</v>
      </c>
      <c r="G13" s="332"/>
      <c r="H13" s="385"/>
      <c r="I13" s="332"/>
      <c r="J13" s="385"/>
      <c r="K13" s="64" t="s">
        <v>1614</v>
      </c>
      <c r="L13" s="426"/>
    </row>
    <row r="14" spans="1:12" ht="22.5" hidden="1" customHeight="1">
      <c r="A14" s="1411"/>
      <c r="D14" s="41" t="s">
        <v>111</v>
      </c>
      <c r="E14" s="150" t="s">
        <v>1615</v>
      </c>
      <c r="F14" s="384" t="s">
        <v>1616</v>
      </c>
      <c r="G14" s="332"/>
      <c r="H14" s="385"/>
      <c r="I14" s="332"/>
      <c r="J14" s="385"/>
      <c r="K14" s="64" t="s">
        <v>1617</v>
      </c>
      <c r="L14" s="426"/>
    </row>
    <row r="15" spans="1:12" s="9" customFormat="1" ht="78.75" hidden="1" customHeight="1">
      <c r="A15" s="1411"/>
      <c r="B15" s="65"/>
      <c r="D15" s="41" t="s">
        <v>90</v>
      </c>
      <c r="E15" s="150" t="s">
        <v>1620</v>
      </c>
      <c r="F15" s="39" t="s">
        <v>294</v>
      </c>
      <c r="G15" s="39" t="s">
        <v>294</v>
      </c>
      <c r="H15" s="35"/>
      <c r="I15" s="39" t="s">
        <v>294</v>
      </c>
      <c r="J15" s="35"/>
      <c r="K15" s="64" t="s">
        <v>1845</v>
      </c>
      <c r="L15" s="426"/>
    </row>
    <row r="16" spans="1:12" s="9" customFormat="1" ht="22.5" hidden="1" customHeight="1">
      <c r="A16" s="1411"/>
      <c r="B16" s="65"/>
      <c r="D16" s="41" t="s">
        <v>314</v>
      </c>
      <c r="E16" s="334" t="s">
        <v>1622</v>
      </c>
      <c r="F16" s="39" t="s">
        <v>1623</v>
      </c>
      <c r="G16" s="484"/>
      <c r="H16" s="35"/>
      <c r="I16" s="484"/>
      <c r="J16" s="35"/>
      <c r="K16" s="64"/>
      <c r="L16" s="426"/>
    </row>
    <row r="17" spans="1:23" s="9" customFormat="1" ht="22.5" hidden="1" customHeight="1">
      <c r="A17" s="1411"/>
      <c r="B17" s="65"/>
      <c r="D17" s="41" t="s">
        <v>322</v>
      </c>
      <c r="E17" s="334" t="s">
        <v>1624</v>
      </c>
      <c r="F17" s="39" t="s">
        <v>1625</v>
      </c>
      <c r="G17" s="484"/>
      <c r="H17" s="35"/>
      <c r="I17" s="484"/>
      <c r="J17" s="35"/>
      <c r="K17" s="64"/>
      <c r="L17" s="426"/>
    </row>
    <row r="18" spans="1:23" s="9" customFormat="1" ht="33.75" hidden="1" customHeight="1">
      <c r="A18" s="1411"/>
      <c r="B18" s="65"/>
      <c r="D18" s="41" t="s">
        <v>324</v>
      </c>
      <c r="E18" s="334" t="s">
        <v>1627</v>
      </c>
      <c r="F18" s="39" t="s">
        <v>1240</v>
      </c>
      <c r="G18" s="396"/>
      <c r="H18" s="35"/>
      <c r="I18" s="396"/>
      <c r="J18" s="35"/>
      <c r="K18" s="64"/>
      <c r="L18" s="426"/>
    </row>
    <row r="19" spans="1:23" ht="101.25" hidden="1" customHeight="1">
      <c r="A19" s="1411"/>
      <c r="D19" s="41" t="s">
        <v>91</v>
      </c>
      <c r="E19" s="150" t="s">
        <v>1846</v>
      </c>
      <c r="F19" s="384" t="s">
        <v>426</v>
      </c>
      <c r="G19" s="226"/>
      <c r="H19" s="385"/>
      <c r="I19" s="226"/>
      <c r="J19" s="385"/>
      <c r="K19" s="64" t="s">
        <v>1847</v>
      </c>
      <c r="L19" s="426"/>
    </row>
    <row r="20" spans="1:23" s="9" customFormat="1" ht="18.75" hidden="1" customHeight="1">
      <c r="A20" s="1411"/>
      <c r="C20" s="74"/>
      <c r="D20" s="41" t="s">
        <v>1461</v>
      </c>
      <c r="E20" s="334" t="s">
        <v>1848</v>
      </c>
      <c r="F20" s="39" t="s">
        <v>294</v>
      </c>
      <c r="G20" s="39" t="s">
        <v>294</v>
      </c>
      <c r="H20" s="351" t="s">
        <v>294</v>
      </c>
      <c r="I20" s="39" t="s">
        <v>294</v>
      </c>
      <c r="J20" s="351" t="s">
        <v>294</v>
      </c>
      <c r="K20" s="399"/>
      <c r="L20" s="426"/>
      <c r="W20" s="313"/>
    </row>
    <row r="21" spans="1:23" s="9" customFormat="1" ht="33.75" hidden="1" customHeight="1">
      <c r="A21" s="1411"/>
      <c r="C21" s="74"/>
      <c r="D21" s="41" t="s">
        <v>1469</v>
      </c>
      <c r="E21" s="349" t="s">
        <v>1849</v>
      </c>
      <c r="F21" s="39" t="s">
        <v>1850</v>
      </c>
      <c r="G21" s="561"/>
      <c r="H21" s="35"/>
      <c r="I21" s="561"/>
      <c r="J21" s="35"/>
      <c r="K21" s="399"/>
      <c r="L21" s="426"/>
      <c r="W21" s="313"/>
    </row>
    <row r="22" spans="1:23" s="9" customFormat="1" ht="33.75" hidden="1" customHeight="1">
      <c r="A22" s="1411"/>
      <c r="C22" s="74"/>
      <c r="D22" s="41" t="s">
        <v>1474</v>
      </c>
      <c r="E22" s="349" t="s">
        <v>1851</v>
      </c>
      <c r="F22" s="39" t="s">
        <v>1852</v>
      </c>
      <c r="G22" s="561"/>
      <c r="H22" s="35"/>
      <c r="I22" s="561"/>
      <c r="J22" s="35"/>
      <c r="K22" s="399"/>
      <c r="L22" s="426"/>
      <c r="W22" s="313"/>
    </row>
    <row r="23" spans="1:23" s="9" customFormat="1" ht="22.5" hidden="1" customHeight="1">
      <c r="A23" s="1411"/>
      <c r="C23" s="74"/>
      <c r="D23" s="41" t="s">
        <v>1478</v>
      </c>
      <c r="E23" s="334" t="s">
        <v>1853</v>
      </c>
      <c r="F23" s="39" t="s">
        <v>294</v>
      </c>
      <c r="G23" s="39" t="s">
        <v>294</v>
      </c>
      <c r="H23" s="351" t="s">
        <v>294</v>
      </c>
      <c r="I23" s="39" t="s">
        <v>294</v>
      </c>
      <c r="J23" s="351" t="s">
        <v>294</v>
      </c>
      <c r="K23" s="399"/>
      <c r="L23" s="426"/>
      <c r="W23" s="313"/>
    </row>
    <row r="24" spans="1:23" s="9" customFormat="1" ht="22.5" hidden="1" customHeight="1">
      <c r="A24" s="1411"/>
      <c r="C24" s="74"/>
      <c r="D24" s="41" t="s">
        <v>1854</v>
      </c>
      <c r="E24" s="349" t="s">
        <v>1855</v>
      </c>
      <c r="F24" s="39" t="s">
        <v>1856</v>
      </c>
      <c r="G24" s="561"/>
      <c r="H24" s="401"/>
      <c r="I24" s="561"/>
      <c r="J24" s="401"/>
      <c r="K24" s="399"/>
      <c r="L24" s="426"/>
      <c r="W24" s="313"/>
    </row>
    <row r="25" spans="1:23" s="9" customFormat="1" ht="22.5" hidden="1" customHeight="1">
      <c r="A25" s="1411"/>
      <c r="C25" s="74"/>
      <c r="D25" s="41" t="s">
        <v>1857</v>
      </c>
      <c r="E25" s="349" t="s">
        <v>1858</v>
      </c>
      <c r="F25" s="39" t="s">
        <v>294</v>
      </c>
      <c r="G25" s="39" t="s">
        <v>294</v>
      </c>
      <c r="H25" s="351" t="s">
        <v>294</v>
      </c>
      <c r="I25" s="39" t="s">
        <v>294</v>
      </c>
      <c r="J25" s="351" t="s">
        <v>294</v>
      </c>
      <c r="K25" s="399"/>
      <c r="L25" s="426"/>
      <c r="W25" s="313"/>
    </row>
    <row r="26" spans="1:23" s="9" customFormat="1" ht="18.75" hidden="1" customHeight="1">
      <c r="A26" s="1411"/>
      <c r="C26" s="74"/>
      <c r="D26" s="41" t="s">
        <v>1859</v>
      </c>
      <c r="E26" s="329" t="s">
        <v>1860</v>
      </c>
      <c r="F26" s="39" t="s">
        <v>1861</v>
      </c>
      <c r="G26" s="396"/>
      <c r="H26" s="401"/>
      <c r="I26" s="396"/>
      <c r="J26" s="401"/>
      <c r="K26" s="399"/>
      <c r="L26" s="426"/>
      <c r="W26" s="313"/>
    </row>
    <row r="27" spans="1:23" s="9" customFormat="1" ht="18.75" hidden="1" customHeight="1">
      <c r="A27" s="1411"/>
      <c r="C27" s="74"/>
      <c r="D27" s="41" t="s">
        <v>1862</v>
      </c>
      <c r="E27" s="329" t="s">
        <v>1863</v>
      </c>
      <c r="F27" s="39" t="s">
        <v>1864</v>
      </c>
      <c r="G27" s="396"/>
      <c r="H27" s="401"/>
      <c r="I27" s="396"/>
      <c r="J27" s="401"/>
      <c r="K27" s="399"/>
      <c r="L27" s="426"/>
      <c r="W27" s="313"/>
    </row>
    <row r="28" spans="1:23" s="9" customFormat="1" ht="18.75" hidden="1" customHeight="1">
      <c r="A28" s="1411"/>
      <c r="C28" s="74"/>
      <c r="D28" s="41" t="s">
        <v>1865</v>
      </c>
      <c r="E28" s="349" t="s">
        <v>1866</v>
      </c>
      <c r="F28" s="39" t="s">
        <v>294</v>
      </c>
      <c r="G28" s="39" t="s">
        <v>294</v>
      </c>
      <c r="H28" s="351" t="s">
        <v>294</v>
      </c>
      <c r="I28" s="39" t="s">
        <v>294</v>
      </c>
      <c r="J28" s="351" t="s">
        <v>294</v>
      </c>
      <c r="K28" s="399"/>
      <c r="L28" s="426"/>
      <c r="W28" s="313"/>
    </row>
    <row r="29" spans="1:23" s="9" customFormat="1" ht="18.75" hidden="1" customHeight="1">
      <c r="A29" s="1411"/>
      <c r="C29" s="74"/>
      <c r="D29" s="41" t="s">
        <v>1867</v>
      </c>
      <c r="E29" s="329" t="s">
        <v>1860</v>
      </c>
      <c r="F29" s="39" t="s">
        <v>1868</v>
      </c>
      <c r="G29" s="396"/>
      <c r="H29" s="401"/>
      <c r="I29" s="396"/>
      <c r="J29" s="401"/>
      <c r="K29" s="399"/>
      <c r="L29" s="426"/>
      <c r="W29" s="313"/>
    </row>
    <row r="30" spans="1:23" s="9" customFormat="1" ht="18.75" hidden="1" customHeight="1">
      <c r="A30" s="1411"/>
      <c r="C30" s="74"/>
      <c r="D30" s="41" t="s">
        <v>1869</v>
      </c>
      <c r="E30" s="329" t="s">
        <v>1870</v>
      </c>
      <c r="F30" s="39" t="s">
        <v>1871</v>
      </c>
      <c r="G30" s="396"/>
      <c r="H30" s="401"/>
      <c r="I30" s="396"/>
      <c r="J30" s="401"/>
      <c r="K30" s="399"/>
      <c r="L30" s="426"/>
      <c r="W30" s="313"/>
    </row>
    <row r="31" spans="1:23" ht="126.75" hidden="1" customHeight="1">
      <c r="A31" s="1411"/>
      <c r="D31" s="41" t="s">
        <v>112</v>
      </c>
      <c r="E31" s="150" t="s">
        <v>1872</v>
      </c>
      <c r="F31" s="384" t="s">
        <v>1629</v>
      </c>
      <c r="G31" s="332"/>
      <c r="H31" s="385"/>
      <c r="I31" s="332"/>
      <c r="J31" s="385"/>
      <c r="K31" s="64" t="s">
        <v>1873</v>
      </c>
      <c r="L31" s="426"/>
    </row>
    <row r="32" spans="1:23" ht="56.25" hidden="1" customHeight="1">
      <c r="A32" s="1411"/>
      <c r="D32" s="41" t="s">
        <v>92</v>
      </c>
      <c r="E32" s="150" t="s">
        <v>1874</v>
      </c>
      <c r="F32" s="41" t="s">
        <v>1625</v>
      </c>
      <c r="G32" s="332"/>
      <c r="H32" s="385"/>
      <c r="I32" s="332"/>
      <c r="J32" s="385"/>
      <c r="K32" s="64" t="s">
        <v>1875</v>
      </c>
      <c r="L32" s="426"/>
    </row>
    <row r="33" spans="1:11" ht="11.25" hidden="1" customHeight="1">
      <c r="A33" s="1411"/>
      <c r="E33" s="386"/>
      <c r="F33" s="89"/>
      <c r="G33" s="89"/>
      <c r="H33" s="89"/>
      <c r="I33" s="89"/>
      <c r="J33" s="89"/>
      <c r="K33" s="89"/>
    </row>
    <row r="34" spans="1:11" ht="12.75" hidden="1" customHeight="1">
      <c r="A34" s="1411"/>
      <c r="D34" s="1">
        <v>1</v>
      </c>
      <c r="E34" s="203" t="s">
        <v>1876</v>
      </c>
    </row>
    <row r="35" spans="1:11" ht="11.25" hidden="1" customHeight="1">
      <c r="A35" s="1411"/>
      <c r="D35" s="1"/>
      <c r="E35" s="203" t="s">
        <v>1877</v>
      </c>
    </row>
    <row r="36" spans="1:11" s="9" customFormat="1" ht="11.25" customHeight="1">
      <c r="A36" s="314"/>
      <c r="B36" s="65"/>
      <c r="D36" s="1"/>
      <c r="E36" s="203"/>
    </row>
    <row r="37" spans="1:11" s="9" customFormat="1" ht="22.5" customHeight="1">
      <c r="A37" s="1411" t="s">
        <v>982</v>
      </c>
      <c r="B37" s="65"/>
      <c r="D37" s="41">
        <v>1</v>
      </c>
      <c r="E37" s="150" t="s">
        <v>1878</v>
      </c>
      <c r="F37" s="384" t="s">
        <v>1613</v>
      </c>
      <c r="G37" s="332"/>
      <c r="H37" s="306"/>
      <c r="I37" s="332"/>
      <c r="J37" s="306"/>
      <c r="K37" s="64" t="s">
        <v>1879</v>
      </c>
    </row>
    <row r="38" spans="1:11" s="9" customFormat="1" ht="22.5" customHeight="1">
      <c r="A38" s="1411"/>
      <c r="B38" s="65"/>
      <c r="D38" s="391" t="s">
        <v>111</v>
      </c>
      <c r="E38" s="627" t="s">
        <v>1880</v>
      </c>
      <c r="F38" s="628" t="s">
        <v>426</v>
      </c>
      <c r="G38" s="628" t="s">
        <v>426</v>
      </c>
      <c r="H38" s="625"/>
      <c r="I38" s="628" t="s">
        <v>426</v>
      </c>
      <c r="J38" s="625"/>
      <c r="K38" s="626"/>
    </row>
    <row r="39" spans="1:11" s="9" customFormat="1" ht="33.75" customHeight="1">
      <c r="A39" s="1411"/>
      <c r="B39" s="65"/>
      <c r="D39" s="387" t="s">
        <v>454</v>
      </c>
      <c r="E39" s="429" t="s">
        <v>1881</v>
      </c>
      <c r="F39" s="384" t="s">
        <v>1882</v>
      </c>
      <c r="G39" s="390"/>
      <c r="H39" s="620"/>
      <c r="I39" s="390"/>
      <c r="J39" s="620"/>
      <c r="K39" s="64" t="s">
        <v>1883</v>
      </c>
    </row>
    <row r="40" spans="1:11" s="9" customFormat="1" ht="33.75" customHeight="1">
      <c r="A40" s="1411"/>
      <c r="B40" s="65"/>
      <c r="D40" s="387" t="s">
        <v>1775</v>
      </c>
      <c r="E40" s="429" t="s">
        <v>1884</v>
      </c>
      <c r="F40" s="622" t="s">
        <v>1885</v>
      </c>
      <c r="G40" s="438"/>
      <c r="H40" s="620"/>
      <c r="I40" s="438"/>
      <c r="J40" s="620"/>
      <c r="K40" s="64" t="s">
        <v>1886</v>
      </c>
    </row>
    <row r="41" spans="1:11" s="9" customFormat="1" ht="22.5" customHeight="1">
      <c r="A41" s="1411"/>
      <c r="B41" s="65"/>
      <c r="D41" s="387" t="s">
        <v>90</v>
      </c>
      <c r="E41" s="428" t="s">
        <v>1887</v>
      </c>
      <c r="F41" s="384" t="s">
        <v>426</v>
      </c>
      <c r="G41" s="384" t="s">
        <v>426</v>
      </c>
      <c r="H41" s="621"/>
      <c r="I41" s="384" t="s">
        <v>426</v>
      </c>
      <c r="J41" s="621"/>
      <c r="K41" s="172"/>
    </row>
    <row r="42" spans="1:11" s="9" customFormat="1" ht="45" customHeight="1">
      <c r="A42" s="1411"/>
      <c r="B42" s="65"/>
      <c r="D42" s="387" t="s">
        <v>314</v>
      </c>
      <c r="E42" s="429" t="s">
        <v>1888</v>
      </c>
      <c r="F42" s="384" t="s">
        <v>1629</v>
      </c>
      <c r="G42" s="332"/>
      <c r="H42" s="621"/>
      <c r="I42" s="332"/>
      <c r="J42" s="621"/>
      <c r="K42" s="172" t="s">
        <v>1889</v>
      </c>
    </row>
    <row r="43" spans="1:11" s="9" customFormat="1" ht="45" customHeight="1">
      <c r="A43" s="1411"/>
      <c r="B43" s="65"/>
      <c r="D43" s="387" t="s">
        <v>322</v>
      </c>
      <c r="E43" s="389" t="s">
        <v>1890</v>
      </c>
      <c r="F43" s="623" t="s">
        <v>1629</v>
      </c>
      <c r="G43" s="439"/>
      <c r="H43" s="620"/>
      <c r="I43" s="439"/>
      <c r="J43" s="620"/>
      <c r="K43" s="172" t="s">
        <v>1891</v>
      </c>
    </row>
    <row r="44" spans="1:11" s="9" customFormat="1" ht="11.25" customHeight="1">
      <c r="A44" s="1411"/>
      <c r="B44" s="65"/>
      <c r="D44" s="387" t="s">
        <v>91</v>
      </c>
      <c r="E44" s="388" t="s">
        <v>1892</v>
      </c>
      <c r="F44" s="384" t="s">
        <v>1882</v>
      </c>
      <c r="G44" s="390"/>
      <c r="H44" s="620"/>
      <c r="I44" s="390"/>
      <c r="J44" s="620"/>
      <c r="K44" s="64"/>
    </row>
    <row r="45" spans="1:11" s="9" customFormat="1" ht="11.25" customHeight="1">
      <c r="A45" s="1411"/>
      <c r="B45" s="65"/>
      <c r="D45" s="387" t="s">
        <v>1461</v>
      </c>
      <c r="E45" s="389" t="s">
        <v>1893</v>
      </c>
      <c r="F45" s="384" t="s">
        <v>1882</v>
      </c>
      <c r="G45" s="390"/>
      <c r="H45" s="620"/>
      <c r="I45" s="390"/>
      <c r="J45" s="620"/>
      <c r="K45" s="64"/>
    </row>
    <row r="46" spans="1:11" s="9" customFormat="1" ht="11.25" customHeight="1">
      <c r="A46" s="1411"/>
      <c r="B46" s="65"/>
      <c r="D46" s="387" t="s">
        <v>1478</v>
      </c>
      <c r="E46" s="389" t="s">
        <v>1894</v>
      </c>
      <c r="F46" s="384" t="s">
        <v>1882</v>
      </c>
      <c r="G46" s="390"/>
      <c r="H46" s="620"/>
      <c r="I46" s="390"/>
      <c r="J46" s="620"/>
      <c r="K46" s="64"/>
    </row>
    <row r="47" spans="1:11" s="9" customFormat="1" ht="11.25" customHeight="1">
      <c r="A47" s="1411"/>
      <c r="B47" s="65"/>
      <c r="D47" s="387" t="s">
        <v>1626</v>
      </c>
      <c r="E47" s="389" t="s">
        <v>1895</v>
      </c>
      <c r="F47" s="384" t="s">
        <v>1882</v>
      </c>
      <c r="G47" s="390"/>
      <c r="H47" s="620"/>
      <c r="I47" s="390"/>
      <c r="J47" s="620"/>
      <c r="K47" s="64"/>
    </row>
    <row r="48" spans="1:11" s="9" customFormat="1" ht="11.25" customHeight="1">
      <c r="A48" s="1411"/>
      <c r="B48" s="65"/>
      <c r="D48" s="387" t="s">
        <v>1896</v>
      </c>
      <c r="E48" s="392" t="s">
        <v>1897</v>
      </c>
      <c r="F48" s="384" t="s">
        <v>1882</v>
      </c>
      <c r="G48" s="390"/>
      <c r="H48" s="620"/>
      <c r="I48" s="390"/>
      <c r="J48" s="620"/>
      <c r="K48" s="64"/>
    </row>
    <row r="49" spans="1:11" s="9" customFormat="1" ht="11.25" customHeight="1">
      <c r="A49" s="1411"/>
      <c r="B49" s="65"/>
      <c r="D49" s="387" t="s">
        <v>1898</v>
      </c>
      <c r="E49" s="392" t="s">
        <v>1899</v>
      </c>
      <c r="F49" s="384" t="s">
        <v>1882</v>
      </c>
      <c r="G49" s="390"/>
      <c r="H49" s="620"/>
      <c r="I49" s="390"/>
      <c r="J49" s="620"/>
      <c r="K49" s="64"/>
    </row>
    <row r="50" spans="1:11" s="9" customFormat="1" ht="11.25" customHeight="1">
      <c r="A50" s="1411"/>
      <c r="B50" s="65"/>
      <c r="D50" s="387" t="s">
        <v>1900</v>
      </c>
      <c r="E50" s="389" t="s">
        <v>1901</v>
      </c>
      <c r="F50" s="384" t="s">
        <v>1882</v>
      </c>
      <c r="G50" s="390"/>
      <c r="H50" s="620"/>
      <c r="I50" s="390"/>
      <c r="J50" s="620"/>
      <c r="K50" s="64"/>
    </row>
    <row r="51" spans="1:11" s="9" customFormat="1" ht="11.25" customHeight="1">
      <c r="A51" s="1411"/>
      <c r="B51" s="65"/>
      <c r="D51" s="387" t="s">
        <v>1902</v>
      </c>
      <c r="E51" s="389" t="s">
        <v>1903</v>
      </c>
      <c r="F51" s="384" t="s">
        <v>1882</v>
      </c>
      <c r="G51" s="390"/>
      <c r="H51" s="620"/>
      <c r="I51" s="390"/>
      <c r="J51" s="620"/>
      <c r="K51" s="64"/>
    </row>
    <row r="52" spans="1:11" s="9" customFormat="1" ht="45" customHeight="1">
      <c r="A52" s="1411"/>
      <c r="B52" s="65"/>
      <c r="D52" s="387" t="s">
        <v>112</v>
      </c>
      <c r="E52" s="388" t="s">
        <v>1904</v>
      </c>
      <c r="F52" s="384" t="s">
        <v>1882</v>
      </c>
      <c r="G52" s="390"/>
      <c r="H52" s="620"/>
      <c r="I52" s="390"/>
      <c r="J52" s="620"/>
      <c r="K52" s="64"/>
    </row>
    <row r="53" spans="1:11" s="9" customFormat="1" ht="11.25" customHeight="1">
      <c r="A53" s="1411"/>
      <c r="B53" s="65"/>
      <c r="D53" s="387" t="s">
        <v>303</v>
      </c>
      <c r="E53" s="389" t="s">
        <v>1893</v>
      </c>
      <c r="F53" s="384" t="s">
        <v>1882</v>
      </c>
      <c r="G53" s="390"/>
      <c r="H53" s="620"/>
      <c r="I53" s="390"/>
      <c r="J53" s="620"/>
      <c r="K53" s="64"/>
    </row>
    <row r="54" spans="1:11" s="9" customFormat="1" ht="11.25" customHeight="1">
      <c r="A54" s="1411"/>
      <c r="B54" s="65"/>
      <c r="D54" s="387" t="s">
        <v>305</v>
      </c>
      <c r="E54" s="389" t="s">
        <v>1894</v>
      </c>
      <c r="F54" s="384" t="s">
        <v>1882</v>
      </c>
      <c r="G54" s="390"/>
      <c r="H54" s="620"/>
      <c r="I54" s="390"/>
      <c r="J54" s="620"/>
      <c r="K54" s="64"/>
    </row>
    <row r="55" spans="1:11" s="9" customFormat="1" ht="11.25" customHeight="1">
      <c r="A55" s="1411"/>
      <c r="B55" s="65"/>
      <c r="D55" s="387" t="s">
        <v>308</v>
      </c>
      <c r="E55" s="389" t="s">
        <v>1895</v>
      </c>
      <c r="F55" s="384" t="s">
        <v>1882</v>
      </c>
      <c r="G55" s="390"/>
      <c r="H55" s="620"/>
      <c r="I55" s="390"/>
      <c r="J55" s="620"/>
      <c r="K55" s="64"/>
    </row>
    <row r="56" spans="1:11" s="9" customFormat="1" ht="11.25" customHeight="1">
      <c r="A56" s="1411"/>
      <c r="B56" s="65"/>
      <c r="D56" s="387" t="s">
        <v>1606</v>
      </c>
      <c r="E56" s="392" t="s">
        <v>1897</v>
      </c>
      <c r="F56" s="384" t="s">
        <v>1882</v>
      </c>
      <c r="G56" s="390"/>
      <c r="H56" s="620"/>
      <c r="I56" s="390"/>
      <c r="J56" s="620"/>
      <c r="K56" s="64"/>
    </row>
    <row r="57" spans="1:11" s="9" customFormat="1" ht="11.25" customHeight="1">
      <c r="A57" s="1411"/>
      <c r="B57" s="65"/>
      <c r="D57" s="387" t="s">
        <v>1905</v>
      </c>
      <c r="E57" s="392" t="s">
        <v>1899</v>
      </c>
      <c r="F57" s="384" t="s">
        <v>1882</v>
      </c>
      <c r="G57" s="390"/>
      <c r="H57" s="620"/>
      <c r="I57" s="390"/>
      <c r="J57" s="620"/>
      <c r="K57" s="64"/>
    </row>
    <row r="58" spans="1:11" s="9" customFormat="1" ht="11.25" customHeight="1">
      <c r="A58" s="1411"/>
      <c r="B58" s="65"/>
      <c r="D58" s="387" t="s">
        <v>310</v>
      </c>
      <c r="E58" s="389" t="s">
        <v>1901</v>
      </c>
      <c r="F58" s="384" t="s">
        <v>1882</v>
      </c>
      <c r="G58" s="390"/>
      <c r="H58" s="620"/>
      <c r="I58" s="390"/>
      <c r="J58" s="620"/>
      <c r="K58" s="64"/>
    </row>
    <row r="59" spans="1:11" s="9" customFormat="1" ht="11.25" customHeight="1">
      <c r="A59" s="1411"/>
      <c r="B59" s="65"/>
      <c r="D59" s="387" t="s">
        <v>1906</v>
      </c>
      <c r="E59" s="389" t="s">
        <v>1903</v>
      </c>
      <c r="F59" s="384" t="s">
        <v>1882</v>
      </c>
      <c r="G59" s="390"/>
      <c r="H59" s="620"/>
      <c r="I59" s="390"/>
      <c r="J59" s="620"/>
      <c r="K59" s="64"/>
    </row>
    <row r="60" spans="1:11" s="9" customFormat="1" ht="33.75" customHeight="1">
      <c r="A60" s="1411"/>
      <c r="B60" s="65"/>
      <c r="D60" s="387" t="s">
        <v>92</v>
      </c>
      <c r="E60" s="388" t="s">
        <v>1907</v>
      </c>
      <c r="F60" s="427" t="s">
        <v>1629</v>
      </c>
      <c r="G60" s="439"/>
      <c r="H60" s="620"/>
      <c r="I60" s="439"/>
      <c r="J60" s="620"/>
      <c r="K60" s="172" t="s">
        <v>1908</v>
      </c>
    </row>
    <row r="61" spans="1:11" s="9" customFormat="1" ht="33.75" customHeight="1">
      <c r="A61" s="1411"/>
      <c r="B61" s="65"/>
      <c r="D61" s="387" t="s">
        <v>93</v>
      </c>
      <c r="E61" s="388" t="s">
        <v>1909</v>
      </c>
      <c r="F61" s="432" t="s">
        <v>1625</v>
      </c>
      <c r="G61" s="390"/>
      <c r="H61" s="620"/>
      <c r="I61" s="390"/>
      <c r="J61" s="620"/>
      <c r="K61" s="64"/>
    </row>
    <row r="62" spans="1:11" s="9" customFormat="1" ht="22.5" customHeight="1">
      <c r="A62" s="1411"/>
      <c r="B62" s="65" t="s">
        <v>1743</v>
      </c>
      <c r="D62" s="387" t="s">
        <v>113</v>
      </c>
      <c r="E62" s="388" t="s">
        <v>1910</v>
      </c>
      <c r="F62" s="432" t="s">
        <v>294</v>
      </c>
      <c r="G62" s="114"/>
      <c r="H62" s="620"/>
      <c r="I62" s="114"/>
      <c r="J62" s="620"/>
      <c r="K62" s="64" t="s">
        <v>1556</v>
      </c>
    </row>
    <row r="63" spans="1:11" s="9" customFormat="1" ht="45" customHeight="1">
      <c r="A63" s="1411"/>
      <c r="B63" s="65" t="s">
        <v>1743</v>
      </c>
      <c r="D63" s="387" t="s">
        <v>1911</v>
      </c>
      <c r="E63" s="389" t="s">
        <v>1912</v>
      </c>
      <c r="F63" s="427" t="s">
        <v>294</v>
      </c>
      <c r="G63" s="114"/>
      <c r="H63" s="620"/>
      <c r="I63" s="114"/>
      <c r="J63" s="620"/>
      <c r="K63" s="64" t="s">
        <v>1556</v>
      </c>
    </row>
    <row r="64" spans="1:11" s="9" customFormat="1" ht="11.25" customHeight="1">
      <c r="A64" s="314"/>
      <c r="B64" s="65"/>
      <c r="D64" s="1"/>
      <c r="E64" s="203"/>
    </row>
    <row r="65" spans="1:11" s="9" customFormat="1" ht="22.5" hidden="1" customHeight="1">
      <c r="A65" s="1411" t="s">
        <v>1004</v>
      </c>
      <c r="B65" s="65"/>
      <c r="D65" s="387">
        <v>1</v>
      </c>
      <c r="E65" s="441" t="s">
        <v>1913</v>
      </c>
      <c r="F65" s="437" t="s">
        <v>1613</v>
      </c>
      <c r="G65" s="438"/>
      <c r="H65" s="624"/>
      <c r="I65" s="438"/>
      <c r="J65" s="624"/>
      <c r="K65" s="171" t="s">
        <v>1914</v>
      </c>
    </row>
    <row r="66" spans="1:11" s="9" customFormat="1" ht="56.25" hidden="1" customHeight="1">
      <c r="A66" s="1411"/>
      <c r="B66" s="65"/>
      <c r="D66" s="440" t="s">
        <v>111</v>
      </c>
      <c r="E66" s="150" t="s">
        <v>1915</v>
      </c>
      <c r="F66" s="384" t="s">
        <v>426</v>
      </c>
      <c r="G66" s="384" t="s">
        <v>426</v>
      </c>
      <c r="H66" s="306"/>
      <c r="I66" s="384" t="s">
        <v>426</v>
      </c>
      <c r="J66" s="306"/>
      <c r="K66" s="64"/>
    </row>
    <row r="67" spans="1:11" s="9" customFormat="1" ht="33.75" hidden="1" customHeight="1">
      <c r="A67" s="1411"/>
      <c r="B67" s="65"/>
      <c r="D67" s="440" t="s">
        <v>452</v>
      </c>
      <c r="E67" s="334" t="s">
        <v>1916</v>
      </c>
      <c r="F67" s="384" t="s">
        <v>1885</v>
      </c>
      <c r="G67" s="433"/>
      <c r="H67" s="306"/>
      <c r="I67" s="433"/>
      <c r="J67" s="306"/>
      <c r="K67" s="64"/>
    </row>
    <row r="68" spans="1:11" s="9" customFormat="1" ht="22.5" hidden="1" customHeight="1">
      <c r="A68" s="1411"/>
      <c r="B68" s="65"/>
      <c r="D68" s="440" t="s">
        <v>295</v>
      </c>
      <c r="E68" s="334" t="s">
        <v>1917</v>
      </c>
      <c r="F68" s="384" t="s">
        <v>1885</v>
      </c>
      <c r="G68" s="433"/>
      <c r="H68" s="306"/>
      <c r="I68" s="433"/>
      <c r="J68" s="306"/>
      <c r="K68" s="64"/>
    </row>
    <row r="69" spans="1:11" s="9" customFormat="1" ht="22.5" hidden="1" customHeight="1">
      <c r="A69" s="1411"/>
      <c r="B69" s="65"/>
      <c r="D69" s="440" t="s">
        <v>298</v>
      </c>
      <c r="E69" s="334" t="s">
        <v>1918</v>
      </c>
      <c r="F69" s="427" t="s">
        <v>1629</v>
      </c>
      <c r="G69" s="439"/>
      <c r="H69" s="306"/>
      <c r="I69" s="439"/>
      <c r="J69" s="306"/>
      <c r="K69" s="64"/>
    </row>
    <row r="70" spans="1:11" s="9" customFormat="1" ht="22.5" hidden="1" customHeight="1">
      <c r="A70" s="1411"/>
      <c r="B70" s="65"/>
      <c r="D70" s="440" t="s">
        <v>1362</v>
      </c>
      <c r="E70" s="334" t="s">
        <v>1919</v>
      </c>
      <c r="F70" s="427" t="s">
        <v>1629</v>
      </c>
      <c r="G70" s="439"/>
      <c r="H70" s="306"/>
      <c r="I70" s="439"/>
      <c r="J70" s="306"/>
      <c r="K70" s="64"/>
    </row>
    <row r="71" spans="1:11" s="9" customFormat="1" ht="22.5" hidden="1" customHeight="1">
      <c r="A71" s="1411"/>
      <c r="B71" s="65"/>
      <c r="D71" s="387" t="s">
        <v>90</v>
      </c>
      <c r="E71" s="388" t="s">
        <v>1920</v>
      </c>
      <c r="F71" s="384" t="s">
        <v>1885</v>
      </c>
      <c r="G71" s="332"/>
      <c r="H71" s="625"/>
      <c r="I71" s="332"/>
      <c r="J71" s="625"/>
      <c r="K71" s="172"/>
    </row>
    <row r="72" spans="1:11" s="9" customFormat="1" ht="56.25" hidden="1" customHeight="1">
      <c r="A72" s="1411"/>
      <c r="B72" s="65"/>
      <c r="D72" s="387" t="s">
        <v>91</v>
      </c>
      <c r="E72" s="388" t="s">
        <v>1921</v>
      </c>
      <c r="F72" s="427" t="s">
        <v>1629</v>
      </c>
      <c r="G72" s="439"/>
      <c r="H72" s="620"/>
      <c r="I72" s="439"/>
      <c r="J72" s="620"/>
      <c r="K72" s="172"/>
    </row>
    <row r="73" spans="1:11" s="9" customFormat="1" ht="33.75" hidden="1" customHeight="1">
      <c r="A73" s="1411"/>
      <c r="B73" s="65"/>
      <c r="D73" s="387" t="s">
        <v>112</v>
      </c>
      <c r="E73" s="388" t="s">
        <v>1922</v>
      </c>
      <c r="F73" s="432" t="s">
        <v>1625</v>
      </c>
      <c r="G73" s="390"/>
      <c r="H73" s="620"/>
      <c r="I73" s="390"/>
      <c r="J73" s="620"/>
      <c r="K73" s="64"/>
    </row>
    <row r="74" spans="1:11" s="9" customFormat="1" ht="22.5" hidden="1" customHeight="1">
      <c r="A74" s="1411"/>
      <c r="B74" s="65" t="s">
        <v>1743</v>
      </c>
      <c r="D74" s="387" t="s">
        <v>92</v>
      </c>
      <c r="E74" s="388" t="s">
        <v>1923</v>
      </c>
      <c r="F74" s="432" t="s">
        <v>294</v>
      </c>
      <c r="G74" s="114"/>
      <c r="H74" s="620"/>
      <c r="I74" s="114"/>
      <c r="J74" s="620"/>
      <c r="K74" s="64" t="s">
        <v>1556</v>
      </c>
    </row>
    <row r="75" spans="1:11" s="9" customFormat="1" ht="45" hidden="1" customHeight="1">
      <c r="A75" s="1411"/>
      <c r="B75" s="65" t="s">
        <v>1743</v>
      </c>
      <c r="D75" s="387" t="s">
        <v>1366</v>
      </c>
      <c r="E75" s="389" t="s">
        <v>1924</v>
      </c>
      <c r="F75" s="427" t="s">
        <v>294</v>
      </c>
      <c r="G75" s="114"/>
      <c r="H75" s="620"/>
      <c r="I75" s="114"/>
      <c r="J75" s="620"/>
      <c r="K75" s="64" t="s">
        <v>1556</v>
      </c>
    </row>
    <row r="76" spans="1:11" s="9" customFormat="1" ht="11.25" customHeight="1">
      <c r="A76" s="314"/>
      <c r="B76" s="65"/>
      <c r="D76" s="1"/>
      <c r="E76" s="203"/>
    </row>
    <row r="77" spans="1:11" s="9" customFormat="1" ht="11.25" hidden="1" customHeight="1">
      <c r="A77" s="1411" t="s">
        <v>595</v>
      </c>
      <c r="B77" s="65"/>
      <c r="D77" s="387">
        <v>1</v>
      </c>
      <c r="E77" s="388" t="s">
        <v>1925</v>
      </c>
      <c r="F77" s="427" t="s">
        <v>1613</v>
      </c>
      <c r="G77" s="430"/>
      <c r="H77" s="620"/>
      <c r="I77" s="430"/>
      <c r="J77" s="620"/>
      <c r="K77" s="64" t="s">
        <v>1926</v>
      </c>
    </row>
    <row r="78" spans="1:11" s="9" customFormat="1" ht="11.25" hidden="1" customHeight="1">
      <c r="A78" s="1411"/>
      <c r="B78" s="65"/>
      <c r="D78" s="387" t="s">
        <v>111</v>
      </c>
      <c r="E78" s="388" t="s">
        <v>1927</v>
      </c>
      <c r="F78" s="427" t="s">
        <v>1613</v>
      </c>
      <c r="G78" s="430"/>
      <c r="H78" s="620"/>
      <c r="I78" s="430"/>
      <c r="J78" s="620"/>
      <c r="K78" s="64" t="s">
        <v>1928</v>
      </c>
    </row>
    <row r="79" spans="1:11" s="9" customFormat="1" ht="22.5" hidden="1" customHeight="1">
      <c r="A79" s="1411"/>
      <c r="B79" s="65"/>
      <c r="D79" s="387" t="s">
        <v>90</v>
      </c>
      <c r="E79" s="428" t="s">
        <v>1929</v>
      </c>
      <c r="F79" s="384" t="s">
        <v>1882</v>
      </c>
      <c r="G79" s="430"/>
      <c r="H79" s="620"/>
      <c r="I79" s="430"/>
      <c r="J79" s="620"/>
      <c r="K79" s="64" t="s">
        <v>1930</v>
      </c>
    </row>
    <row r="80" spans="1:11" s="9" customFormat="1" ht="11.25" hidden="1" customHeight="1">
      <c r="A80" s="1411"/>
      <c r="B80" s="65"/>
      <c r="D80" s="387" t="s">
        <v>314</v>
      </c>
      <c r="E80" s="429" t="s">
        <v>1931</v>
      </c>
      <c r="F80" s="384" t="s">
        <v>1882</v>
      </c>
      <c r="G80" s="430"/>
      <c r="H80" s="620"/>
      <c r="I80" s="430"/>
      <c r="J80" s="620"/>
      <c r="K80" s="64"/>
    </row>
    <row r="81" spans="1:11" s="9" customFormat="1" ht="11.25" hidden="1" customHeight="1">
      <c r="A81" s="1411"/>
      <c r="B81" s="65"/>
      <c r="D81" s="387" t="s">
        <v>322</v>
      </c>
      <c r="E81" s="429" t="s">
        <v>1932</v>
      </c>
      <c r="F81" s="384" t="s">
        <v>1882</v>
      </c>
      <c r="G81" s="430"/>
      <c r="H81" s="620"/>
      <c r="I81" s="430"/>
      <c r="J81" s="620"/>
      <c r="K81" s="64"/>
    </row>
    <row r="82" spans="1:11" s="9" customFormat="1" ht="11.25" hidden="1" customHeight="1">
      <c r="A82" s="1411"/>
      <c r="B82" s="65"/>
      <c r="D82" s="387" t="s">
        <v>324</v>
      </c>
      <c r="E82" s="429" t="s">
        <v>1933</v>
      </c>
      <c r="F82" s="384" t="s">
        <v>1882</v>
      </c>
      <c r="G82" s="430"/>
      <c r="H82" s="620"/>
      <c r="I82" s="430"/>
      <c r="J82" s="620"/>
      <c r="K82" s="64"/>
    </row>
    <row r="83" spans="1:11" s="9" customFormat="1" ht="11.25" hidden="1" customHeight="1">
      <c r="A83" s="1411"/>
      <c r="B83" s="65"/>
      <c r="D83" s="387" t="s">
        <v>326</v>
      </c>
      <c r="E83" s="429" t="s">
        <v>1934</v>
      </c>
      <c r="F83" s="384" t="s">
        <v>1882</v>
      </c>
      <c r="G83" s="430"/>
      <c r="H83" s="620"/>
      <c r="I83" s="430"/>
      <c r="J83" s="620"/>
      <c r="K83" s="64"/>
    </row>
    <row r="84" spans="1:11" s="9" customFormat="1" ht="11.25" hidden="1" customHeight="1">
      <c r="A84" s="1411"/>
      <c r="B84" s="65"/>
      <c r="D84" s="387" t="s">
        <v>1935</v>
      </c>
      <c r="E84" s="429" t="s">
        <v>1936</v>
      </c>
      <c r="F84" s="384" t="s">
        <v>1882</v>
      </c>
      <c r="G84" s="430"/>
      <c r="H84" s="620"/>
      <c r="I84" s="430"/>
      <c r="J84" s="620"/>
      <c r="K84" s="64"/>
    </row>
    <row r="85" spans="1:11" s="9" customFormat="1" ht="11.25" hidden="1" customHeight="1">
      <c r="A85" s="1411"/>
      <c r="B85" s="65"/>
      <c r="D85" s="387" t="s">
        <v>1937</v>
      </c>
      <c r="E85" s="429" t="s">
        <v>1938</v>
      </c>
      <c r="F85" s="384" t="s">
        <v>1882</v>
      </c>
      <c r="G85" s="430"/>
      <c r="H85" s="620"/>
      <c r="I85" s="430"/>
      <c r="J85" s="620"/>
      <c r="K85" s="64"/>
    </row>
    <row r="86" spans="1:11" s="9" customFormat="1" ht="11.25" hidden="1" customHeight="1">
      <c r="A86" s="1411"/>
      <c r="B86" s="65"/>
      <c r="D86" s="387" t="s">
        <v>1939</v>
      </c>
      <c r="E86" s="429" t="s">
        <v>1940</v>
      </c>
      <c r="F86" s="384" t="s">
        <v>1882</v>
      </c>
      <c r="G86" s="430"/>
      <c r="H86" s="620"/>
      <c r="I86" s="430"/>
      <c r="J86" s="620"/>
      <c r="K86" s="64"/>
    </row>
    <row r="87" spans="1:11" s="9" customFormat="1" ht="45" hidden="1" customHeight="1">
      <c r="A87" s="1411"/>
      <c r="B87" s="65"/>
      <c r="D87" s="387" t="s">
        <v>91</v>
      </c>
      <c r="E87" s="388" t="s">
        <v>1941</v>
      </c>
      <c r="F87" s="384" t="s">
        <v>1882</v>
      </c>
      <c r="G87" s="430"/>
      <c r="H87" s="620"/>
      <c r="I87" s="430"/>
      <c r="J87" s="620"/>
      <c r="K87" s="64" t="s">
        <v>1942</v>
      </c>
    </row>
    <row r="88" spans="1:11" s="9" customFormat="1" ht="11.25" hidden="1" customHeight="1">
      <c r="A88" s="1411"/>
      <c r="B88" s="65"/>
      <c r="D88" s="387" t="s">
        <v>1461</v>
      </c>
      <c r="E88" s="429" t="s">
        <v>1931</v>
      </c>
      <c r="F88" s="384" t="s">
        <v>1882</v>
      </c>
      <c r="G88" s="430"/>
      <c r="H88" s="620"/>
      <c r="I88" s="430"/>
      <c r="J88" s="620"/>
      <c r="K88" s="64"/>
    </row>
    <row r="89" spans="1:11" s="9" customFormat="1" ht="11.25" hidden="1" customHeight="1">
      <c r="A89" s="1411"/>
      <c r="B89" s="65"/>
      <c r="D89" s="387" t="s">
        <v>1478</v>
      </c>
      <c r="E89" s="429" t="s">
        <v>1932</v>
      </c>
      <c r="F89" s="384" t="s">
        <v>1882</v>
      </c>
      <c r="G89" s="430"/>
      <c r="H89" s="620"/>
      <c r="I89" s="430"/>
      <c r="J89" s="620"/>
      <c r="K89" s="64"/>
    </row>
    <row r="90" spans="1:11" s="9" customFormat="1" ht="11.25" hidden="1" customHeight="1">
      <c r="A90" s="1411"/>
      <c r="B90" s="65"/>
      <c r="D90" s="387" t="s">
        <v>1626</v>
      </c>
      <c r="E90" s="429" t="s">
        <v>1933</v>
      </c>
      <c r="F90" s="384" t="s">
        <v>1882</v>
      </c>
      <c r="G90" s="430"/>
      <c r="H90" s="620"/>
      <c r="I90" s="430"/>
      <c r="J90" s="620"/>
      <c r="K90" s="64"/>
    </row>
    <row r="91" spans="1:11" s="9" customFormat="1" ht="11.25" hidden="1" customHeight="1">
      <c r="A91" s="1411"/>
      <c r="B91" s="65"/>
      <c r="D91" s="387" t="s">
        <v>1900</v>
      </c>
      <c r="E91" s="429" t="s">
        <v>1934</v>
      </c>
      <c r="F91" s="384" t="s">
        <v>1882</v>
      </c>
      <c r="G91" s="430"/>
      <c r="H91" s="620"/>
      <c r="I91" s="430"/>
      <c r="J91" s="620"/>
      <c r="K91" s="64"/>
    </row>
    <row r="92" spans="1:11" s="9" customFormat="1" ht="11.25" hidden="1" customHeight="1">
      <c r="A92" s="1411"/>
      <c r="B92" s="65"/>
      <c r="D92" s="387" t="s">
        <v>1902</v>
      </c>
      <c r="E92" s="429" t="s">
        <v>1936</v>
      </c>
      <c r="F92" s="384" t="s">
        <v>1882</v>
      </c>
      <c r="G92" s="430"/>
      <c r="H92" s="620"/>
      <c r="I92" s="430"/>
      <c r="J92" s="620"/>
      <c r="K92" s="64"/>
    </row>
    <row r="93" spans="1:11" s="9" customFormat="1" ht="11.25" hidden="1" customHeight="1">
      <c r="A93" s="1411"/>
      <c r="B93" s="65"/>
      <c r="D93" s="387" t="s">
        <v>1943</v>
      </c>
      <c r="E93" s="429" t="s">
        <v>1938</v>
      </c>
      <c r="F93" s="384" t="s">
        <v>1882</v>
      </c>
      <c r="G93" s="430"/>
      <c r="H93" s="620"/>
      <c r="I93" s="430"/>
      <c r="J93" s="620"/>
      <c r="K93" s="64"/>
    </row>
    <row r="94" spans="1:11" s="9" customFormat="1" ht="11.25" hidden="1" customHeight="1">
      <c r="A94" s="1411"/>
      <c r="B94" s="65"/>
      <c r="D94" s="387" t="s">
        <v>1944</v>
      </c>
      <c r="E94" s="429" t="s">
        <v>1940</v>
      </c>
      <c r="F94" s="384" t="s">
        <v>1882</v>
      </c>
      <c r="G94" s="430"/>
      <c r="H94" s="620"/>
      <c r="I94" s="430"/>
      <c r="J94" s="620"/>
      <c r="K94" s="64"/>
    </row>
    <row r="95" spans="1:11" s="9" customFormat="1" ht="24.75" hidden="1" customHeight="1">
      <c r="A95" s="1411"/>
      <c r="B95" s="65"/>
      <c r="D95" s="387" t="s">
        <v>112</v>
      </c>
      <c r="E95" s="388" t="s">
        <v>1945</v>
      </c>
      <c r="F95" s="431" t="s">
        <v>1629</v>
      </c>
      <c r="G95" s="433"/>
      <c r="H95" s="620"/>
      <c r="I95" s="433"/>
      <c r="J95" s="620"/>
      <c r="K95" s="64" t="s">
        <v>1946</v>
      </c>
    </row>
    <row r="96" spans="1:11" s="9" customFormat="1" ht="33.75" hidden="1" customHeight="1">
      <c r="A96" s="1411"/>
      <c r="B96" s="65"/>
      <c r="D96" s="387" t="s">
        <v>92</v>
      </c>
      <c r="E96" s="388" t="s">
        <v>1947</v>
      </c>
      <c r="F96" s="432" t="s">
        <v>1625</v>
      </c>
      <c r="G96" s="434"/>
      <c r="H96" s="620"/>
      <c r="I96" s="434"/>
      <c r="J96" s="620"/>
      <c r="K96" s="64"/>
    </row>
    <row r="97" spans="1:11" s="9" customFormat="1" ht="22.5" hidden="1" customHeight="1">
      <c r="A97" s="1411"/>
      <c r="B97" s="65" t="s">
        <v>1743</v>
      </c>
      <c r="D97" s="387" t="s">
        <v>93</v>
      </c>
      <c r="E97" s="388" t="s">
        <v>1948</v>
      </c>
      <c r="F97" s="432" t="s">
        <v>294</v>
      </c>
      <c r="G97" s="232"/>
      <c r="H97" s="620"/>
      <c r="I97" s="232"/>
      <c r="J97" s="620"/>
      <c r="K97" s="64" t="s">
        <v>1556</v>
      </c>
    </row>
    <row r="98" spans="1:11" s="9" customFormat="1" ht="45" hidden="1" customHeight="1">
      <c r="A98" s="1411"/>
      <c r="B98" s="65" t="s">
        <v>1743</v>
      </c>
      <c r="D98" s="387" t="s">
        <v>1949</v>
      </c>
      <c r="E98" s="389" t="s">
        <v>1950</v>
      </c>
      <c r="F98" s="427" t="s">
        <v>294</v>
      </c>
      <c r="G98" s="232"/>
      <c r="H98" s="620"/>
      <c r="I98" s="232"/>
      <c r="J98" s="620"/>
      <c r="K98" s="64" t="s">
        <v>1556</v>
      </c>
    </row>
    <row r="99" spans="1:11" s="9" customFormat="1" ht="95.25" hidden="1" customHeight="1">
      <c r="A99" s="1411"/>
      <c r="B99" s="65" t="s">
        <v>1743</v>
      </c>
      <c r="D99" s="387" t="s">
        <v>113</v>
      </c>
      <c r="E99" s="388" t="s">
        <v>1951</v>
      </c>
      <c r="F99" s="427" t="s">
        <v>294</v>
      </c>
      <c r="G99" s="232"/>
      <c r="H99" s="620"/>
      <c r="I99" s="232"/>
      <c r="J99" s="620"/>
      <c r="K99" s="64" t="s">
        <v>1556</v>
      </c>
    </row>
    <row r="100" spans="1:11" s="9" customFormat="1" ht="22.5" hidden="1" customHeight="1">
      <c r="A100" s="1411"/>
      <c r="B100" s="65" t="s">
        <v>1743</v>
      </c>
      <c r="D100" s="387" t="s">
        <v>150</v>
      </c>
      <c r="E100" s="388" t="s">
        <v>1952</v>
      </c>
      <c r="F100" s="427" t="s">
        <v>294</v>
      </c>
      <c r="G100" s="232"/>
      <c r="H100" s="620"/>
      <c r="I100" s="232"/>
      <c r="J100" s="620"/>
      <c r="K100" s="64" t="s">
        <v>1556</v>
      </c>
    </row>
    <row r="101" spans="1:11" s="9" customFormat="1" ht="11.25" customHeight="1">
      <c r="A101" s="314"/>
      <c r="B101" s="65"/>
      <c r="D101" s="1"/>
      <c r="E101" s="203"/>
    </row>
  </sheetData>
  <sheetProtection formatColumns="0" formatRows="0" insertRows="0" deleteColumns="0" deleteRows="0" sort="0" autoFilter="0"/>
  <mergeCells count="18">
    <mergeCell ref="A37:A63"/>
    <mergeCell ref="A65:A75"/>
    <mergeCell ref="A77:A100"/>
    <mergeCell ref="A13:A35"/>
    <mergeCell ref="A11:B11"/>
    <mergeCell ref="D3:F3"/>
    <mergeCell ref="K7:K11"/>
    <mergeCell ref="G7:H7"/>
    <mergeCell ref="E7:F7"/>
    <mergeCell ref="E8:F8"/>
    <mergeCell ref="E9:F9"/>
    <mergeCell ref="G8:H8"/>
    <mergeCell ref="G9:H9"/>
    <mergeCell ref="D4:F4"/>
    <mergeCell ref="I7:J7"/>
    <mergeCell ref="I8:J8"/>
    <mergeCell ref="I9:J9"/>
    <mergeCell ref="D10:J10"/>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xr:uid="{00000000-0002-0000-2B00-000000000000}">
      <formula1>900</formula1>
    </dataValidation>
    <dataValidation type="whole" allowBlank="1" showErrorMessage="1" errorTitle="Ошибка" error="Допускается ввод только неотрицательных целых чисел!" sqref="G16:G17 I16:I17" xr:uid="{00000000-0002-0000-2B00-000001000000}">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xr:uid="{00000000-0002-0000-2B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xr:uid="{00000000-0002-0000-2B00-000003000000}">
      <formula1>900</formula1>
    </dataValidation>
    <dataValidation type="decimal" allowBlank="1" showErrorMessage="1" errorTitle="Ошибка" error="Введите значение от 0 до 100%" sqref="G31 G95 G60 G72 G42:G43 G69:G70 I31 I95 I60 I72 I42:I43 I69:I70" xr:uid="{00000000-0002-0000-2B00-00000400000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xr:uid="{00000000-0002-0000-2B00-000005000000}">
      <formula1>"Не утверждены"</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044DC-2877-5863-5AB6-DA92C630B2A8}">
  <sheetPr>
    <tabColor theme="9" tint="-0.249977111117893"/>
  </sheetPr>
  <dimension ref="A1:AD15"/>
  <sheetViews>
    <sheetView showGridLines="0" topLeftCell="E4" zoomScale="85" workbookViewId="0"/>
  </sheetViews>
  <sheetFormatPr defaultColWidth="9.140625" defaultRowHeight="10.5" customHeight="1"/>
  <cols>
    <col min="1" max="3" width="6.7109375" style="314" hidden="1" customWidth="1"/>
    <col min="4" max="4" width="6.7109375" style="60" hidden="1" customWidth="1"/>
    <col min="5" max="5" width="3.7109375" style="9" customWidth="1"/>
    <col min="6" max="6" width="6.28515625" style="9" customWidth="1"/>
    <col min="7" max="7" width="37.7109375" style="9" customWidth="1"/>
    <col min="8" max="8" width="16.5703125" style="9" customWidth="1"/>
    <col min="9" max="10" width="19.7109375" style="9" customWidth="1"/>
    <col min="11" max="11" width="25" style="9" customWidth="1"/>
    <col min="12" max="13" width="25.7109375" style="9" customWidth="1"/>
    <col min="14" max="16" width="17.7109375" style="9" customWidth="1"/>
    <col min="17" max="24" width="19.7109375" style="9" customWidth="1"/>
    <col min="25" max="25" width="8" style="9" customWidth="1"/>
    <col min="26" max="26" width="3.28515625" style="9" customWidth="1"/>
    <col min="27" max="27" width="6.28515625" style="9" customWidth="1"/>
    <col min="28" max="28" width="34.140625" style="9" customWidth="1"/>
    <col min="29" max="30" width="9.140625" style="9"/>
  </cols>
  <sheetData>
    <row r="1" spans="1:30" s="60" customFormat="1" ht="10.5" hidden="1" customHeight="1">
      <c r="A1" s="314"/>
      <c r="B1" s="314"/>
      <c r="C1" s="314"/>
    </row>
    <row r="2" spans="1:30" ht="10.5" hidden="1" customHeight="1"/>
    <row r="3" spans="1:30" s="6" customFormat="1" ht="10.5" hidden="1" customHeight="1">
      <c r="A3" s="314"/>
      <c r="B3" s="314"/>
      <c r="C3" s="314"/>
      <c r="D3" s="60"/>
    </row>
    <row r="4" spans="1:30" ht="3" customHeight="1"/>
    <row r="5" spans="1:30" ht="30" customHeight="1">
      <c r="F5" s="1310" t="s">
        <v>1953</v>
      </c>
      <c r="G5" s="1310"/>
      <c r="H5" s="1310"/>
      <c r="I5" s="1310"/>
      <c r="J5" s="1310"/>
      <c r="K5" s="1310"/>
      <c r="M5" s="15"/>
    </row>
    <row r="6" spans="1:30" s="9" customFormat="1" ht="15.75" customHeight="1">
      <c r="A6" s="314"/>
      <c r="B6" s="314"/>
      <c r="C6" s="314"/>
      <c r="D6" s="60"/>
      <c r="F6" s="1170" t="str">
        <f>IF(org=0,"Не определено",org)</f>
        <v>ИМУП «ПОСЖИЛКОМСЕРВИС»</v>
      </c>
      <c r="G6" s="1170"/>
      <c r="H6" s="1170"/>
      <c r="I6" s="1170"/>
      <c r="J6" s="1170"/>
      <c r="K6" s="1170"/>
      <c r="M6" s="15"/>
    </row>
    <row r="8" spans="1:30" ht="10.5" customHeight="1">
      <c r="F8" s="1065" t="s">
        <v>288</v>
      </c>
      <c r="G8" s="1070"/>
      <c r="H8" s="1070"/>
      <c r="I8" s="1070"/>
      <c r="J8" s="1070"/>
      <c r="K8" s="1070"/>
      <c r="L8" s="1070"/>
      <c r="M8" s="1070"/>
      <c r="N8" s="1070"/>
      <c r="O8" s="1070"/>
      <c r="P8" s="1070"/>
      <c r="Q8" s="1070"/>
      <c r="R8" s="1070"/>
      <c r="S8" s="1070"/>
      <c r="T8" s="1070"/>
      <c r="U8" s="1070"/>
      <c r="V8" s="1070"/>
      <c r="W8" s="1070"/>
      <c r="X8" s="1070"/>
      <c r="Y8" s="1070"/>
      <c r="Z8" s="1070"/>
      <c r="AA8" s="1070"/>
      <c r="AB8" s="1064"/>
    </row>
    <row r="9" spans="1:30" ht="41.25" customHeight="1">
      <c r="A9" s="544"/>
      <c r="B9" s="544"/>
      <c r="C9" s="544"/>
      <c r="F9" s="1083" t="s">
        <v>88</v>
      </c>
      <c r="G9" s="1083" t="s">
        <v>1954</v>
      </c>
      <c r="H9" s="1137" t="s">
        <v>1955</v>
      </c>
      <c r="I9" s="1083" t="s">
        <v>1956</v>
      </c>
      <c r="J9" s="1083" t="s">
        <v>1957</v>
      </c>
      <c r="K9" s="1083" t="s">
        <v>1958</v>
      </c>
      <c r="L9" s="1083" t="s">
        <v>1959</v>
      </c>
      <c r="M9" s="1083" t="s">
        <v>1960</v>
      </c>
      <c r="N9" s="1168" t="s">
        <v>1961</v>
      </c>
      <c r="O9" s="1168"/>
      <c r="P9" s="1168"/>
      <c r="Q9" s="1298" t="s">
        <v>1962</v>
      </c>
      <c r="R9" s="1299"/>
      <c r="S9" s="1299"/>
      <c r="T9" s="1300"/>
      <c r="U9" s="1298" t="s">
        <v>1963</v>
      </c>
      <c r="V9" s="1299"/>
      <c r="W9" s="1299"/>
      <c r="X9" s="1300"/>
      <c r="Y9" s="1065" t="s">
        <v>1964</v>
      </c>
      <c r="Z9" s="1070"/>
      <c r="AA9" s="1070"/>
      <c r="AB9" s="1064"/>
    </row>
    <row r="10" spans="1:30" ht="41.25" customHeight="1">
      <c r="A10" s="544"/>
      <c r="B10" s="544"/>
      <c r="C10" s="544"/>
      <c r="F10" s="1137"/>
      <c r="G10" s="1137"/>
      <c r="H10" s="1193"/>
      <c r="I10" s="1137"/>
      <c r="J10" s="1137"/>
      <c r="K10" s="1137"/>
      <c r="L10" s="1137"/>
      <c r="M10" s="1137"/>
      <c r="N10" s="542" t="s">
        <v>1965</v>
      </c>
      <c r="O10" s="542" t="s">
        <v>1966</v>
      </c>
      <c r="P10" s="543" t="s">
        <v>1967</v>
      </c>
      <c r="Q10" s="542" t="s">
        <v>89</v>
      </c>
      <c r="R10" s="542" t="s">
        <v>1968</v>
      </c>
      <c r="S10" s="542" t="s">
        <v>1969</v>
      </c>
      <c r="T10" s="546" t="s">
        <v>1970</v>
      </c>
      <c r="U10" s="542" t="s">
        <v>89</v>
      </c>
      <c r="V10" s="542" t="s">
        <v>1971</v>
      </c>
      <c r="W10" s="542" t="s">
        <v>1969</v>
      </c>
      <c r="X10" s="546" t="s">
        <v>1970</v>
      </c>
      <c r="Y10" s="171" t="s">
        <v>1972</v>
      </c>
      <c r="Z10" s="1065" t="s">
        <v>88</v>
      </c>
      <c r="AA10" s="1064"/>
      <c r="AB10" s="39" t="s">
        <v>1973</v>
      </c>
    </row>
    <row r="11" spans="1:30" s="65" customFormat="1" ht="5.25" hidden="1" customHeight="1">
      <c r="A11" s="324"/>
      <c r="B11" s="324"/>
      <c r="C11" s="324"/>
      <c r="E11" s="119"/>
      <c r="F11" s="1271" t="s">
        <v>366</v>
      </c>
      <c r="G11" s="1370"/>
      <c r="H11" s="1412"/>
      <c r="I11" s="1412"/>
      <c r="J11" s="1412"/>
      <c r="K11" s="1222"/>
      <c r="L11" s="1222"/>
      <c r="M11" s="1222"/>
      <c r="N11" s="1412"/>
      <c r="O11" s="1412"/>
      <c r="P11" s="1083"/>
      <c r="Q11" s="1147"/>
      <c r="R11" s="1147"/>
      <c r="S11" s="1147"/>
      <c r="T11" s="1412"/>
      <c r="U11" s="1147"/>
      <c r="V11" s="1147"/>
      <c r="W11" s="1147"/>
      <c r="X11" s="1412"/>
      <c r="Y11" s="1094"/>
      <c r="Z11" s="1094"/>
      <c r="AA11" s="1094"/>
      <c r="AB11" s="1094"/>
      <c r="AD11" s="65" t="s">
        <v>1974</v>
      </c>
    </row>
    <row r="12" spans="1:30" s="65" customFormat="1" ht="5.25" hidden="1" customHeight="1">
      <c r="A12" s="324"/>
      <c r="B12" s="324"/>
      <c r="C12" s="324"/>
      <c r="F12" s="1271"/>
      <c r="G12" s="1370"/>
      <c r="H12" s="1412"/>
      <c r="I12" s="1412"/>
      <c r="J12" s="1412"/>
      <c r="K12" s="1222"/>
      <c r="L12" s="1222"/>
      <c r="M12" s="1222"/>
      <c r="N12" s="1412"/>
      <c r="O12" s="1412"/>
      <c r="P12" s="1083"/>
      <c r="Q12" s="1147"/>
      <c r="R12" s="1147"/>
      <c r="S12" s="1147"/>
      <c r="T12" s="1412"/>
      <c r="U12" s="1147"/>
      <c r="V12" s="1147"/>
      <c r="W12" s="1147"/>
      <c r="X12" s="1412"/>
      <c r="Y12" s="1413"/>
      <c r="Z12" s="1413"/>
      <c r="AA12" s="1413"/>
      <c r="AB12" s="1413"/>
    </row>
    <row r="13" spans="1:30" ht="10.5" customHeight="1">
      <c r="F13" s="168"/>
      <c r="G13" s="107" t="s">
        <v>1975</v>
      </c>
      <c r="H13" s="107"/>
      <c r="I13" s="345"/>
      <c r="J13" s="345"/>
      <c r="K13" s="345"/>
      <c r="L13" s="345"/>
      <c r="M13" s="345"/>
      <c r="N13" s="345"/>
      <c r="O13" s="345"/>
      <c r="P13" s="345"/>
      <c r="Q13" s="345"/>
      <c r="R13" s="345"/>
      <c r="S13" s="345"/>
      <c r="T13" s="345"/>
      <c r="U13" s="345"/>
      <c r="V13" s="345"/>
      <c r="W13" s="345"/>
      <c r="X13" s="345"/>
      <c r="Y13" s="345"/>
      <c r="Z13" s="409"/>
      <c r="AA13" s="409"/>
      <c r="AB13" s="547"/>
    </row>
    <row r="15" spans="1:30" s="65" customFormat="1" ht="10.5" customHeight="1">
      <c r="A15" s="324"/>
      <c r="B15" s="324"/>
      <c r="C15" s="324"/>
      <c r="H15" s="65">
        <f>IFERROR(MATCH("нет",IP_MAIN_DIFFERENTIATION_EVENTS_FLAG,0),0)</f>
        <v>0</v>
      </c>
    </row>
  </sheetData>
  <sheetProtection formatColumns="0" formatRows="0" insertRows="0" deleteColumns="0" deleteRows="0" sort="0" autoFilter="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661F38-9AA3-5D03-EE33-EB92FAC400BA}">
  <sheetPr>
    <tabColor theme="9" tint="-0.249977111117893"/>
  </sheetPr>
  <dimension ref="A1:BF19"/>
  <sheetViews>
    <sheetView showGridLines="0" topLeftCell="E4" zoomScale="90" workbookViewId="0"/>
  </sheetViews>
  <sheetFormatPr defaultColWidth="9.140625" defaultRowHeight="10.5" customHeight="1"/>
  <cols>
    <col min="1" max="3" width="4.140625" style="314" hidden="1" customWidth="1"/>
    <col min="4" max="4" width="4.140625" style="60" hidden="1" customWidth="1"/>
    <col min="5" max="5" width="3.7109375" style="9" customWidth="1"/>
    <col min="6" max="6" width="14.42578125" style="9" customWidth="1"/>
    <col min="7" max="7" width="3.7109375" style="9" customWidth="1"/>
    <col min="8" max="8" width="7.7109375" style="9" customWidth="1"/>
    <col min="9" max="10" width="16.7109375" style="9" customWidth="1"/>
    <col min="11" max="11" width="25.7109375" style="9" customWidth="1"/>
    <col min="12" max="12" width="8" style="9" customWidth="1"/>
    <col min="13" max="13" width="15.5703125" style="9" customWidth="1"/>
    <col min="14" max="14" width="3.28515625" style="9" customWidth="1"/>
    <col min="15" max="15" width="4.7109375" style="9" customWidth="1"/>
    <col min="16" max="16" width="9" style="9" customWidth="1"/>
    <col min="17" max="17" width="21.7109375" style="9" customWidth="1"/>
    <col min="18" max="18" width="14.7109375" style="9" customWidth="1"/>
    <col min="19" max="20" width="17.7109375" style="9" customWidth="1"/>
    <col min="21" max="21" width="9.7109375" style="9" customWidth="1"/>
    <col min="22" max="22" width="12.7109375" style="9" customWidth="1"/>
    <col min="23" max="23" width="9.7109375" style="9" customWidth="1"/>
    <col min="24" max="24" width="21.7109375" style="9" customWidth="1"/>
    <col min="25" max="25" width="12.7109375" style="9" customWidth="1"/>
    <col min="26" max="26" width="3.28515625" style="9" customWidth="1"/>
    <col min="27" max="27" width="7.140625" style="9" customWidth="1"/>
    <col min="28" max="28" width="38.42578125" style="9" customWidth="1"/>
    <col min="29" max="29" width="15.7109375" style="9" customWidth="1"/>
    <col min="30" max="30" width="37.5703125" style="9" customWidth="1"/>
    <col min="31" max="31" width="15.7109375" style="9" customWidth="1"/>
    <col min="32" max="37" width="16.7109375" style="9" customWidth="1"/>
    <col min="38" max="58" width="9.140625" style="9"/>
  </cols>
  <sheetData>
    <row r="1" spans="1:58" s="60" customFormat="1" ht="10.5" hidden="1" customHeight="1">
      <c r="A1" s="314"/>
      <c r="B1" s="314"/>
      <c r="C1" s="314"/>
    </row>
    <row r="2" spans="1:58" ht="10.5" hidden="1" customHeight="1"/>
    <row r="3" spans="1:58" s="6" customFormat="1" ht="10.5" hidden="1" customHeight="1">
      <c r="A3" s="314"/>
      <c r="B3" s="314"/>
      <c r="C3" s="314"/>
      <c r="D3" s="60"/>
    </row>
    <row r="4" spans="1:58" ht="3" customHeight="1"/>
    <row r="5" spans="1:58" ht="30" customHeight="1">
      <c r="F5" s="1310" t="s">
        <v>1953</v>
      </c>
      <c r="G5" s="1310"/>
      <c r="H5" s="1310"/>
      <c r="I5" s="1310"/>
      <c r="J5" s="1310"/>
      <c r="K5" s="1310"/>
      <c r="L5" s="686"/>
      <c r="M5" s="686"/>
    </row>
    <row r="6" spans="1:58" ht="10.5" customHeight="1">
      <c r="F6" s="1170" t="str">
        <f>IF(org=0,"Не определено",org)</f>
        <v>ИМУП «ПОСЖИЛКОМСЕРВИС»</v>
      </c>
      <c r="G6" s="1170"/>
      <c r="H6" s="1170"/>
      <c r="I6" s="1170"/>
      <c r="J6" s="1170"/>
      <c r="K6" s="1170"/>
      <c r="L6" s="686"/>
      <c r="M6" s="686"/>
    </row>
    <row r="7" spans="1:58" ht="11.25" customHeight="1">
      <c r="E7" s="8"/>
      <c r="F7" s="548"/>
      <c r="G7" s="548"/>
      <c r="H7" s="548"/>
      <c r="I7" s="548"/>
      <c r="J7" s="548"/>
      <c r="K7" s="550"/>
      <c r="L7" s="550"/>
      <c r="M7" s="550"/>
      <c r="N7" s="548"/>
      <c r="O7" s="548"/>
      <c r="P7" s="548"/>
      <c r="Q7" s="550"/>
      <c r="R7" s="548"/>
      <c r="S7" s="548"/>
      <c r="T7" s="548"/>
      <c r="U7" s="548"/>
      <c r="V7" s="548"/>
      <c r="W7" s="548"/>
      <c r="X7" s="548"/>
      <c r="Y7" s="548"/>
      <c r="Z7" s="548"/>
      <c r="AA7" s="548"/>
      <c r="AB7" s="548"/>
      <c r="AC7" s="549"/>
      <c r="AD7" s="549"/>
      <c r="AE7" s="549"/>
      <c r="AF7" s="548"/>
      <c r="AG7" s="548"/>
      <c r="AH7" s="548"/>
      <c r="AI7" s="548"/>
      <c r="AJ7" s="548"/>
      <c r="AK7" s="548"/>
      <c r="AL7" s="60"/>
      <c r="AM7" s="60"/>
      <c r="AN7" s="60"/>
      <c r="AO7" s="2"/>
      <c r="AP7" s="2"/>
      <c r="AQ7" s="2"/>
      <c r="AR7" s="2"/>
      <c r="AS7" s="2"/>
      <c r="AT7" s="2"/>
      <c r="AU7" s="2"/>
      <c r="AV7" s="2"/>
      <c r="AW7" s="2"/>
      <c r="AX7" s="2"/>
      <c r="AY7" s="2"/>
      <c r="AZ7" s="2"/>
      <c r="BA7" s="2"/>
      <c r="BB7" s="2"/>
      <c r="BC7" s="2"/>
      <c r="BD7" s="2"/>
      <c r="BE7" s="2"/>
      <c r="BF7" s="2"/>
    </row>
    <row r="8" spans="1:58" ht="10.5" customHeight="1">
      <c r="E8" s="8"/>
      <c r="F8" s="1417" t="s">
        <v>288</v>
      </c>
      <c r="G8" s="1418"/>
      <c r="H8" s="1418"/>
      <c r="I8" s="1418"/>
      <c r="J8" s="1418"/>
      <c r="K8" s="1418"/>
      <c r="L8" s="1418"/>
      <c r="M8" s="1418"/>
      <c r="N8" s="1418"/>
      <c r="O8" s="1418"/>
      <c r="P8" s="1418"/>
      <c r="Q8" s="1418"/>
      <c r="R8" s="1418"/>
      <c r="S8" s="1418"/>
      <c r="T8" s="1418"/>
      <c r="U8" s="1418"/>
      <c r="V8" s="1418"/>
      <c r="W8" s="1418"/>
      <c r="X8" s="1418"/>
      <c r="Y8" s="1418"/>
      <c r="Z8" s="1418"/>
      <c r="AA8" s="1418"/>
      <c r="AB8" s="1418"/>
      <c r="AC8" s="1418"/>
      <c r="AD8" s="1418"/>
      <c r="AE8" s="1418"/>
      <c r="AF8" s="1418"/>
      <c r="AG8" s="1418"/>
      <c r="AH8" s="1418"/>
      <c r="AI8" s="1418"/>
      <c r="AJ8" s="1418"/>
      <c r="AK8" s="1419"/>
      <c r="AL8" s="545"/>
      <c r="AM8" s="2"/>
      <c r="AN8" s="2"/>
      <c r="AO8" s="2"/>
      <c r="AP8" s="2"/>
      <c r="AQ8" s="2"/>
      <c r="AR8" s="2"/>
      <c r="AS8" s="2"/>
      <c r="AT8" s="2"/>
      <c r="AU8" s="2"/>
      <c r="AV8" s="2"/>
      <c r="AW8" s="2"/>
      <c r="AX8" s="2"/>
      <c r="AY8" s="2"/>
      <c r="AZ8" s="2"/>
      <c r="BA8" s="2"/>
      <c r="BB8" s="2"/>
      <c r="BC8" s="2"/>
      <c r="BD8" s="2"/>
      <c r="BE8" s="2"/>
      <c r="BF8" s="2"/>
    </row>
    <row r="9" spans="1:58" ht="23.25" customHeight="1">
      <c r="A9" s="544"/>
      <c r="B9" s="544"/>
      <c r="C9" s="544"/>
      <c r="E9" s="8"/>
      <c r="F9" s="1168" t="s">
        <v>1976</v>
      </c>
      <c r="G9" s="1340" t="s">
        <v>1977</v>
      </c>
      <c r="H9" s="1415"/>
      <c r="I9" s="1083" t="s">
        <v>1978</v>
      </c>
      <c r="J9" s="1083"/>
      <c r="K9" s="1083" t="s">
        <v>1979</v>
      </c>
      <c r="L9" s="1083"/>
      <c r="M9" s="1083"/>
      <c r="N9" s="1083"/>
      <c r="O9" s="1083"/>
      <c r="P9" s="1083"/>
      <c r="Q9" s="1083"/>
      <c r="R9" s="1083"/>
      <c r="S9" s="1083"/>
      <c r="T9" s="1083"/>
      <c r="U9" s="1083"/>
      <c r="V9" s="1083"/>
      <c r="W9" s="1083"/>
      <c r="X9" s="1083"/>
      <c r="Y9" s="1083"/>
      <c r="Z9" s="1138" t="s">
        <v>1980</v>
      </c>
      <c r="AA9" s="1139"/>
      <c r="AB9" s="1083" t="s">
        <v>1981</v>
      </c>
      <c r="AC9" s="1083"/>
      <c r="AD9" s="1083"/>
      <c r="AE9" s="1083"/>
      <c r="AF9" s="1137" t="s">
        <v>1982</v>
      </c>
      <c r="AG9" s="1083" t="s">
        <v>1983</v>
      </c>
      <c r="AH9" s="1083"/>
      <c r="AI9" s="1137" t="s">
        <v>1984</v>
      </c>
      <c r="AJ9" s="1083" t="s">
        <v>1985</v>
      </c>
      <c r="AK9" s="1083"/>
      <c r="AM9" s="2"/>
      <c r="AN9" s="2"/>
      <c r="AO9" s="2"/>
      <c r="AP9" s="2"/>
      <c r="AQ9" s="2"/>
      <c r="AR9" s="2"/>
      <c r="AS9" s="2"/>
      <c r="AT9" s="2"/>
      <c r="AU9" s="2"/>
      <c r="AV9" s="2"/>
      <c r="AW9" s="2"/>
      <c r="AX9" s="2"/>
      <c r="AY9" s="2"/>
      <c r="AZ9" s="2"/>
      <c r="BA9" s="2"/>
      <c r="BB9" s="2"/>
      <c r="BC9" s="2"/>
      <c r="BD9" s="2"/>
      <c r="BE9" s="2"/>
      <c r="BF9" s="2"/>
    </row>
    <row r="10" spans="1:58" ht="23.25" customHeight="1">
      <c r="A10" s="544"/>
      <c r="B10" s="544"/>
      <c r="C10" s="544"/>
      <c r="E10" s="8"/>
      <c r="F10" s="1168"/>
      <c r="G10" s="1341"/>
      <c r="H10" s="1169"/>
      <c r="I10" s="1083"/>
      <c r="J10" s="1083"/>
      <c r="K10" s="1083" t="s">
        <v>1986</v>
      </c>
      <c r="L10" s="1065" t="s">
        <v>1987</v>
      </c>
      <c r="M10" s="1064"/>
      <c r="N10" s="1083" t="s">
        <v>1988</v>
      </c>
      <c r="O10" s="1083"/>
      <c r="P10" s="1083"/>
      <c r="Q10" s="1083"/>
      <c r="R10" s="1083"/>
      <c r="S10" s="1083"/>
      <c r="T10" s="1083"/>
      <c r="U10" s="1083"/>
      <c r="V10" s="1083"/>
      <c r="W10" s="1083"/>
      <c r="X10" s="1083"/>
      <c r="Y10" s="1083"/>
      <c r="Z10" s="1140"/>
      <c r="AA10" s="1141"/>
      <c r="AB10" s="1083"/>
      <c r="AC10" s="1083"/>
      <c r="AD10" s="1083"/>
      <c r="AE10" s="1083"/>
      <c r="AF10" s="1142"/>
      <c r="AG10" s="1083"/>
      <c r="AH10" s="1083"/>
      <c r="AI10" s="1142"/>
      <c r="AJ10" s="1083"/>
      <c r="AK10" s="1083"/>
      <c r="AM10" s="2"/>
      <c r="AN10" s="2"/>
      <c r="AO10" s="2"/>
      <c r="AP10" s="2"/>
      <c r="AQ10" s="2"/>
      <c r="AR10" s="2"/>
      <c r="AS10" s="2"/>
      <c r="AT10" s="2"/>
      <c r="AU10" s="2"/>
      <c r="AV10" s="2"/>
      <c r="AW10" s="2"/>
      <c r="AX10" s="2"/>
      <c r="AY10" s="2"/>
      <c r="AZ10" s="2"/>
      <c r="BA10" s="2"/>
      <c r="BB10" s="2"/>
      <c r="BC10" s="2"/>
      <c r="BD10" s="2"/>
      <c r="BE10" s="2"/>
      <c r="BF10" s="2"/>
    </row>
    <row r="11" spans="1:58" s="9" customFormat="1" ht="23.25" customHeight="1">
      <c r="A11" s="544"/>
      <c r="B11" s="544"/>
      <c r="C11" s="544"/>
      <c r="D11" s="60"/>
      <c r="E11" s="8"/>
      <c r="F11" s="1168"/>
      <c r="G11" s="1341"/>
      <c r="H11" s="1169"/>
      <c r="I11" s="1083"/>
      <c r="J11" s="1083"/>
      <c r="K11" s="1083"/>
      <c r="L11" s="1137" t="s">
        <v>1989</v>
      </c>
      <c r="M11" s="1137" t="s">
        <v>1990</v>
      </c>
      <c r="N11" s="1083" t="s">
        <v>1991</v>
      </c>
      <c r="O11" s="1083"/>
      <c r="P11" s="1135" t="s">
        <v>1972</v>
      </c>
      <c r="Q11" s="1135" t="s">
        <v>1992</v>
      </c>
      <c r="R11" s="1135" t="s">
        <v>1993</v>
      </c>
      <c r="S11" s="1135" t="s">
        <v>1994</v>
      </c>
      <c r="T11" s="1135"/>
      <c r="U11" s="1135"/>
      <c r="V11" s="1135"/>
      <c r="W11" s="1135"/>
      <c r="X11" s="1135"/>
      <c r="Y11" s="1135"/>
      <c r="Z11" s="1140"/>
      <c r="AA11" s="1141"/>
      <c r="AB11" s="1083" t="s">
        <v>1995</v>
      </c>
      <c r="AC11" s="1083"/>
      <c r="AD11" s="1065" t="s">
        <v>1996</v>
      </c>
      <c r="AE11" s="1064"/>
      <c r="AF11" s="1142"/>
      <c r="AG11" s="1083"/>
      <c r="AH11" s="1083"/>
      <c r="AI11" s="1142"/>
      <c r="AJ11" s="1083"/>
      <c r="AK11" s="1083"/>
      <c r="AM11" s="2"/>
      <c r="AN11" s="2"/>
      <c r="AO11" s="2"/>
      <c r="AP11" s="2"/>
      <c r="AQ11" s="2"/>
      <c r="AR11" s="2"/>
      <c r="AS11" s="2"/>
      <c r="AT11" s="2"/>
      <c r="AU11" s="2"/>
      <c r="AV11" s="2"/>
      <c r="AW11" s="2"/>
      <c r="AX11" s="2"/>
      <c r="AY11" s="2"/>
      <c r="AZ11" s="2"/>
      <c r="BA11" s="2"/>
      <c r="BB11" s="2"/>
      <c r="BC11" s="2"/>
      <c r="BD11" s="2"/>
      <c r="BE11" s="2"/>
      <c r="BF11" s="2"/>
    </row>
    <row r="12" spans="1:58" ht="33.75" customHeight="1">
      <c r="A12" s="544"/>
      <c r="B12" s="544"/>
      <c r="C12" s="544"/>
      <c r="E12" s="8"/>
      <c r="F12" s="1168"/>
      <c r="G12" s="1342"/>
      <c r="H12" s="1416"/>
      <c r="I12" s="39" t="s">
        <v>89</v>
      </c>
      <c r="J12" s="39" t="s">
        <v>1997</v>
      </c>
      <c r="K12" s="1083"/>
      <c r="L12" s="1193"/>
      <c r="M12" s="1193"/>
      <c r="N12" s="1083"/>
      <c r="O12" s="1083"/>
      <c r="P12" s="1135"/>
      <c r="Q12" s="1135"/>
      <c r="R12" s="1135"/>
      <c r="S12" s="37" t="s">
        <v>86</v>
      </c>
      <c r="T12" s="37" t="s">
        <v>87</v>
      </c>
      <c r="U12" s="37" t="s">
        <v>85</v>
      </c>
      <c r="V12" s="37" t="s">
        <v>1998</v>
      </c>
      <c r="W12" s="37" t="s">
        <v>85</v>
      </c>
      <c r="X12" s="37" t="s">
        <v>1999</v>
      </c>
      <c r="Y12" s="37" t="s">
        <v>2000</v>
      </c>
      <c r="Z12" s="1143"/>
      <c r="AA12" s="1144"/>
      <c r="AB12" s="39" t="s">
        <v>2001</v>
      </c>
      <c r="AC12" s="39" t="s">
        <v>2002</v>
      </c>
      <c r="AD12" s="39" t="s">
        <v>2001</v>
      </c>
      <c r="AE12" s="39" t="s">
        <v>2002</v>
      </c>
      <c r="AF12" s="1193"/>
      <c r="AG12" s="39" t="s">
        <v>2003</v>
      </c>
      <c r="AH12" s="39" t="s">
        <v>2004</v>
      </c>
      <c r="AI12" s="1193"/>
      <c r="AJ12" s="39" t="s">
        <v>2003</v>
      </c>
      <c r="AK12" s="39" t="s">
        <v>2004</v>
      </c>
      <c r="AM12" s="2"/>
      <c r="AN12" s="2"/>
      <c r="AO12" s="2"/>
      <c r="AP12" s="2"/>
      <c r="AQ12" s="2"/>
      <c r="AR12" s="2"/>
      <c r="AS12" s="2"/>
      <c r="AT12" s="2"/>
      <c r="AU12" s="2"/>
      <c r="AV12" s="2"/>
      <c r="AW12" s="2"/>
      <c r="AX12" s="2"/>
      <c r="AY12" s="2"/>
      <c r="AZ12" s="2"/>
      <c r="BA12" s="2"/>
      <c r="BB12" s="2"/>
      <c r="BC12" s="2"/>
      <c r="BD12" s="2"/>
      <c r="BE12" s="2"/>
      <c r="BF12" s="2"/>
    </row>
    <row r="13" spans="1:58" ht="0.75" customHeight="1">
      <c r="E13" s="8"/>
      <c r="F13" s="8">
        <v>0</v>
      </c>
      <c r="G13" s="8"/>
      <c r="H13" s="8"/>
      <c r="I13" s="8"/>
      <c r="J13" s="8"/>
      <c r="AL13" s="545"/>
      <c r="AM13" s="2"/>
      <c r="AN13" s="2"/>
      <c r="AO13" s="2"/>
      <c r="AP13" s="2"/>
      <c r="AQ13" s="2"/>
      <c r="AR13" s="2"/>
      <c r="AS13" s="2"/>
      <c r="AT13" s="2"/>
      <c r="AU13" s="2"/>
      <c r="AV13" s="2"/>
      <c r="AW13" s="2"/>
      <c r="AX13" s="2"/>
      <c r="AY13" s="2"/>
      <c r="AZ13" s="2"/>
      <c r="BA13" s="2"/>
      <c r="BB13" s="2"/>
      <c r="BC13" s="2"/>
      <c r="BD13" s="2"/>
      <c r="BE13" s="2"/>
      <c r="BF13" s="2"/>
    </row>
    <row r="14" spans="1:58" ht="10.5" customHeight="1">
      <c r="E14" s="2"/>
      <c r="AL14" s="2"/>
      <c r="AM14" s="2"/>
      <c r="AN14" s="2"/>
      <c r="AO14" s="2"/>
      <c r="AP14" s="2"/>
      <c r="AQ14" s="2"/>
      <c r="AR14" s="2"/>
      <c r="AS14" s="2"/>
      <c r="AT14" s="2"/>
      <c r="AU14" s="2"/>
      <c r="AV14" s="2"/>
      <c r="AW14" s="2"/>
      <c r="AX14" s="2"/>
      <c r="AY14" s="2"/>
      <c r="AZ14" s="2"/>
      <c r="BA14" s="2"/>
      <c r="BB14" s="2"/>
      <c r="BC14" s="2"/>
      <c r="BD14" s="2"/>
      <c r="BE14" s="2"/>
      <c r="BF14" s="2"/>
    </row>
    <row r="15" spans="1:58" ht="12.75" customHeight="1">
      <c r="E15" s="2"/>
      <c r="F15" s="15" t="s">
        <v>2005</v>
      </c>
      <c r="G15" s="15"/>
      <c r="H15" s="15"/>
      <c r="I15" s="15"/>
      <c r="J15" s="15"/>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row>
    <row r="17" spans="5:58" ht="10.5" customHeight="1">
      <c r="E17" s="2"/>
      <c r="F17" s="1414"/>
      <c r="G17" s="1414"/>
      <c r="H17" s="1414"/>
      <c r="I17" s="1414"/>
      <c r="J17" s="1414"/>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row>
    <row r="18" spans="5:58" ht="10.5" customHeight="1">
      <c r="E18" s="2"/>
      <c r="F18" s="1414"/>
      <c r="G18" s="1414"/>
      <c r="H18" s="1414"/>
      <c r="I18" s="1414"/>
      <c r="J18" s="1414"/>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row>
    <row r="19" spans="5:58" ht="10.5" customHeight="1">
      <c r="E19" s="2"/>
      <c r="F19" s="1414"/>
      <c r="G19" s="1414"/>
      <c r="H19" s="1414"/>
      <c r="I19" s="1414"/>
      <c r="J19" s="1414"/>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row>
  </sheetData>
  <sheetProtection formatColumns="0" formatRows="0" insertRows="0" deleteColumns="0" deleteRows="0" sort="0" autoFilter="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FB79C-E6AD-A15B-33D8-8C803683DC55}">
  <sheetPr>
    <tabColor theme="9" tint="-0.249977111117893"/>
  </sheetPr>
  <dimension ref="A1:V58"/>
  <sheetViews>
    <sheetView showGridLines="0" topLeftCell="E4" zoomScale="85" workbookViewId="0"/>
  </sheetViews>
  <sheetFormatPr defaultColWidth="9.140625" defaultRowHeight="10.5" customHeight="1"/>
  <cols>
    <col min="1" max="3" width="4.140625" style="314" hidden="1" customWidth="1"/>
    <col min="4" max="4" width="4.140625" style="60" hidden="1" customWidth="1"/>
    <col min="5" max="5" width="3.7109375" style="9" customWidth="1"/>
    <col min="6" max="6" width="6.28515625" style="9" customWidth="1"/>
    <col min="7" max="7" width="60.140625" style="9" customWidth="1"/>
    <col min="8" max="9" width="21.7109375" style="9" hidden="1" customWidth="1"/>
    <col min="10" max="10" width="0.140625" style="9" customWidth="1"/>
    <col min="11" max="11" width="1.7109375" style="9" customWidth="1"/>
    <col min="12" max="22" width="9.140625" style="9"/>
  </cols>
  <sheetData>
    <row r="1" spans="1:22" s="60" customFormat="1" ht="10.5" hidden="1" customHeight="1">
      <c r="A1" s="314"/>
      <c r="B1" s="314"/>
      <c r="C1" s="314"/>
    </row>
    <row r="2" spans="1:22" ht="10.5" hidden="1" customHeight="1"/>
    <row r="3" spans="1:22" s="6" customFormat="1" ht="10.5" hidden="1" customHeight="1">
      <c r="A3" s="314"/>
      <c r="B3" s="314"/>
      <c r="C3" s="314"/>
      <c r="D3" s="60"/>
    </row>
    <row r="4" spans="1:22" ht="3" customHeight="1"/>
    <row r="5" spans="1:22" ht="30" customHeight="1">
      <c r="F5" s="1310" t="s">
        <v>2006</v>
      </c>
      <c r="G5" s="1310"/>
      <c r="H5" s="1310"/>
      <c r="I5" s="1310"/>
      <c r="J5" s="1310"/>
    </row>
    <row r="6" spans="1:22" ht="10.5" customHeight="1">
      <c r="F6" s="1170" t="str">
        <f>IF(org=0,"Не определено",org)</f>
        <v>ИМУП «ПОСЖИЛКОМСЕРВИС»</v>
      </c>
      <c r="G6" s="1170"/>
      <c r="H6" s="1170"/>
      <c r="I6" s="1170"/>
      <c r="J6" s="1170"/>
    </row>
    <row r="7" spans="1:22" ht="11.25" customHeight="1">
      <c r="E7" s="8"/>
      <c r="F7" s="731"/>
      <c r="G7" s="731"/>
      <c r="H7" s="731"/>
      <c r="I7" s="731"/>
      <c r="J7" s="731"/>
      <c r="K7" s="2"/>
      <c r="L7" s="2"/>
      <c r="M7" s="2"/>
      <c r="N7" s="2"/>
      <c r="O7" s="2"/>
      <c r="P7" s="2"/>
      <c r="Q7" s="2"/>
      <c r="R7" s="2"/>
      <c r="S7" s="2"/>
      <c r="T7" s="2"/>
      <c r="U7" s="2"/>
      <c r="V7" s="2"/>
    </row>
    <row r="8" spans="1:22" s="65" customFormat="1" ht="5.25" customHeight="1">
      <c r="A8" s="324"/>
      <c r="B8" s="324"/>
      <c r="C8" s="324"/>
      <c r="E8" s="101"/>
      <c r="F8" s="732"/>
      <c r="G8" s="732"/>
      <c r="H8" s="732"/>
      <c r="I8" s="732"/>
      <c r="J8" s="732"/>
      <c r="K8" s="101"/>
      <c r="L8" s="101"/>
      <c r="M8" s="101"/>
      <c r="N8" s="101"/>
      <c r="O8" s="101"/>
      <c r="P8" s="101"/>
      <c r="Q8" s="101"/>
      <c r="R8" s="101"/>
      <c r="S8" s="101"/>
      <c r="T8" s="101"/>
      <c r="U8" s="101"/>
      <c r="V8" s="101"/>
    </row>
    <row r="9" spans="1:22" ht="10.5" customHeight="1">
      <c r="E9" s="8"/>
      <c r="F9" s="1420" t="s">
        <v>288</v>
      </c>
      <c r="G9" s="1421"/>
      <c r="H9" s="1421"/>
      <c r="I9" s="1421"/>
      <c r="J9" s="1421"/>
      <c r="K9" s="739"/>
      <c r="L9" s="2"/>
      <c r="M9" s="2"/>
      <c r="N9" s="2"/>
      <c r="O9" s="2"/>
      <c r="P9" s="2"/>
      <c r="Q9" s="2"/>
      <c r="R9" s="2"/>
      <c r="S9" s="2"/>
      <c r="T9" s="2"/>
      <c r="U9" s="2"/>
      <c r="V9" s="2"/>
    </row>
    <row r="10" spans="1:22" ht="24" customHeight="1">
      <c r="E10" s="2"/>
      <c r="F10" s="1424" t="s">
        <v>88</v>
      </c>
      <c r="G10" s="1428" t="s">
        <v>2007</v>
      </c>
      <c r="H10" s="1412" t="s">
        <v>2008</v>
      </c>
      <c r="I10" s="1412"/>
      <c r="J10" s="1412"/>
      <c r="K10" s="734"/>
      <c r="L10" s="2"/>
      <c r="M10" s="2"/>
      <c r="N10" s="2"/>
      <c r="O10" s="2"/>
      <c r="P10" s="2"/>
      <c r="Q10" s="2"/>
      <c r="R10" s="2"/>
      <c r="S10" s="2"/>
      <c r="T10" s="2"/>
      <c r="U10" s="2"/>
      <c r="V10" s="2"/>
    </row>
    <row r="11" spans="1:22" ht="24" customHeight="1">
      <c r="E11" s="2"/>
      <c r="F11" s="1425"/>
      <c r="G11" s="1428"/>
      <c r="H11" s="1427" t="e">
        <f>INDEX(IP_MAIN_LIST_NAME_IP,MATCH(H8,IP_MAIN_LIST_IP_ID,0))&amp;" ("&amp;INDEX(IP_MAIN_START_DATE,MATCH(H8,IP_MAIN_LIST_IP_ID,0))&amp;"-"&amp;INDEX(IP_MAIN_END_DATE,MATCH(H8,IP_MAIN_LIST_IP_ID,0))&amp;")"</f>
        <v>#N/A</v>
      </c>
      <c r="I11" s="1427"/>
      <c r="J11" s="1427"/>
      <c r="K11" s="734"/>
      <c r="L11" s="2"/>
      <c r="M11" s="2"/>
      <c r="N11" s="2"/>
      <c r="O11" s="2"/>
      <c r="P11" s="2"/>
      <c r="Q11" s="2"/>
      <c r="R11" s="2"/>
      <c r="S11" s="2"/>
      <c r="T11" s="2"/>
      <c r="U11" s="2"/>
      <c r="V11" s="2"/>
    </row>
    <row r="12" spans="1:22" ht="10.5" customHeight="1">
      <c r="F12" s="1426"/>
      <c r="G12" s="1428"/>
      <c r="H12" s="145" t="s">
        <v>2009</v>
      </c>
      <c r="I12" s="733"/>
      <c r="J12" s="145"/>
      <c r="K12" s="735"/>
    </row>
    <row r="13" spans="1:22" ht="10.5" hidden="1" customHeight="1">
      <c r="F13" s="145">
        <v>1</v>
      </c>
      <c r="G13" s="145">
        <v>2</v>
      </c>
      <c r="H13" s="145">
        <v>3</v>
      </c>
      <c r="I13" s="145">
        <v>4</v>
      </c>
      <c r="J13" s="145">
        <v>5</v>
      </c>
      <c r="K13" s="735"/>
    </row>
    <row r="14" spans="1:22" ht="11.25" customHeight="1">
      <c r="F14" s="255" t="s">
        <v>1068</v>
      </c>
      <c r="G14" s="1422" t="s">
        <v>2010</v>
      </c>
      <c r="H14" s="1422"/>
      <c r="I14" s="1422"/>
      <c r="J14" s="1422"/>
      <c r="K14" s="735"/>
    </row>
    <row r="15" spans="1:22" ht="11.25" customHeight="1">
      <c r="F15" s="145">
        <v>1</v>
      </c>
      <c r="G15" s="404" t="s">
        <v>2011</v>
      </c>
      <c r="H15" s="375">
        <f t="shared" ref="H15:H36" si="0">SUM(I15:J15)</f>
        <v>0</v>
      </c>
      <c r="I15" s="375">
        <f>SUM(I16:I27)</f>
        <v>0</v>
      </c>
      <c r="J15" s="255"/>
      <c r="K15" s="735"/>
    </row>
    <row r="16" spans="1:22" ht="22.5" customHeight="1">
      <c r="F16" s="145" t="s">
        <v>427</v>
      </c>
      <c r="G16" s="737" t="s">
        <v>1016</v>
      </c>
      <c r="H16" s="375">
        <f t="shared" si="0"/>
        <v>0</v>
      </c>
      <c r="I16" s="736"/>
      <c r="J16" s="255"/>
      <c r="K16" s="735"/>
    </row>
    <row r="17" spans="6:11" ht="22.5" customHeight="1">
      <c r="F17" s="145" t="s">
        <v>442</v>
      </c>
      <c r="G17" s="737" t="s">
        <v>1021</v>
      </c>
      <c r="H17" s="375">
        <f t="shared" si="0"/>
        <v>0</v>
      </c>
      <c r="I17" s="736"/>
      <c r="J17" s="255"/>
      <c r="K17" s="735"/>
    </row>
    <row r="18" spans="6:11" ht="33.75" customHeight="1">
      <c r="F18" s="145" t="s">
        <v>445</v>
      </c>
      <c r="G18" s="737" t="s">
        <v>1008</v>
      </c>
      <c r="H18" s="375">
        <f t="shared" si="0"/>
        <v>0</v>
      </c>
      <c r="I18" s="736"/>
      <c r="J18" s="255"/>
      <c r="K18" s="735"/>
    </row>
    <row r="19" spans="6:11" ht="33.75" customHeight="1">
      <c r="F19" s="145" t="s">
        <v>2012</v>
      </c>
      <c r="G19" s="737" t="s">
        <v>1047</v>
      </c>
      <c r="H19" s="375">
        <f t="shared" si="0"/>
        <v>0</v>
      </c>
      <c r="I19" s="736"/>
      <c r="J19" s="255"/>
      <c r="K19" s="735"/>
    </row>
    <row r="20" spans="6:11" ht="45" customHeight="1">
      <c r="F20" s="145" t="s">
        <v>2013</v>
      </c>
      <c r="G20" s="737" t="s">
        <v>1051</v>
      </c>
      <c r="H20" s="375">
        <f t="shared" si="0"/>
        <v>0</v>
      </c>
      <c r="I20" s="736"/>
      <c r="J20" s="255"/>
      <c r="K20" s="735"/>
    </row>
    <row r="21" spans="6:11" ht="33.75" customHeight="1">
      <c r="F21" s="145" t="s">
        <v>2014</v>
      </c>
      <c r="G21" s="737" t="s">
        <v>1058</v>
      </c>
      <c r="H21" s="375">
        <f t="shared" si="0"/>
        <v>0</v>
      </c>
      <c r="I21" s="736"/>
      <c r="J21" s="255"/>
      <c r="K21" s="735"/>
    </row>
    <row r="22" spans="6:11" ht="33.75" customHeight="1">
      <c r="F22" s="145" t="s">
        <v>2015</v>
      </c>
      <c r="G22" s="737" t="s">
        <v>1065</v>
      </c>
      <c r="H22" s="375">
        <f t="shared" si="0"/>
        <v>0</v>
      </c>
      <c r="I22" s="736"/>
      <c r="J22" s="255"/>
      <c r="K22" s="735"/>
    </row>
    <row r="23" spans="6:11" ht="22.5" customHeight="1">
      <c r="F23" s="145" t="s">
        <v>2016</v>
      </c>
      <c r="G23" s="737" t="s">
        <v>1070</v>
      </c>
      <c r="H23" s="375">
        <f t="shared" si="0"/>
        <v>0</v>
      </c>
      <c r="I23" s="736"/>
      <c r="J23" s="255"/>
      <c r="K23" s="735"/>
    </row>
    <row r="24" spans="6:11" ht="22.5" customHeight="1">
      <c r="F24" s="145" t="s">
        <v>2017</v>
      </c>
      <c r="G24" s="737" t="s">
        <v>1042</v>
      </c>
      <c r="H24" s="375">
        <f t="shared" si="0"/>
        <v>0</v>
      </c>
      <c r="I24" s="736"/>
      <c r="J24" s="255"/>
      <c r="K24" s="735"/>
    </row>
    <row r="25" spans="6:11" ht="33.75" customHeight="1">
      <c r="F25" s="145" t="s">
        <v>2018</v>
      </c>
      <c r="G25" s="737" t="s">
        <v>1109</v>
      </c>
      <c r="H25" s="375">
        <f t="shared" si="0"/>
        <v>0</v>
      </c>
      <c r="I25" s="736"/>
      <c r="J25" s="255"/>
      <c r="K25" s="735"/>
    </row>
    <row r="26" spans="6:11" ht="33.75" customHeight="1">
      <c r="F26" s="145" t="s">
        <v>2019</v>
      </c>
      <c r="G26" s="737" t="s">
        <v>1111</v>
      </c>
      <c r="H26" s="375">
        <f t="shared" si="0"/>
        <v>0</v>
      </c>
      <c r="I26" s="736"/>
      <c r="J26" s="255"/>
      <c r="K26" s="735"/>
    </row>
    <row r="27" spans="6:11" ht="11.25" customHeight="1">
      <c r="F27" s="145" t="s">
        <v>2020</v>
      </c>
      <c r="G27" s="737" t="s">
        <v>1020</v>
      </c>
      <c r="H27" s="375">
        <f t="shared" si="0"/>
        <v>0</v>
      </c>
      <c r="I27" s="736"/>
      <c r="J27" s="255"/>
      <c r="K27" s="735"/>
    </row>
    <row r="28" spans="6:11" ht="11.25" customHeight="1">
      <c r="F28" s="145">
        <v>2</v>
      </c>
      <c r="G28" s="404" t="s">
        <v>2021</v>
      </c>
      <c r="H28" s="375">
        <f t="shared" si="0"/>
        <v>0</v>
      </c>
      <c r="I28" s="375">
        <f>SUM(I29:I31)</f>
        <v>0</v>
      </c>
      <c r="J28" s="255"/>
      <c r="K28" s="735"/>
    </row>
    <row r="29" spans="6:11" ht="11.25" customHeight="1">
      <c r="F29" s="145" t="s">
        <v>452</v>
      </c>
      <c r="G29" s="737" t="s">
        <v>2022</v>
      </c>
      <c r="H29" s="375">
        <f t="shared" si="0"/>
        <v>0</v>
      </c>
      <c r="I29" s="736"/>
      <c r="J29" s="255"/>
      <c r="K29" s="735"/>
    </row>
    <row r="30" spans="6:11" ht="11.25" customHeight="1">
      <c r="F30" s="145" t="s">
        <v>295</v>
      </c>
      <c r="G30" s="737" t="s">
        <v>1017</v>
      </c>
      <c r="H30" s="375">
        <f t="shared" si="0"/>
        <v>0</v>
      </c>
      <c r="I30" s="736"/>
      <c r="J30" s="255"/>
      <c r="K30" s="735"/>
    </row>
    <row r="31" spans="6:11" ht="11.25" customHeight="1">
      <c r="F31" s="145" t="s">
        <v>298</v>
      </c>
      <c r="G31" s="737" t="s">
        <v>1064</v>
      </c>
      <c r="H31" s="375">
        <f t="shared" si="0"/>
        <v>0</v>
      </c>
      <c r="I31" s="736"/>
      <c r="J31" s="255"/>
      <c r="K31" s="735"/>
    </row>
    <row r="32" spans="6:11" ht="11.25" customHeight="1">
      <c r="F32" s="145">
        <v>3</v>
      </c>
      <c r="G32" s="404" t="s">
        <v>2023</v>
      </c>
      <c r="H32" s="375">
        <f t="shared" si="0"/>
        <v>0</v>
      </c>
      <c r="I32" s="375">
        <f>SUM(I33:I34)</f>
        <v>0</v>
      </c>
      <c r="J32" s="255"/>
      <c r="K32" s="735"/>
    </row>
    <row r="33" spans="6:11" ht="33.75" customHeight="1">
      <c r="F33" s="145" t="s">
        <v>314</v>
      </c>
      <c r="G33" s="737" t="s">
        <v>2024</v>
      </c>
      <c r="H33" s="375">
        <f t="shared" si="0"/>
        <v>0</v>
      </c>
      <c r="I33" s="736"/>
      <c r="J33" s="255"/>
      <c r="K33" s="735"/>
    </row>
    <row r="34" spans="6:11" ht="11.25" customHeight="1">
      <c r="F34" s="145" t="s">
        <v>322</v>
      </c>
      <c r="G34" s="737" t="s">
        <v>2025</v>
      </c>
      <c r="H34" s="375">
        <f t="shared" si="0"/>
        <v>0</v>
      </c>
      <c r="I34" s="736"/>
      <c r="J34" s="255"/>
      <c r="K34" s="735"/>
    </row>
    <row r="35" spans="6:11" ht="11.25" customHeight="1">
      <c r="F35" s="145">
        <v>4</v>
      </c>
      <c r="G35" s="404" t="s">
        <v>2026</v>
      </c>
      <c r="H35" s="375">
        <f t="shared" si="0"/>
        <v>0</v>
      </c>
      <c r="I35" s="736"/>
      <c r="J35" s="255"/>
      <c r="K35" s="735"/>
    </row>
    <row r="36" spans="6:11" ht="11.25" customHeight="1">
      <c r="F36" s="145"/>
      <c r="G36" s="187" t="s">
        <v>2027</v>
      </c>
      <c r="H36" s="375">
        <f t="shared" si="0"/>
        <v>0</v>
      </c>
      <c r="I36" s="375">
        <f>SUM(I15,I28,I32,I35)</f>
        <v>0</v>
      </c>
      <c r="J36" s="255"/>
      <c r="K36" s="735"/>
    </row>
    <row r="37" spans="6:11" ht="27.75" customHeight="1">
      <c r="F37" s="255" t="s">
        <v>1200</v>
      </c>
      <c r="G37" s="1423" t="s">
        <v>2028</v>
      </c>
      <c r="H37" s="1423"/>
      <c r="I37" s="1423"/>
      <c r="J37" s="1423"/>
      <c r="K37" s="735"/>
    </row>
    <row r="38" spans="6:11" ht="22.5" customHeight="1">
      <c r="F38" s="145" t="s">
        <v>110</v>
      </c>
      <c r="G38" s="404" t="s">
        <v>2029</v>
      </c>
      <c r="H38" s="375">
        <f t="shared" ref="H38:H58" si="1">SUM(I38:J38)</f>
        <v>0</v>
      </c>
      <c r="I38" s="375">
        <f>SUM(I39,I44,I47)</f>
        <v>0</v>
      </c>
      <c r="J38" s="255"/>
      <c r="K38" s="735"/>
    </row>
    <row r="39" spans="6:11" ht="11.25" customHeight="1">
      <c r="F39" s="145" t="s">
        <v>427</v>
      </c>
      <c r="G39" s="737" t="s">
        <v>2011</v>
      </c>
      <c r="H39" s="375">
        <f t="shared" si="1"/>
        <v>0</v>
      </c>
      <c r="I39" s="375">
        <f>SUM(I40:I43)</f>
        <v>0</v>
      </c>
      <c r="J39" s="255"/>
      <c r="K39" s="735"/>
    </row>
    <row r="40" spans="6:11" ht="22.5" customHeight="1">
      <c r="F40" s="145" t="s">
        <v>440</v>
      </c>
      <c r="G40" s="738" t="s">
        <v>2030</v>
      </c>
      <c r="H40" s="375">
        <f t="shared" si="1"/>
        <v>0</v>
      </c>
      <c r="I40" s="736"/>
      <c r="J40" s="255"/>
      <c r="K40" s="735"/>
    </row>
    <row r="41" spans="6:11" ht="11.25" customHeight="1">
      <c r="F41" s="145" t="s">
        <v>2031</v>
      </c>
      <c r="G41" s="738" t="s">
        <v>1009</v>
      </c>
      <c r="H41" s="375">
        <f t="shared" si="1"/>
        <v>0</v>
      </c>
      <c r="I41" s="736"/>
      <c r="J41" s="255"/>
      <c r="K41" s="735"/>
    </row>
    <row r="42" spans="6:11" ht="11.25" customHeight="1">
      <c r="F42" s="145" t="s">
        <v>2032</v>
      </c>
      <c r="G42" s="738" t="s">
        <v>2033</v>
      </c>
      <c r="H42" s="375">
        <f t="shared" si="1"/>
        <v>0</v>
      </c>
      <c r="I42" s="736"/>
      <c r="J42" s="255"/>
      <c r="K42" s="735"/>
    </row>
    <row r="43" spans="6:11" ht="33.75" customHeight="1">
      <c r="F43" s="145" t="s">
        <v>2034</v>
      </c>
      <c r="G43" s="738" t="s">
        <v>2035</v>
      </c>
      <c r="H43" s="375">
        <f t="shared" si="1"/>
        <v>0</v>
      </c>
      <c r="I43" s="736"/>
      <c r="J43" s="255"/>
      <c r="K43" s="735"/>
    </row>
    <row r="44" spans="6:11" ht="11.25" customHeight="1">
      <c r="F44" s="145" t="s">
        <v>442</v>
      </c>
      <c r="G44" s="737" t="s">
        <v>2023</v>
      </c>
      <c r="H44" s="375">
        <f t="shared" si="1"/>
        <v>0</v>
      </c>
      <c r="I44" s="375">
        <f>SUM(I45:I46)</f>
        <v>0</v>
      </c>
      <c r="J44" s="255"/>
      <c r="K44" s="735"/>
    </row>
    <row r="45" spans="6:11" ht="45" customHeight="1">
      <c r="F45" s="145" t="s">
        <v>443</v>
      </c>
      <c r="G45" s="738" t="s">
        <v>2024</v>
      </c>
      <c r="H45" s="375">
        <f t="shared" si="1"/>
        <v>0</v>
      </c>
      <c r="I45" s="736"/>
      <c r="J45" s="255"/>
      <c r="K45" s="735"/>
    </row>
    <row r="46" spans="6:11" ht="11.25" customHeight="1">
      <c r="F46" s="145" t="s">
        <v>2036</v>
      </c>
      <c r="G46" s="738" t="s">
        <v>2025</v>
      </c>
      <c r="H46" s="375">
        <f t="shared" si="1"/>
        <v>0</v>
      </c>
      <c r="I46" s="736"/>
      <c r="J46" s="255"/>
      <c r="K46" s="735"/>
    </row>
    <row r="47" spans="6:11" ht="11.25" customHeight="1">
      <c r="F47" s="145" t="s">
        <v>445</v>
      </c>
      <c r="G47" s="737" t="s">
        <v>2037</v>
      </c>
      <c r="H47" s="375">
        <f t="shared" si="1"/>
        <v>0</v>
      </c>
      <c r="I47" s="736"/>
      <c r="J47" s="255"/>
      <c r="K47" s="735"/>
    </row>
    <row r="48" spans="6:11" ht="22.5" customHeight="1">
      <c r="F48" s="145" t="s">
        <v>111</v>
      </c>
      <c r="G48" s="404" t="s">
        <v>2038</v>
      </c>
      <c r="H48" s="375">
        <f t="shared" si="1"/>
        <v>0</v>
      </c>
      <c r="I48" s="375">
        <f>SUM(I49,I54,I57)</f>
        <v>0</v>
      </c>
      <c r="J48" s="255"/>
      <c r="K48" s="735"/>
    </row>
    <row r="49" spans="6:11" ht="11.25" customHeight="1">
      <c r="F49" s="145" t="s">
        <v>452</v>
      </c>
      <c r="G49" s="737" t="s">
        <v>2011</v>
      </c>
      <c r="H49" s="375">
        <f t="shared" si="1"/>
        <v>0</v>
      </c>
      <c r="I49" s="375">
        <f>SUM(I50:I53)</f>
        <v>0</v>
      </c>
      <c r="J49" s="255"/>
      <c r="K49" s="735"/>
    </row>
    <row r="50" spans="6:11" ht="22.5" customHeight="1">
      <c r="F50" s="145" t="s">
        <v>454</v>
      </c>
      <c r="G50" s="738" t="s">
        <v>2030</v>
      </c>
      <c r="H50" s="375">
        <f t="shared" si="1"/>
        <v>0</v>
      </c>
      <c r="I50" s="736"/>
      <c r="J50" s="255"/>
      <c r="K50" s="735"/>
    </row>
    <row r="51" spans="6:11" ht="11.25" customHeight="1">
      <c r="F51" s="145" t="s">
        <v>1775</v>
      </c>
      <c r="G51" s="738" t="s">
        <v>1009</v>
      </c>
      <c r="H51" s="375">
        <f t="shared" si="1"/>
        <v>0</v>
      </c>
      <c r="I51" s="736"/>
      <c r="J51" s="255"/>
      <c r="K51" s="735"/>
    </row>
    <row r="52" spans="6:11" ht="11.25" customHeight="1">
      <c r="F52" s="145" t="s">
        <v>2039</v>
      </c>
      <c r="G52" s="738" t="s">
        <v>2033</v>
      </c>
      <c r="H52" s="375">
        <f t="shared" si="1"/>
        <v>0</v>
      </c>
      <c r="I52" s="736"/>
      <c r="J52" s="255"/>
      <c r="K52" s="735"/>
    </row>
    <row r="53" spans="6:11" ht="33.75" customHeight="1">
      <c r="F53" s="145" t="s">
        <v>2040</v>
      </c>
      <c r="G53" s="738" t="s">
        <v>2035</v>
      </c>
      <c r="H53" s="375">
        <f t="shared" si="1"/>
        <v>0</v>
      </c>
      <c r="I53" s="736"/>
      <c r="J53" s="255"/>
      <c r="K53" s="735"/>
    </row>
    <row r="54" spans="6:11" ht="11.25" customHeight="1">
      <c r="F54" s="145" t="s">
        <v>295</v>
      </c>
      <c r="G54" s="737" t="s">
        <v>2023</v>
      </c>
      <c r="H54" s="375">
        <f t="shared" si="1"/>
        <v>0</v>
      </c>
      <c r="I54" s="375">
        <f>SUM(I55:I56)</f>
        <v>0</v>
      </c>
      <c r="J54" s="255"/>
      <c r="K54" s="735"/>
    </row>
    <row r="55" spans="6:11" ht="45" customHeight="1">
      <c r="F55" s="145" t="s">
        <v>1368</v>
      </c>
      <c r="G55" s="738" t="s">
        <v>2024</v>
      </c>
      <c r="H55" s="375">
        <f t="shared" si="1"/>
        <v>0</v>
      </c>
      <c r="I55" s="736"/>
      <c r="J55" s="255"/>
      <c r="K55" s="735"/>
    </row>
    <row r="56" spans="6:11" ht="11.25" customHeight="1">
      <c r="F56" s="145" t="s">
        <v>1373</v>
      </c>
      <c r="G56" s="738" t="s">
        <v>2025</v>
      </c>
      <c r="H56" s="375">
        <f t="shared" si="1"/>
        <v>0</v>
      </c>
      <c r="I56" s="736"/>
      <c r="J56" s="255"/>
      <c r="K56" s="735"/>
    </row>
    <row r="57" spans="6:11" ht="11.25" customHeight="1">
      <c r="F57" s="145" t="s">
        <v>298</v>
      </c>
      <c r="G57" s="737" t="s">
        <v>2037</v>
      </c>
      <c r="H57" s="375">
        <f t="shared" si="1"/>
        <v>0</v>
      </c>
      <c r="I57" s="736"/>
      <c r="J57" s="255"/>
      <c r="K57" s="735"/>
    </row>
    <row r="58" spans="6:11" ht="11.25" customHeight="1">
      <c r="F58" s="145"/>
      <c r="G58" s="527" t="s">
        <v>2027</v>
      </c>
      <c r="H58" s="375">
        <f t="shared" si="1"/>
        <v>0</v>
      </c>
      <c r="I58" s="375">
        <f>SUM(I38,I48)</f>
        <v>0</v>
      </c>
      <c r="J58" s="255"/>
      <c r="K58" s="735"/>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xr:uid="{00000000-0002-0000-2E00-000000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0ECEEB-A2DD-5083-C751-21CF4713B0DB}">
  <sheetPr>
    <tabColor theme="9" tint="-0.249977111117893"/>
  </sheetPr>
  <dimension ref="A1:GB24"/>
  <sheetViews>
    <sheetView showGridLines="0" topLeftCell="E4" zoomScale="90" workbookViewId="0"/>
  </sheetViews>
  <sheetFormatPr defaultColWidth="9.140625" defaultRowHeight="12" customHeight="1"/>
  <cols>
    <col min="1" max="1" width="4.7109375" style="553" hidden="1" customWidth="1"/>
    <col min="2" max="2" width="4.7109375" style="554" hidden="1" customWidth="1"/>
    <col min="3" max="4" width="4.7109375" style="553" hidden="1" customWidth="1"/>
    <col min="5" max="5" width="3.5703125" style="553" customWidth="1"/>
    <col min="6" max="6" width="6.7109375" style="553" customWidth="1"/>
    <col min="7" max="7" width="18.7109375" style="553" customWidth="1"/>
    <col min="8" max="8" width="27.28515625" style="553" customWidth="1"/>
    <col min="9" max="9" width="18.7109375" style="553" customWidth="1"/>
    <col min="10" max="14" width="0.85546875" style="553" hidden="1" customWidth="1"/>
    <col min="15" max="28" width="21.7109375" style="553" hidden="1" customWidth="1"/>
    <col min="29" max="71" width="0.85546875" style="553" hidden="1" customWidth="1"/>
    <col min="72" max="79" width="21.7109375" style="553" customWidth="1"/>
    <col min="80" max="81" width="29.140625" style="553" customWidth="1"/>
    <col min="82" max="89" width="21.7109375" style="553" customWidth="1"/>
    <col min="90" max="102" width="0.7109375" style="553" customWidth="1"/>
    <col min="103" max="114" width="21.7109375" style="553" hidden="1" customWidth="1"/>
    <col min="115" max="178" width="0.7109375" style="553" hidden="1" customWidth="1"/>
    <col min="179" max="179" width="0.140625" style="553" customWidth="1"/>
    <col min="180" max="184" width="9.140625" style="553"/>
  </cols>
  <sheetData>
    <row r="1" spans="2:180" s="551" customFormat="1" ht="12" hidden="1" customHeight="1">
      <c r="B1" s="552"/>
    </row>
    <row r="2" spans="2:180" s="551" customFormat="1" ht="12" hidden="1" customHeight="1">
      <c r="B2" s="552"/>
    </row>
    <row r="3" spans="2:180" s="551" customFormat="1" ht="12" hidden="1" customHeight="1">
      <c r="B3" s="552"/>
    </row>
    <row r="4" spans="2:180" ht="10.5" customHeight="1">
      <c r="H4" s="55"/>
      <c r="I4" s="55"/>
      <c r="J4" s="55"/>
      <c r="K4" s="55"/>
      <c r="L4" s="55"/>
    </row>
    <row r="5" spans="2:180" s="53" customFormat="1" ht="24" customHeight="1">
      <c r="B5" s="366"/>
      <c r="E5" s="511"/>
      <c r="F5" s="1076"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2023 год</v>
      </c>
      <c r="G5" s="1077"/>
      <c r="H5" s="1077"/>
      <c r="I5" s="1077"/>
      <c r="J5" s="1077"/>
      <c r="K5" s="1077"/>
      <c r="L5" s="1077"/>
      <c r="M5" s="1077"/>
      <c r="N5" s="1077"/>
      <c r="O5" s="1077"/>
      <c r="P5" s="1077"/>
      <c r="Q5" s="1077"/>
      <c r="R5" s="1077"/>
      <c r="S5" s="1077"/>
      <c r="T5" s="1077"/>
      <c r="U5" s="1077"/>
      <c r="V5" s="1077"/>
      <c r="W5" s="1077"/>
      <c r="X5" s="1077"/>
      <c r="Y5" s="1077"/>
      <c r="Z5" s="1077"/>
      <c r="AA5" s="1077"/>
      <c r="AB5" s="1077"/>
      <c r="AC5" s="1077"/>
      <c r="AD5" s="1077"/>
      <c r="AE5" s="1077"/>
      <c r="AF5" s="1077"/>
      <c r="AG5" s="1077"/>
      <c r="AH5" s="1077"/>
      <c r="AI5" s="1077"/>
      <c r="AJ5" s="1077"/>
      <c r="AK5" s="1077"/>
      <c r="AL5" s="1077"/>
      <c r="AM5" s="1077"/>
      <c r="AN5" s="1077"/>
      <c r="AO5" s="1077"/>
      <c r="AP5" s="1077"/>
      <c r="AQ5" s="1077"/>
      <c r="AR5" s="1077"/>
      <c r="AS5" s="1077"/>
      <c r="AT5" s="1077"/>
      <c r="AU5" s="1077"/>
      <c r="AV5" s="1077"/>
      <c r="AW5" s="1077"/>
      <c r="AX5" s="1077"/>
      <c r="AY5" s="1077"/>
      <c r="AZ5" s="1077"/>
      <c r="BA5" s="1077"/>
      <c r="BB5" s="1077"/>
      <c r="BC5" s="1077"/>
      <c r="BD5" s="1077"/>
      <c r="BE5" s="1077"/>
      <c r="BF5" s="1077"/>
      <c r="BG5" s="1077"/>
      <c r="BH5" s="1077"/>
      <c r="BI5" s="1077"/>
      <c r="BJ5" s="1077"/>
      <c r="BK5" s="1077"/>
      <c r="BL5" s="1077"/>
      <c r="BM5" s="1077"/>
      <c r="BN5" s="1077"/>
      <c r="BO5" s="1077"/>
      <c r="BP5" s="1077"/>
      <c r="BQ5" s="1077"/>
      <c r="BR5" s="1077"/>
      <c r="BS5" s="1077"/>
    </row>
    <row r="6" spans="2:180" s="53" customFormat="1" ht="18" customHeight="1">
      <c r="B6" s="366"/>
      <c r="E6" s="511"/>
      <c r="F6" s="1183" t="str">
        <f>IF(org=0,"Не определено",org)</f>
        <v>ИМУП «ПОСЖИЛКОМСЕРВИС»</v>
      </c>
      <c r="G6" s="1184"/>
      <c r="H6" s="1184"/>
      <c r="I6" s="1184"/>
      <c r="J6" s="1184"/>
      <c r="K6" s="1184"/>
      <c r="L6" s="1184"/>
      <c r="M6" s="1184"/>
      <c r="N6" s="1184"/>
      <c r="O6" s="1184"/>
      <c r="P6" s="1184"/>
      <c r="Q6" s="1184"/>
      <c r="R6" s="1184"/>
      <c r="S6" s="1184"/>
      <c r="T6" s="1184"/>
      <c r="U6" s="1184"/>
      <c r="V6" s="1184"/>
      <c r="W6" s="1184"/>
      <c r="X6" s="1184"/>
      <c r="Y6" s="1184"/>
      <c r="Z6" s="1184"/>
      <c r="AA6" s="1184"/>
      <c r="AB6" s="1184"/>
      <c r="AC6" s="1184"/>
      <c r="AD6" s="1184"/>
      <c r="AE6" s="1184"/>
      <c r="AF6" s="1184"/>
      <c r="AG6" s="1184"/>
      <c r="AH6" s="1184"/>
      <c r="AI6" s="1184"/>
      <c r="AJ6" s="1184"/>
      <c r="AK6" s="1184"/>
      <c r="AL6" s="1184"/>
      <c r="AM6" s="1184"/>
      <c r="AN6" s="1184"/>
      <c r="AO6" s="1184"/>
      <c r="AP6" s="1184"/>
      <c r="AQ6" s="1184"/>
      <c r="AR6" s="1184"/>
      <c r="AS6" s="1184"/>
      <c r="AT6" s="1184"/>
      <c r="AU6" s="1184"/>
      <c r="AV6" s="1184"/>
      <c r="AW6" s="1184"/>
      <c r="AX6" s="1184"/>
      <c r="AY6" s="1184"/>
      <c r="AZ6" s="1184"/>
      <c r="BA6" s="1184"/>
      <c r="BB6" s="1184"/>
      <c r="BC6" s="1184"/>
      <c r="BD6" s="1184"/>
      <c r="BE6" s="1184"/>
      <c r="BF6" s="1184"/>
      <c r="BG6" s="1184"/>
      <c r="BH6" s="1184"/>
      <c r="BI6" s="1184"/>
      <c r="BJ6" s="1184"/>
      <c r="BK6" s="1184"/>
      <c r="BL6" s="1184"/>
      <c r="BM6" s="1184"/>
      <c r="BN6" s="1184"/>
      <c r="BO6" s="1184"/>
      <c r="BP6" s="1184"/>
      <c r="BQ6" s="1184"/>
      <c r="BR6" s="1184"/>
      <c r="BS6" s="1184"/>
    </row>
    <row r="7" spans="2:180" s="555" customFormat="1" ht="10.5" customHeight="1">
      <c r="B7" s="556"/>
      <c r="G7" s="557"/>
      <c r="H7" s="55"/>
      <c r="I7" s="55"/>
      <c r="J7" s="55"/>
      <c r="K7" s="55"/>
      <c r="L7" s="55"/>
    </row>
    <row r="8" spans="2:180" s="555" customFormat="1" ht="11.25" hidden="1" customHeight="1">
      <c r="B8" s="556"/>
      <c r="F8" s="53"/>
      <c r="G8" s="56"/>
      <c r="H8" s="2"/>
      <c r="I8" s="2"/>
      <c r="J8" s="2"/>
      <c r="K8" s="2"/>
      <c r="L8" s="2"/>
      <c r="M8" s="53"/>
      <c r="N8" s="53"/>
      <c r="O8" s="1437" t="s">
        <v>2041</v>
      </c>
      <c r="P8" s="1438"/>
      <c r="Q8" s="1438"/>
      <c r="R8" s="1438"/>
      <c r="S8" s="1438"/>
      <c r="T8" s="1438"/>
      <c r="U8" s="1438"/>
      <c r="V8" s="1438"/>
      <c r="W8" s="1438"/>
      <c r="X8" s="1438"/>
      <c r="Y8" s="1438"/>
      <c r="Z8" s="1438"/>
      <c r="AA8" s="1438"/>
      <c r="AB8" s="1438"/>
      <c r="AC8" s="1438"/>
      <c r="AD8" s="1438"/>
      <c r="AE8" s="1438"/>
      <c r="AF8" s="1438"/>
      <c r="AG8" s="1438"/>
      <c r="AH8" s="1438"/>
      <c r="AI8" s="1438"/>
      <c r="AJ8" s="1438"/>
      <c r="AK8" s="1438"/>
      <c r="AL8" s="1438"/>
      <c r="AM8" s="1438"/>
      <c r="AN8" s="1438"/>
      <c r="AO8" s="1438"/>
      <c r="AP8" s="1438"/>
      <c r="AQ8" s="1438"/>
      <c r="AR8" s="1438"/>
      <c r="AS8" s="1438"/>
      <c r="AT8" s="1438"/>
      <c r="AU8" s="1438"/>
      <c r="AV8" s="1438"/>
      <c r="AW8" s="1438"/>
      <c r="AX8" s="1438"/>
      <c r="AY8" s="1438"/>
      <c r="AZ8" s="1438"/>
      <c r="BA8" s="1438"/>
      <c r="BB8" s="1438"/>
      <c r="BC8" s="1438"/>
      <c r="BD8" s="1438"/>
      <c r="BE8" s="1438"/>
      <c r="BF8" s="1438"/>
      <c r="BG8" s="1438"/>
      <c r="BH8" s="1438"/>
      <c r="BI8" s="1438"/>
      <c r="BJ8" s="1438"/>
      <c r="BK8" s="1438"/>
      <c r="BL8" s="1438"/>
      <c r="BM8" s="1438"/>
      <c r="BN8" s="1438"/>
      <c r="BO8" s="1438"/>
      <c r="BP8" s="1438"/>
      <c r="BQ8" s="1438"/>
      <c r="BR8" s="1438"/>
      <c r="BS8" s="1439"/>
      <c r="BT8" s="1440"/>
      <c r="BU8" s="1441"/>
      <c r="BV8" s="1441"/>
      <c r="BW8" s="1441"/>
      <c r="BX8" s="1441"/>
      <c r="BY8" s="1441"/>
      <c r="BZ8" s="1441"/>
      <c r="CA8" s="1441"/>
      <c r="CB8" s="1441"/>
      <c r="CC8" s="1441"/>
      <c r="CD8" s="1441"/>
      <c r="CE8" s="1441"/>
      <c r="CF8" s="1441"/>
      <c r="CG8" s="1441"/>
      <c r="CH8" s="1441"/>
      <c r="CI8" s="1441"/>
      <c r="CJ8" s="1441"/>
      <c r="CK8" s="1441"/>
      <c r="CL8" s="1441"/>
      <c r="CM8" s="1441"/>
      <c r="CN8" s="1441"/>
      <c r="CO8" s="1441"/>
      <c r="CP8" s="1441"/>
      <c r="CQ8" s="1441"/>
      <c r="CR8" s="1441"/>
      <c r="CS8" s="1441"/>
      <c r="CT8" s="1441"/>
      <c r="CU8" s="1441"/>
      <c r="CV8" s="1441"/>
      <c r="CW8" s="1441"/>
      <c r="CX8" s="1442"/>
      <c r="CY8" s="1443"/>
      <c r="CZ8" s="1444"/>
      <c r="DA8" s="1444"/>
      <c r="DB8" s="1444"/>
      <c r="DC8" s="1444"/>
      <c r="DD8" s="1444"/>
      <c r="DE8" s="1444"/>
      <c r="DF8" s="1444"/>
      <c r="DG8" s="1444"/>
      <c r="DH8" s="1444"/>
      <c r="DI8" s="1444"/>
      <c r="DJ8" s="1444"/>
      <c r="DK8" s="1444"/>
      <c r="DL8" s="1444"/>
      <c r="DM8" s="1444"/>
      <c r="DN8" s="1444"/>
      <c r="DO8" s="1444"/>
      <c r="DP8" s="1444"/>
      <c r="DQ8" s="1444"/>
      <c r="DR8" s="1444"/>
      <c r="DS8" s="1444"/>
      <c r="DT8" s="1444"/>
      <c r="DU8" s="1444"/>
      <c r="DV8" s="1444"/>
      <c r="DW8" s="1444"/>
      <c r="DX8" s="1445"/>
      <c r="DY8" s="1431" t="s">
        <v>2042</v>
      </c>
      <c r="DZ8" s="1432"/>
      <c r="EA8" s="1432"/>
      <c r="EB8" s="1432"/>
      <c r="EC8" s="1432"/>
      <c r="ED8" s="1432"/>
      <c r="EE8" s="1432"/>
      <c r="EF8" s="1432"/>
      <c r="EG8" s="1432"/>
      <c r="EH8" s="1432"/>
      <c r="EI8" s="1432"/>
      <c r="EJ8" s="1432"/>
      <c r="EK8" s="1432"/>
      <c r="EL8" s="1432"/>
      <c r="EM8" s="1432"/>
      <c r="EN8" s="1432"/>
      <c r="EO8" s="1432"/>
      <c r="EP8" s="1432"/>
      <c r="EQ8" s="1432"/>
      <c r="ER8" s="1432"/>
      <c r="ES8" s="1432"/>
      <c r="ET8" s="1432"/>
      <c r="EU8" s="1432"/>
      <c r="EV8" s="1432"/>
      <c r="EW8" s="1432"/>
      <c r="EX8" s="1432"/>
      <c r="EY8" s="1432"/>
      <c r="EZ8" s="1432"/>
      <c r="FA8" s="1432"/>
      <c r="FB8" s="1432"/>
      <c r="FC8" s="1432"/>
      <c r="FD8" s="1432"/>
      <c r="FE8" s="1432"/>
      <c r="FF8" s="1432"/>
      <c r="FG8" s="1432"/>
      <c r="FH8" s="1432"/>
      <c r="FI8" s="1432"/>
      <c r="FJ8" s="1432"/>
      <c r="FK8" s="1432"/>
      <c r="FL8" s="1432"/>
      <c r="FM8" s="1432"/>
      <c r="FN8" s="1432"/>
      <c r="FO8" s="1432"/>
      <c r="FP8" s="1432"/>
      <c r="FQ8" s="1432"/>
      <c r="FR8" s="1432"/>
      <c r="FS8" s="1432"/>
      <c r="FT8" s="1432"/>
      <c r="FU8" s="1432"/>
      <c r="FV8" s="1432"/>
      <c r="FW8" s="1433"/>
      <c r="FX8" s="53"/>
    </row>
    <row r="9" spans="2:180" s="555" customFormat="1" ht="11.25" hidden="1" customHeight="1">
      <c r="B9" s="556"/>
      <c r="F9" s="53"/>
      <c r="G9" s="56"/>
      <c r="H9" s="2"/>
      <c r="I9" s="2"/>
      <c r="J9" s="2"/>
      <c r="K9" s="2"/>
      <c r="L9" s="2"/>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c r="BM9" s="53"/>
      <c r="BN9" s="53"/>
      <c r="BO9" s="53"/>
      <c r="BP9" s="53"/>
      <c r="BQ9" s="53"/>
      <c r="BR9" s="53"/>
      <c r="BS9" s="53"/>
      <c r="BT9" s="53"/>
      <c r="BU9" s="53"/>
      <c r="BV9" s="53"/>
      <c r="BW9" s="53"/>
      <c r="BX9" s="53"/>
      <c r="BY9" s="53"/>
      <c r="BZ9" s="53"/>
      <c r="CA9" s="53"/>
      <c r="CB9" s="53"/>
      <c r="CC9" s="53"/>
      <c r="CD9" s="53"/>
      <c r="CE9" s="53"/>
      <c r="CF9" s="53"/>
      <c r="CG9" s="53"/>
      <c r="CH9" s="53"/>
      <c r="CI9" s="53"/>
      <c r="CJ9" s="53"/>
      <c r="CK9" s="53"/>
      <c r="CL9" s="53"/>
      <c r="CM9" s="53"/>
      <c r="CN9" s="53"/>
      <c r="CO9" s="53"/>
      <c r="CP9" s="53"/>
      <c r="CQ9" s="53"/>
      <c r="CR9" s="53"/>
      <c r="CS9" s="53"/>
      <c r="CT9" s="53"/>
      <c r="CU9" s="53"/>
      <c r="CV9" s="53"/>
      <c r="CW9" s="53"/>
      <c r="CX9" s="53"/>
      <c r="CY9" s="53"/>
      <c r="CZ9" s="53"/>
      <c r="DA9" s="53"/>
      <c r="DB9" s="53"/>
      <c r="DC9" s="53"/>
      <c r="DD9" s="53"/>
      <c r="DE9" s="53"/>
      <c r="DF9" s="53"/>
      <c r="DG9" s="53"/>
      <c r="DH9" s="53"/>
      <c r="DI9" s="53"/>
      <c r="DJ9" s="53"/>
      <c r="DK9" s="53"/>
      <c r="DL9" s="53"/>
      <c r="DM9" s="53"/>
      <c r="DN9" s="53"/>
      <c r="DO9" s="53"/>
      <c r="DP9" s="53"/>
      <c r="DQ9" s="53"/>
      <c r="DR9" s="53"/>
      <c r="DS9" s="53"/>
      <c r="DT9" s="53"/>
      <c r="DU9" s="53"/>
      <c r="DV9" s="53"/>
      <c r="DW9" s="53"/>
      <c r="DX9" s="53"/>
      <c r="DY9" s="53"/>
      <c r="DZ9" s="53"/>
      <c r="EA9" s="53"/>
      <c r="EB9" s="53"/>
      <c r="EC9" s="53"/>
      <c r="ED9" s="53"/>
      <c r="EE9" s="53"/>
      <c r="EF9" s="53"/>
      <c r="EG9" s="53"/>
      <c r="EH9" s="53"/>
      <c r="EI9" s="53"/>
      <c r="EJ9" s="53"/>
      <c r="EK9" s="53"/>
      <c r="EL9" s="53"/>
      <c r="EM9" s="53"/>
      <c r="EN9" s="53"/>
      <c r="EO9" s="53"/>
      <c r="EP9" s="53"/>
      <c r="EQ9" s="53"/>
      <c r="ER9" s="53"/>
      <c r="ES9" s="53"/>
      <c r="ET9" s="53"/>
      <c r="EU9" s="53"/>
      <c r="EV9" s="53"/>
      <c r="EW9" s="53"/>
      <c r="EX9" s="53"/>
      <c r="EY9" s="53"/>
      <c r="EZ9" s="53"/>
      <c r="FA9" s="53"/>
      <c r="FB9" s="53"/>
      <c r="FC9" s="53"/>
      <c r="FD9" s="53"/>
      <c r="FE9" s="53"/>
      <c r="FF9" s="53"/>
      <c r="FG9" s="53"/>
      <c r="FH9" s="53"/>
      <c r="FI9" s="53"/>
      <c r="FJ9" s="53"/>
      <c r="FK9" s="53"/>
      <c r="FL9" s="53"/>
      <c r="FM9" s="53"/>
      <c r="FN9" s="53"/>
      <c r="FO9" s="53"/>
      <c r="FP9" s="53"/>
      <c r="FQ9" s="53"/>
      <c r="FR9" s="53"/>
      <c r="FS9" s="53"/>
      <c r="FT9" s="53"/>
      <c r="FU9" s="53"/>
      <c r="FV9" s="53"/>
      <c r="FW9" s="1434"/>
      <c r="FX9" s="53"/>
    </row>
    <row r="10" spans="2:180" s="555" customFormat="1" ht="11.25" customHeight="1">
      <c r="B10" s="556"/>
      <c r="F10" s="1413" t="s">
        <v>288</v>
      </c>
      <c r="G10" s="1447"/>
      <c r="H10" s="1447"/>
      <c r="I10" s="1447"/>
      <c r="J10" s="1447"/>
      <c r="K10" s="1447"/>
      <c r="L10" s="1447"/>
      <c r="M10" s="1447"/>
      <c r="N10" s="1447"/>
      <c r="O10" s="1447"/>
      <c r="P10" s="1447"/>
      <c r="Q10" s="1447"/>
      <c r="R10" s="1447"/>
      <c r="S10" s="1447"/>
      <c r="T10" s="1447"/>
      <c r="U10" s="1447"/>
      <c r="V10" s="1447"/>
      <c r="W10" s="1447"/>
      <c r="X10" s="1447"/>
      <c r="Y10" s="1447"/>
      <c r="Z10" s="1447"/>
      <c r="AA10" s="1447"/>
      <c r="AB10" s="1447"/>
      <c r="AC10" s="1447"/>
      <c r="AD10" s="1447"/>
      <c r="AE10" s="1447"/>
      <c r="AF10" s="1447"/>
      <c r="AG10" s="1447"/>
      <c r="AH10" s="1447"/>
      <c r="AI10" s="1447"/>
      <c r="AJ10" s="1447"/>
      <c r="AK10" s="1447"/>
      <c r="AL10" s="1447"/>
      <c r="AM10" s="1447"/>
      <c r="AN10" s="1447"/>
      <c r="AO10" s="1447"/>
      <c r="AP10" s="1447"/>
      <c r="AQ10" s="1447"/>
      <c r="AR10" s="1447"/>
      <c r="AS10" s="1447"/>
      <c r="AT10" s="1447"/>
      <c r="AU10" s="1447"/>
      <c r="AV10" s="1447"/>
      <c r="AW10" s="1447"/>
      <c r="AX10" s="1447"/>
      <c r="AY10" s="1447"/>
      <c r="AZ10" s="1447"/>
      <c r="BA10" s="1447"/>
      <c r="BB10" s="1447"/>
      <c r="BC10" s="1447"/>
      <c r="BD10" s="1447"/>
      <c r="BE10" s="1447"/>
      <c r="BF10" s="1447"/>
      <c r="BG10" s="1447"/>
      <c r="BH10" s="1447"/>
      <c r="BI10" s="1447"/>
      <c r="BJ10" s="1447"/>
      <c r="BK10" s="1447"/>
      <c r="BL10" s="1447"/>
      <c r="BM10" s="1447"/>
      <c r="BN10" s="1447"/>
      <c r="BO10" s="1447"/>
      <c r="BP10" s="1447"/>
      <c r="BQ10" s="1447"/>
      <c r="BR10" s="1447"/>
      <c r="BS10" s="1447"/>
      <c r="BT10" s="1447"/>
      <c r="BU10" s="1447"/>
      <c r="BV10" s="1447"/>
      <c r="BW10" s="1447"/>
      <c r="BX10" s="1447"/>
      <c r="BY10" s="1447"/>
      <c r="BZ10" s="1447"/>
      <c r="CA10" s="1447"/>
      <c r="CB10" s="1447"/>
      <c r="CC10" s="1447"/>
      <c r="CD10" s="1447"/>
      <c r="CE10" s="1447"/>
      <c r="CF10" s="1447"/>
      <c r="CG10" s="1447"/>
      <c r="CH10" s="1447"/>
      <c r="CI10" s="1447"/>
      <c r="CJ10" s="1447"/>
      <c r="CK10" s="1447"/>
      <c r="CL10" s="1447"/>
      <c r="CM10" s="1447"/>
      <c r="CN10" s="1447"/>
      <c r="CO10" s="1447"/>
      <c r="CP10" s="1447"/>
      <c r="CQ10" s="1447"/>
      <c r="CR10" s="1447"/>
      <c r="CS10" s="1447"/>
      <c r="CT10" s="1447"/>
      <c r="CU10" s="1447"/>
      <c r="CV10" s="1447"/>
      <c r="CW10" s="1447"/>
      <c r="CX10" s="1447"/>
      <c r="CY10" s="1447"/>
      <c r="CZ10" s="1447"/>
      <c r="DA10" s="1447"/>
      <c r="DB10" s="1447"/>
      <c r="DC10" s="1447"/>
      <c r="DD10" s="1447"/>
      <c r="DE10" s="1447"/>
      <c r="DF10" s="1447"/>
      <c r="DG10" s="1447"/>
      <c r="DH10" s="1447"/>
      <c r="DI10" s="1447"/>
      <c r="DJ10" s="1447"/>
      <c r="DK10" s="1447"/>
      <c r="DL10" s="1447"/>
      <c r="DM10" s="1447"/>
      <c r="DN10" s="1447"/>
      <c r="DO10" s="1447"/>
      <c r="DP10" s="1447"/>
      <c r="DQ10" s="1447"/>
      <c r="DR10" s="1447"/>
      <c r="DS10" s="1447"/>
      <c r="DT10" s="1447"/>
      <c r="DU10" s="1447"/>
      <c r="DV10" s="1447"/>
      <c r="DW10" s="1447"/>
      <c r="DX10" s="1447"/>
      <c r="DY10" s="1447"/>
      <c r="DZ10" s="1447"/>
      <c r="EA10" s="1447"/>
      <c r="EB10" s="1447"/>
      <c r="EC10" s="1447"/>
      <c r="ED10" s="1447"/>
      <c r="EE10" s="1447"/>
      <c r="EF10" s="1447"/>
      <c r="EG10" s="1447"/>
      <c r="EH10" s="1447"/>
      <c r="EI10" s="1447"/>
      <c r="EJ10" s="1447"/>
      <c r="EK10" s="1447"/>
      <c r="EL10" s="1447"/>
      <c r="EM10" s="1447"/>
      <c r="EN10" s="1447"/>
      <c r="EO10" s="1447"/>
      <c r="EP10" s="1447"/>
      <c r="EQ10" s="1447"/>
      <c r="ER10" s="1447"/>
      <c r="ES10" s="1447"/>
      <c r="ET10" s="1447"/>
      <c r="EU10" s="1447"/>
      <c r="EV10" s="1447"/>
      <c r="EW10" s="1447"/>
      <c r="EX10" s="1447"/>
      <c r="EY10" s="1447"/>
      <c r="EZ10" s="1447"/>
      <c r="FA10" s="1447"/>
      <c r="FB10" s="1447"/>
      <c r="FC10" s="1447"/>
      <c r="FD10" s="1447"/>
      <c r="FE10" s="1447"/>
      <c r="FF10" s="1447"/>
      <c r="FG10" s="1447"/>
      <c r="FH10" s="1447"/>
      <c r="FI10" s="1447"/>
      <c r="FJ10" s="1447"/>
      <c r="FK10" s="1447"/>
      <c r="FL10" s="1447"/>
      <c r="FM10" s="1447"/>
      <c r="FN10" s="1447"/>
      <c r="FO10" s="1447"/>
      <c r="FP10" s="1447"/>
      <c r="FQ10" s="1447"/>
      <c r="FR10" s="1447"/>
      <c r="FS10" s="1447"/>
      <c r="FT10" s="1447"/>
      <c r="FU10" s="1447"/>
      <c r="FV10" s="1207"/>
      <c r="FW10" s="1434"/>
      <c r="FX10" s="53"/>
    </row>
    <row r="11" spans="2:180" ht="12" customHeight="1">
      <c r="E11" s="558"/>
      <c r="F11" s="1163" t="s">
        <v>88</v>
      </c>
      <c r="G11" s="1163" t="s">
        <v>2043</v>
      </c>
      <c r="H11" s="1163" t="s">
        <v>2044</v>
      </c>
      <c r="I11" s="1163" t="s">
        <v>2045</v>
      </c>
      <c r="J11" s="1446"/>
      <c r="K11" s="1446"/>
      <c r="L11" s="1446"/>
      <c r="M11" s="1446"/>
      <c r="N11" s="1446"/>
      <c r="O11" s="1168" t="s">
        <v>2046</v>
      </c>
      <c r="P11" s="1168"/>
      <c r="Q11" s="1168"/>
      <c r="R11" s="1168"/>
      <c r="S11" s="1168"/>
      <c r="T11" s="1168"/>
      <c r="U11" s="1168"/>
      <c r="V11" s="1168"/>
      <c r="W11" s="1168"/>
      <c r="X11" s="1168"/>
      <c r="Y11" s="1168"/>
      <c r="Z11" s="1168"/>
      <c r="AA11" s="1168"/>
      <c r="AB11" s="1168"/>
      <c r="AC11" s="1429"/>
      <c r="AD11" s="1429"/>
      <c r="AE11" s="1429"/>
      <c r="AF11" s="1429"/>
      <c r="AG11" s="1429"/>
      <c r="AH11" s="1429"/>
      <c r="AI11" s="1429"/>
      <c r="AJ11" s="1429"/>
      <c r="AK11" s="1429"/>
      <c r="AL11" s="1429"/>
      <c r="AM11" s="1429"/>
      <c r="AN11" s="1429"/>
      <c r="AO11" s="1429"/>
      <c r="AP11" s="1429"/>
      <c r="AQ11" s="1429"/>
      <c r="AR11" s="1429"/>
      <c r="AS11" s="1429"/>
      <c r="AT11" s="1429"/>
      <c r="AU11" s="1429"/>
      <c r="AV11" s="1429"/>
      <c r="AW11" s="1429"/>
      <c r="AX11" s="1429"/>
      <c r="AY11" s="1429"/>
      <c r="AZ11" s="1429"/>
      <c r="BA11" s="1429"/>
      <c r="BB11" s="1429"/>
      <c r="BC11" s="1429"/>
      <c r="BD11" s="1429"/>
      <c r="BE11" s="1429"/>
      <c r="BF11" s="1429"/>
      <c r="BG11" s="1429"/>
      <c r="BH11" s="1429"/>
      <c r="BI11" s="1429"/>
      <c r="BJ11" s="1429"/>
      <c r="BK11" s="1429"/>
      <c r="BL11" s="1429"/>
      <c r="BM11" s="1429"/>
      <c r="BN11" s="1429"/>
      <c r="BO11" s="1429"/>
      <c r="BP11" s="1429"/>
      <c r="BQ11" s="1429"/>
      <c r="BR11" s="1429"/>
      <c r="BS11" s="1430"/>
      <c r="BT11" s="1380" t="s">
        <v>2046</v>
      </c>
      <c r="BU11" s="1381"/>
      <c r="BV11" s="1381"/>
      <c r="BW11" s="1381"/>
      <c r="BX11" s="1381"/>
      <c r="BY11" s="1381"/>
      <c r="BZ11" s="1381"/>
      <c r="CA11" s="1381"/>
      <c r="CB11" s="1381"/>
      <c r="CC11" s="1381"/>
      <c r="CD11" s="1381"/>
      <c r="CE11" s="1381"/>
      <c r="CF11" s="1381"/>
      <c r="CG11" s="1381"/>
      <c r="CH11" s="1381"/>
      <c r="CI11" s="1381"/>
      <c r="CJ11" s="1381"/>
      <c r="CK11" s="1382"/>
      <c r="CL11" s="1436"/>
      <c r="CM11" s="1429"/>
      <c r="CN11" s="1429"/>
      <c r="CO11" s="1429"/>
      <c r="CP11" s="1429"/>
      <c r="CQ11" s="1429"/>
      <c r="CR11" s="1429"/>
      <c r="CS11" s="1429"/>
      <c r="CT11" s="1429"/>
      <c r="CU11" s="1429"/>
      <c r="CV11" s="1429"/>
      <c r="CW11" s="1429"/>
      <c r="CX11" s="1430"/>
      <c r="CY11" s="1380" t="s">
        <v>2046</v>
      </c>
      <c r="CZ11" s="1381"/>
      <c r="DA11" s="1381"/>
      <c r="DB11" s="1381"/>
      <c r="DC11" s="1381"/>
      <c r="DD11" s="1381"/>
      <c r="DE11" s="1381"/>
      <c r="DF11" s="1381"/>
      <c r="DG11" s="1381"/>
      <c r="DH11" s="1381"/>
      <c r="DI11" s="1381"/>
      <c r="DJ11" s="1382"/>
      <c r="DK11" s="1436"/>
      <c r="DL11" s="1429"/>
      <c r="DM11" s="1429"/>
      <c r="DN11" s="1429"/>
      <c r="DO11" s="1429"/>
      <c r="DP11" s="1429"/>
      <c r="DQ11" s="1429"/>
      <c r="DR11" s="1429"/>
      <c r="DS11" s="1429"/>
      <c r="DT11" s="1429"/>
      <c r="DU11" s="1429"/>
      <c r="DV11" s="1429"/>
      <c r="DW11" s="1429"/>
      <c r="DX11" s="1429"/>
      <c r="DY11" s="1429"/>
      <c r="DZ11" s="1429"/>
      <c r="EA11" s="1429"/>
      <c r="EB11" s="1429"/>
      <c r="EC11" s="1429"/>
      <c r="ED11" s="1429"/>
      <c r="EE11" s="1429"/>
      <c r="EF11" s="1429"/>
      <c r="EG11" s="1429"/>
      <c r="EH11" s="1429"/>
      <c r="EI11" s="1429"/>
      <c r="EJ11" s="1429"/>
      <c r="EK11" s="1429"/>
      <c r="EL11" s="1429"/>
      <c r="EM11" s="1429"/>
      <c r="EN11" s="1429"/>
      <c r="EO11" s="1429"/>
      <c r="EP11" s="1429"/>
      <c r="EQ11" s="1429"/>
      <c r="ER11" s="1429"/>
      <c r="ES11" s="1429"/>
      <c r="ET11" s="1429"/>
      <c r="EU11" s="1429"/>
      <c r="EV11" s="1429"/>
      <c r="EW11" s="1429"/>
      <c r="EX11" s="1429"/>
      <c r="EY11" s="1429"/>
      <c r="EZ11" s="1429"/>
      <c r="FA11" s="1429"/>
      <c r="FB11" s="1429"/>
      <c r="FC11" s="1429"/>
      <c r="FD11" s="1429"/>
      <c r="FE11" s="1429"/>
      <c r="FF11" s="1429"/>
      <c r="FG11" s="1429"/>
      <c r="FH11" s="1429"/>
      <c r="FI11" s="1429"/>
      <c r="FJ11" s="1429"/>
      <c r="FK11" s="1429"/>
      <c r="FL11" s="1429"/>
      <c r="FM11" s="1429"/>
      <c r="FN11" s="1429"/>
      <c r="FO11" s="1429"/>
      <c r="FP11" s="1429"/>
      <c r="FQ11" s="1429"/>
      <c r="FR11" s="1429"/>
      <c r="FS11" s="1429"/>
      <c r="FT11" s="1429"/>
      <c r="FU11" s="1429"/>
      <c r="FV11" s="1429"/>
      <c r="FW11" s="1434"/>
      <c r="FX11" s="32"/>
    </row>
    <row r="12" spans="2:180" ht="12" customHeight="1">
      <c r="D12" s="55"/>
      <c r="E12" s="558"/>
      <c r="F12" s="1163"/>
      <c r="G12" s="1163"/>
      <c r="H12" s="1163"/>
      <c r="I12" s="1163"/>
      <c r="J12" s="1446"/>
      <c r="K12" s="1446"/>
      <c r="L12" s="1446"/>
      <c r="M12" s="1446"/>
      <c r="N12" s="1446"/>
      <c r="O12" s="1168" t="s">
        <v>2047</v>
      </c>
      <c r="P12" s="1168"/>
      <c r="Q12" s="1168"/>
      <c r="R12" s="1168"/>
      <c r="S12" s="1168" t="s">
        <v>2048</v>
      </c>
      <c r="T12" s="1168"/>
      <c r="U12" s="1168"/>
      <c r="V12" s="1168"/>
      <c r="W12" s="1168"/>
      <c r="X12" s="1168"/>
      <c r="Y12" s="1168"/>
      <c r="Z12" s="1168"/>
      <c r="AA12" s="1168"/>
      <c r="AB12" s="1168"/>
      <c r="AC12" s="1429"/>
      <c r="AD12" s="1429"/>
      <c r="AE12" s="1429"/>
      <c r="AF12" s="1429"/>
      <c r="AG12" s="1429"/>
      <c r="AH12" s="1429"/>
      <c r="AI12" s="1429"/>
      <c r="AJ12" s="1429"/>
      <c r="AK12" s="1429"/>
      <c r="AL12" s="1429"/>
      <c r="AM12" s="1429"/>
      <c r="AN12" s="1429"/>
      <c r="AO12" s="1429"/>
      <c r="AP12" s="1429"/>
      <c r="AQ12" s="1429"/>
      <c r="AR12" s="1429"/>
      <c r="AS12" s="1429"/>
      <c r="AT12" s="1429"/>
      <c r="AU12" s="1429"/>
      <c r="AV12" s="1429"/>
      <c r="AW12" s="1429"/>
      <c r="AX12" s="1429"/>
      <c r="AY12" s="1429"/>
      <c r="AZ12" s="1429"/>
      <c r="BA12" s="1429"/>
      <c r="BB12" s="1429"/>
      <c r="BC12" s="1429"/>
      <c r="BD12" s="1429"/>
      <c r="BE12" s="1429"/>
      <c r="BF12" s="1429"/>
      <c r="BG12" s="1429"/>
      <c r="BH12" s="1429"/>
      <c r="BI12" s="1429"/>
      <c r="BJ12" s="1429"/>
      <c r="BK12" s="1429"/>
      <c r="BL12" s="1429"/>
      <c r="BM12" s="1429"/>
      <c r="BN12" s="1429"/>
      <c r="BO12" s="1429"/>
      <c r="BP12" s="1429"/>
      <c r="BQ12" s="1429"/>
      <c r="BR12" s="1429"/>
      <c r="BS12" s="1430"/>
      <c r="BT12" s="1380" t="s">
        <v>2049</v>
      </c>
      <c r="BU12" s="1381"/>
      <c r="BV12" s="1381"/>
      <c r="BW12" s="1382"/>
      <c r="BX12" s="1380" t="s">
        <v>2050</v>
      </c>
      <c r="BY12" s="1381"/>
      <c r="BZ12" s="1381"/>
      <c r="CA12" s="1382"/>
      <c r="CB12" s="1380" t="s">
        <v>2051</v>
      </c>
      <c r="CC12" s="1382"/>
      <c r="CD12" s="1380" t="s">
        <v>2052</v>
      </c>
      <c r="CE12" s="1381"/>
      <c r="CF12" s="1381"/>
      <c r="CG12" s="1381"/>
      <c r="CH12" s="1381"/>
      <c r="CI12" s="1381"/>
      <c r="CJ12" s="1381"/>
      <c r="CK12" s="1382"/>
      <c r="CL12" s="1436"/>
      <c r="CM12" s="1429"/>
      <c r="CN12" s="1429"/>
      <c r="CO12" s="1429"/>
      <c r="CP12" s="1429"/>
      <c r="CQ12" s="1429"/>
      <c r="CR12" s="1429"/>
      <c r="CS12" s="1429"/>
      <c r="CT12" s="1429"/>
      <c r="CU12" s="1429"/>
      <c r="CV12" s="1429"/>
      <c r="CW12" s="1429"/>
      <c r="CX12" s="1430"/>
      <c r="CY12" s="1380" t="s">
        <v>2053</v>
      </c>
      <c r="CZ12" s="1381"/>
      <c r="DA12" s="1381"/>
      <c r="DB12" s="1381"/>
      <c r="DC12" s="1381"/>
      <c r="DD12" s="1382"/>
      <c r="DE12" s="1380" t="s">
        <v>2054</v>
      </c>
      <c r="DF12" s="1382"/>
      <c r="DG12" s="1380" t="s">
        <v>2052</v>
      </c>
      <c r="DH12" s="1381"/>
      <c r="DI12" s="1381"/>
      <c r="DJ12" s="1382"/>
      <c r="DK12" s="1436"/>
      <c r="DL12" s="1429"/>
      <c r="DM12" s="1429"/>
      <c r="DN12" s="1429"/>
      <c r="DO12" s="1429"/>
      <c r="DP12" s="1429"/>
      <c r="DQ12" s="1429"/>
      <c r="DR12" s="1429"/>
      <c r="DS12" s="1429"/>
      <c r="DT12" s="1429"/>
      <c r="DU12" s="1429"/>
      <c r="DV12" s="1429"/>
      <c r="DW12" s="1429"/>
      <c r="DX12" s="1429"/>
      <c r="DY12" s="1429"/>
      <c r="DZ12" s="1429"/>
      <c r="EA12" s="1429"/>
      <c r="EB12" s="1429"/>
      <c r="EC12" s="1429"/>
      <c r="ED12" s="1429"/>
      <c r="EE12" s="1429"/>
      <c r="EF12" s="1429"/>
      <c r="EG12" s="1429"/>
      <c r="EH12" s="1429"/>
      <c r="EI12" s="1429"/>
      <c r="EJ12" s="1429"/>
      <c r="EK12" s="1429"/>
      <c r="EL12" s="1429"/>
      <c r="EM12" s="1429"/>
      <c r="EN12" s="1429"/>
      <c r="EO12" s="1429"/>
      <c r="EP12" s="1429"/>
      <c r="EQ12" s="1429"/>
      <c r="ER12" s="1429"/>
      <c r="ES12" s="1429"/>
      <c r="ET12" s="1429"/>
      <c r="EU12" s="1429"/>
      <c r="EV12" s="1429"/>
      <c r="EW12" s="1429"/>
      <c r="EX12" s="1429"/>
      <c r="EY12" s="1429"/>
      <c r="EZ12" s="1429"/>
      <c r="FA12" s="1429"/>
      <c r="FB12" s="1429"/>
      <c r="FC12" s="1429"/>
      <c r="FD12" s="1429"/>
      <c r="FE12" s="1429"/>
      <c r="FF12" s="1429"/>
      <c r="FG12" s="1429"/>
      <c r="FH12" s="1429"/>
      <c r="FI12" s="1429"/>
      <c r="FJ12" s="1429"/>
      <c r="FK12" s="1429"/>
      <c r="FL12" s="1429"/>
      <c r="FM12" s="1429"/>
      <c r="FN12" s="1429"/>
      <c r="FO12" s="1429"/>
      <c r="FP12" s="1429"/>
      <c r="FQ12" s="1429"/>
      <c r="FR12" s="1429"/>
      <c r="FS12" s="1429"/>
      <c r="FT12" s="1429"/>
      <c r="FU12" s="1429"/>
      <c r="FV12" s="1429"/>
      <c r="FW12" s="1434"/>
      <c r="FX12" s="32"/>
    </row>
    <row r="13" spans="2:180" ht="36" customHeight="1">
      <c r="D13" s="55"/>
      <c r="E13" s="558"/>
      <c r="F13" s="1163"/>
      <c r="G13" s="1163"/>
      <c r="H13" s="1163"/>
      <c r="I13" s="1163"/>
      <c r="J13" s="1446"/>
      <c r="K13" s="1446"/>
      <c r="L13" s="1446"/>
      <c r="M13" s="1446"/>
      <c r="N13" s="1446"/>
      <c r="O13" s="1168" t="s">
        <v>2055</v>
      </c>
      <c r="P13" s="1168"/>
      <c r="Q13" s="1168"/>
      <c r="R13" s="1168"/>
      <c r="S13" s="1340" t="s">
        <v>2056</v>
      </c>
      <c r="T13" s="1415"/>
      <c r="U13" s="1083" t="s">
        <v>2057</v>
      </c>
      <c r="V13" s="1083"/>
      <c r="W13" s="1083"/>
      <c r="X13" s="1083"/>
      <c r="Y13" s="1083" t="s">
        <v>2058</v>
      </c>
      <c r="Z13" s="1083"/>
      <c r="AA13" s="1083"/>
      <c r="AB13" s="1083"/>
      <c r="AC13" s="1429"/>
      <c r="AD13" s="1429"/>
      <c r="AE13" s="1429"/>
      <c r="AF13" s="1429"/>
      <c r="AG13" s="1429"/>
      <c r="AH13" s="1429"/>
      <c r="AI13" s="1429"/>
      <c r="AJ13" s="1429"/>
      <c r="AK13" s="1429"/>
      <c r="AL13" s="1429"/>
      <c r="AM13" s="1429"/>
      <c r="AN13" s="1429"/>
      <c r="AO13" s="1429"/>
      <c r="AP13" s="1429"/>
      <c r="AQ13" s="1429"/>
      <c r="AR13" s="1429"/>
      <c r="AS13" s="1429"/>
      <c r="AT13" s="1429"/>
      <c r="AU13" s="1429"/>
      <c r="AV13" s="1429"/>
      <c r="AW13" s="1429"/>
      <c r="AX13" s="1429"/>
      <c r="AY13" s="1429"/>
      <c r="AZ13" s="1429"/>
      <c r="BA13" s="1429"/>
      <c r="BB13" s="1429"/>
      <c r="BC13" s="1429"/>
      <c r="BD13" s="1429"/>
      <c r="BE13" s="1429"/>
      <c r="BF13" s="1429"/>
      <c r="BG13" s="1429"/>
      <c r="BH13" s="1429"/>
      <c r="BI13" s="1429"/>
      <c r="BJ13" s="1429"/>
      <c r="BK13" s="1429"/>
      <c r="BL13" s="1429"/>
      <c r="BM13" s="1429"/>
      <c r="BN13" s="1429"/>
      <c r="BO13" s="1429"/>
      <c r="BP13" s="1429"/>
      <c r="BQ13" s="1429"/>
      <c r="BR13" s="1429"/>
      <c r="BS13" s="1430"/>
      <c r="BT13" s="1340" t="s">
        <v>2059</v>
      </c>
      <c r="BU13" s="1415"/>
      <c r="BV13" s="1340" t="s">
        <v>2060</v>
      </c>
      <c r="BW13" s="1415"/>
      <c r="BX13" s="1340" t="s">
        <v>2061</v>
      </c>
      <c r="BY13" s="1415"/>
      <c r="BZ13" s="1340" t="s">
        <v>2062</v>
      </c>
      <c r="CA13" s="1415"/>
      <c r="CB13" s="1340" t="s">
        <v>2063</v>
      </c>
      <c r="CC13" s="1415"/>
      <c r="CD13" s="1340" t="s">
        <v>2064</v>
      </c>
      <c r="CE13" s="1415"/>
      <c r="CF13" s="1340" t="s">
        <v>2065</v>
      </c>
      <c r="CG13" s="1415"/>
      <c r="CH13" s="1380" t="s">
        <v>2066</v>
      </c>
      <c r="CI13" s="1381"/>
      <c r="CJ13" s="1381"/>
      <c r="CK13" s="1382"/>
      <c r="CL13" s="1436"/>
      <c r="CM13" s="1429"/>
      <c r="CN13" s="1429"/>
      <c r="CO13" s="1429"/>
      <c r="CP13" s="1429"/>
      <c r="CQ13" s="1429"/>
      <c r="CR13" s="1429"/>
      <c r="CS13" s="1429"/>
      <c r="CT13" s="1429"/>
      <c r="CU13" s="1429"/>
      <c r="CV13" s="1429"/>
      <c r="CW13" s="1429"/>
      <c r="CX13" s="1430"/>
      <c r="CY13" s="1340" t="s">
        <v>2067</v>
      </c>
      <c r="CZ13" s="1415"/>
      <c r="DA13" s="1340" t="s">
        <v>2068</v>
      </c>
      <c r="DB13" s="1415"/>
      <c r="DC13" s="1340" t="s">
        <v>2069</v>
      </c>
      <c r="DD13" s="1415"/>
      <c r="DE13" s="1340" t="s">
        <v>2070</v>
      </c>
      <c r="DF13" s="1415"/>
      <c r="DG13" s="1380" t="s">
        <v>2071</v>
      </c>
      <c r="DH13" s="1381"/>
      <c r="DI13" s="1381"/>
      <c r="DJ13" s="1382"/>
      <c r="DK13" s="1436"/>
      <c r="DL13" s="1429"/>
      <c r="DM13" s="1429"/>
      <c r="DN13" s="1429"/>
      <c r="DO13" s="1429"/>
      <c r="DP13" s="1429"/>
      <c r="DQ13" s="1429"/>
      <c r="DR13" s="1429"/>
      <c r="DS13" s="1429"/>
      <c r="DT13" s="1429"/>
      <c r="DU13" s="1429"/>
      <c r="DV13" s="1429"/>
      <c r="DW13" s="1429"/>
      <c r="DX13" s="1429"/>
      <c r="DY13" s="1429"/>
      <c r="DZ13" s="1429"/>
      <c r="EA13" s="1429"/>
      <c r="EB13" s="1429"/>
      <c r="EC13" s="1429"/>
      <c r="ED13" s="1429"/>
      <c r="EE13" s="1429"/>
      <c r="EF13" s="1429"/>
      <c r="EG13" s="1429"/>
      <c r="EH13" s="1429"/>
      <c r="EI13" s="1429"/>
      <c r="EJ13" s="1429"/>
      <c r="EK13" s="1429"/>
      <c r="EL13" s="1429"/>
      <c r="EM13" s="1429"/>
      <c r="EN13" s="1429"/>
      <c r="EO13" s="1429"/>
      <c r="EP13" s="1429"/>
      <c r="EQ13" s="1429"/>
      <c r="ER13" s="1429"/>
      <c r="ES13" s="1429"/>
      <c r="ET13" s="1429"/>
      <c r="EU13" s="1429"/>
      <c r="EV13" s="1429"/>
      <c r="EW13" s="1429"/>
      <c r="EX13" s="1429"/>
      <c r="EY13" s="1429"/>
      <c r="EZ13" s="1429"/>
      <c r="FA13" s="1429"/>
      <c r="FB13" s="1429"/>
      <c r="FC13" s="1429"/>
      <c r="FD13" s="1429"/>
      <c r="FE13" s="1429"/>
      <c r="FF13" s="1429"/>
      <c r="FG13" s="1429"/>
      <c r="FH13" s="1429"/>
      <c r="FI13" s="1429"/>
      <c r="FJ13" s="1429"/>
      <c r="FK13" s="1429"/>
      <c r="FL13" s="1429"/>
      <c r="FM13" s="1429"/>
      <c r="FN13" s="1429"/>
      <c r="FO13" s="1429"/>
      <c r="FP13" s="1429"/>
      <c r="FQ13" s="1429"/>
      <c r="FR13" s="1429"/>
      <c r="FS13" s="1429"/>
      <c r="FT13" s="1429"/>
      <c r="FU13" s="1429"/>
      <c r="FV13" s="1429"/>
      <c r="FW13" s="1434"/>
      <c r="FX13" s="32"/>
    </row>
    <row r="14" spans="2:180" ht="36" customHeight="1">
      <c r="D14" s="55"/>
      <c r="E14" s="558"/>
      <c r="F14" s="1163"/>
      <c r="G14" s="1163"/>
      <c r="H14" s="1163"/>
      <c r="I14" s="1163"/>
      <c r="J14" s="1446"/>
      <c r="K14" s="1446"/>
      <c r="L14" s="1446"/>
      <c r="M14" s="1446"/>
      <c r="N14" s="1446"/>
      <c r="O14" s="1340" t="s">
        <v>2072</v>
      </c>
      <c r="P14" s="1415"/>
      <c r="Q14" s="1340" t="s">
        <v>2073</v>
      </c>
      <c r="R14" s="1415"/>
      <c r="S14" s="1341"/>
      <c r="T14" s="1169"/>
      <c r="U14" s="1340" t="s">
        <v>1860</v>
      </c>
      <c r="V14" s="1415"/>
      <c r="W14" s="1340" t="s">
        <v>1863</v>
      </c>
      <c r="X14" s="1415"/>
      <c r="Y14" s="1340" t="s">
        <v>1860</v>
      </c>
      <c r="Z14" s="1415"/>
      <c r="AA14" s="1340" t="s">
        <v>1870</v>
      </c>
      <c r="AB14" s="1415"/>
      <c r="AC14" s="1429"/>
      <c r="AD14" s="1429"/>
      <c r="AE14" s="1429"/>
      <c r="AF14" s="1429"/>
      <c r="AG14" s="1429"/>
      <c r="AH14" s="1429"/>
      <c r="AI14" s="1429"/>
      <c r="AJ14" s="1429"/>
      <c r="AK14" s="1429"/>
      <c r="AL14" s="1429"/>
      <c r="AM14" s="1429"/>
      <c r="AN14" s="1429"/>
      <c r="AO14" s="1429"/>
      <c r="AP14" s="1429"/>
      <c r="AQ14" s="1429"/>
      <c r="AR14" s="1429"/>
      <c r="AS14" s="1429"/>
      <c r="AT14" s="1429"/>
      <c r="AU14" s="1429"/>
      <c r="AV14" s="1429"/>
      <c r="AW14" s="1429"/>
      <c r="AX14" s="1429"/>
      <c r="AY14" s="1429"/>
      <c r="AZ14" s="1429"/>
      <c r="BA14" s="1429"/>
      <c r="BB14" s="1429"/>
      <c r="BC14" s="1429"/>
      <c r="BD14" s="1429"/>
      <c r="BE14" s="1429"/>
      <c r="BF14" s="1429"/>
      <c r="BG14" s="1429"/>
      <c r="BH14" s="1429"/>
      <c r="BI14" s="1429"/>
      <c r="BJ14" s="1429"/>
      <c r="BK14" s="1429"/>
      <c r="BL14" s="1429"/>
      <c r="BM14" s="1429"/>
      <c r="BN14" s="1429"/>
      <c r="BO14" s="1429"/>
      <c r="BP14" s="1429"/>
      <c r="BQ14" s="1429"/>
      <c r="BR14" s="1429"/>
      <c r="BS14" s="1430"/>
      <c r="BT14" s="1341"/>
      <c r="BU14" s="1169"/>
      <c r="BV14" s="1341"/>
      <c r="BW14" s="1169"/>
      <c r="BX14" s="1341"/>
      <c r="BY14" s="1169"/>
      <c r="BZ14" s="1341"/>
      <c r="CA14" s="1169"/>
      <c r="CB14" s="1341"/>
      <c r="CC14" s="1169"/>
      <c r="CD14" s="1341"/>
      <c r="CE14" s="1169"/>
      <c r="CF14" s="1341"/>
      <c r="CG14" s="1169"/>
      <c r="CH14" s="1340" t="s">
        <v>2074</v>
      </c>
      <c r="CI14" s="1415"/>
      <c r="CJ14" s="1340" t="s">
        <v>2075</v>
      </c>
      <c r="CK14" s="1415"/>
      <c r="CL14" s="1436"/>
      <c r="CM14" s="1429"/>
      <c r="CN14" s="1429"/>
      <c r="CO14" s="1429"/>
      <c r="CP14" s="1429"/>
      <c r="CQ14" s="1429"/>
      <c r="CR14" s="1429"/>
      <c r="CS14" s="1429"/>
      <c r="CT14" s="1429"/>
      <c r="CU14" s="1429"/>
      <c r="CV14" s="1429"/>
      <c r="CW14" s="1429"/>
      <c r="CX14" s="1430"/>
      <c r="CY14" s="1341"/>
      <c r="CZ14" s="1169"/>
      <c r="DA14" s="1341"/>
      <c r="DB14" s="1169"/>
      <c r="DC14" s="1341"/>
      <c r="DD14" s="1169"/>
      <c r="DE14" s="1341"/>
      <c r="DF14" s="1169"/>
      <c r="DG14" s="1340" t="s">
        <v>2076</v>
      </c>
      <c r="DH14" s="1415"/>
      <c r="DI14" s="1340" t="s">
        <v>2077</v>
      </c>
      <c r="DJ14" s="1415"/>
      <c r="DK14" s="1436"/>
      <c r="DL14" s="1429"/>
      <c r="DM14" s="1429"/>
      <c r="DN14" s="1429"/>
      <c r="DO14" s="1429"/>
      <c r="DP14" s="1429"/>
      <c r="DQ14" s="1429"/>
      <c r="DR14" s="1429"/>
      <c r="DS14" s="1429"/>
      <c r="DT14" s="1429"/>
      <c r="DU14" s="1429"/>
      <c r="DV14" s="1429"/>
      <c r="DW14" s="1429"/>
      <c r="DX14" s="1429"/>
      <c r="DY14" s="1429"/>
      <c r="DZ14" s="1429"/>
      <c r="EA14" s="1429"/>
      <c r="EB14" s="1429"/>
      <c r="EC14" s="1429"/>
      <c r="ED14" s="1429"/>
      <c r="EE14" s="1429"/>
      <c r="EF14" s="1429"/>
      <c r="EG14" s="1429"/>
      <c r="EH14" s="1429"/>
      <c r="EI14" s="1429"/>
      <c r="EJ14" s="1429"/>
      <c r="EK14" s="1429"/>
      <c r="EL14" s="1429"/>
      <c r="EM14" s="1429"/>
      <c r="EN14" s="1429"/>
      <c r="EO14" s="1429"/>
      <c r="EP14" s="1429"/>
      <c r="EQ14" s="1429"/>
      <c r="ER14" s="1429"/>
      <c r="ES14" s="1429"/>
      <c r="ET14" s="1429"/>
      <c r="EU14" s="1429"/>
      <c r="EV14" s="1429"/>
      <c r="EW14" s="1429"/>
      <c r="EX14" s="1429"/>
      <c r="EY14" s="1429"/>
      <c r="EZ14" s="1429"/>
      <c r="FA14" s="1429"/>
      <c r="FB14" s="1429"/>
      <c r="FC14" s="1429"/>
      <c r="FD14" s="1429"/>
      <c r="FE14" s="1429"/>
      <c r="FF14" s="1429"/>
      <c r="FG14" s="1429"/>
      <c r="FH14" s="1429"/>
      <c r="FI14" s="1429"/>
      <c r="FJ14" s="1429"/>
      <c r="FK14" s="1429"/>
      <c r="FL14" s="1429"/>
      <c r="FM14" s="1429"/>
      <c r="FN14" s="1429"/>
      <c r="FO14" s="1429"/>
      <c r="FP14" s="1429"/>
      <c r="FQ14" s="1429"/>
      <c r="FR14" s="1429"/>
      <c r="FS14" s="1429"/>
      <c r="FT14" s="1429"/>
      <c r="FU14" s="1429"/>
      <c r="FV14" s="1429"/>
      <c r="FW14" s="1434"/>
      <c r="FX14" s="32"/>
    </row>
    <row r="15" spans="2:180" ht="36" customHeight="1">
      <c r="D15" s="55"/>
      <c r="E15" s="558"/>
      <c r="F15" s="1163"/>
      <c r="G15" s="1163"/>
      <c r="H15" s="1163"/>
      <c r="I15" s="1163"/>
      <c r="J15" s="1446"/>
      <c r="K15" s="1446"/>
      <c r="L15" s="1446"/>
      <c r="M15" s="1446"/>
      <c r="N15" s="1446"/>
      <c r="O15" s="1342"/>
      <c r="P15" s="1416"/>
      <c r="Q15" s="1342"/>
      <c r="R15" s="1416"/>
      <c r="S15" s="1342"/>
      <c r="T15" s="1416"/>
      <c r="U15" s="1342"/>
      <c r="V15" s="1416"/>
      <c r="W15" s="1342"/>
      <c r="X15" s="1416"/>
      <c r="Y15" s="1342"/>
      <c r="Z15" s="1416"/>
      <c r="AA15" s="1342"/>
      <c r="AB15" s="1416"/>
      <c r="AC15" s="1429"/>
      <c r="AD15" s="1429"/>
      <c r="AE15" s="1429"/>
      <c r="AF15" s="1429"/>
      <c r="AG15" s="1429"/>
      <c r="AH15" s="1429"/>
      <c r="AI15" s="1429"/>
      <c r="AJ15" s="1429"/>
      <c r="AK15" s="1429"/>
      <c r="AL15" s="1429"/>
      <c r="AM15" s="1429"/>
      <c r="AN15" s="1429"/>
      <c r="AO15" s="1429"/>
      <c r="AP15" s="1429"/>
      <c r="AQ15" s="1429"/>
      <c r="AR15" s="1429"/>
      <c r="AS15" s="1429"/>
      <c r="AT15" s="1429"/>
      <c r="AU15" s="1429"/>
      <c r="AV15" s="1429"/>
      <c r="AW15" s="1429"/>
      <c r="AX15" s="1429"/>
      <c r="AY15" s="1429"/>
      <c r="AZ15" s="1429"/>
      <c r="BA15" s="1429"/>
      <c r="BB15" s="1429"/>
      <c r="BC15" s="1429"/>
      <c r="BD15" s="1429"/>
      <c r="BE15" s="1429"/>
      <c r="BF15" s="1429"/>
      <c r="BG15" s="1429"/>
      <c r="BH15" s="1429"/>
      <c r="BI15" s="1429"/>
      <c r="BJ15" s="1429"/>
      <c r="BK15" s="1429"/>
      <c r="BL15" s="1429"/>
      <c r="BM15" s="1429"/>
      <c r="BN15" s="1429"/>
      <c r="BO15" s="1429"/>
      <c r="BP15" s="1429"/>
      <c r="BQ15" s="1429"/>
      <c r="BR15" s="1429"/>
      <c r="BS15" s="1430"/>
      <c r="BT15" s="1342"/>
      <c r="BU15" s="1416"/>
      <c r="BV15" s="1342"/>
      <c r="BW15" s="1416"/>
      <c r="BX15" s="1342"/>
      <c r="BY15" s="1416"/>
      <c r="BZ15" s="1342"/>
      <c r="CA15" s="1416"/>
      <c r="CB15" s="1342"/>
      <c r="CC15" s="1416"/>
      <c r="CD15" s="1342"/>
      <c r="CE15" s="1416"/>
      <c r="CF15" s="1342"/>
      <c r="CG15" s="1416"/>
      <c r="CH15" s="1342"/>
      <c r="CI15" s="1416"/>
      <c r="CJ15" s="1342"/>
      <c r="CK15" s="1416"/>
      <c r="CL15" s="1436"/>
      <c r="CM15" s="1429"/>
      <c r="CN15" s="1429"/>
      <c r="CO15" s="1429"/>
      <c r="CP15" s="1429"/>
      <c r="CQ15" s="1429"/>
      <c r="CR15" s="1429"/>
      <c r="CS15" s="1429"/>
      <c r="CT15" s="1429"/>
      <c r="CU15" s="1429"/>
      <c r="CV15" s="1429"/>
      <c r="CW15" s="1429"/>
      <c r="CX15" s="1430"/>
      <c r="CY15" s="1342"/>
      <c r="CZ15" s="1416"/>
      <c r="DA15" s="1342"/>
      <c r="DB15" s="1416"/>
      <c r="DC15" s="1342"/>
      <c r="DD15" s="1416"/>
      <c r="DE15" s="1342"/>
      <c r="DF15" s="1416"/>
      <c r="DG15" s="1342"/>
      <c r="DH15" s="1416"/>
      <c r="DI15" s="1342"/>
      <c r="DJ15" s="1416"/>
      <c r="DK15" s="1436"/>
      <c r="DL15" s="1429"/>
      <c r="DM15" s="1429"/>
      <c r="DN15" s="1429"/>
      <c r="DO15" s="1429"/>
      <c r="DP15" s="1429"/>
      <c r="DQ15" s="1429"/>
      <c r="DR15" s="1429"/>
      <c r="DS15" s="1429"/>
      <c r="DT15" s="1429"/>
      <c r="DU15" s="1429"/>
      <c r="DV15" s="1429"/>
      <c r="DW15" s="1429"/>
      <c r="DX15" s="1429"/>
      <c r="DY15" s="1429"/>
      <c r="DZ15" s="1429"/>
      <c r="EA15" s="1429"/>
      <c r="EB15" s="1429"/>
      <c r="EC15" s="1429"/>
      <c r="ED15" s="1429"/>
      <c r="EE15" s="1429"/>
      <c r="EF15" s="1429"/>
      <c r="EG15" s="1429"/>
      <c r="EH15" s="1429"/>
      <c r="EI15" s="1429"/>
      <c r="EJ15" s="1429"/>
      <c r="EK15" s="1429"/>
      <c r="EL15" s="1429"/>
      <c r="EM15" s="1429"/>
      <c r="EN15" s="1429"/>
      <c r="EO15" s="1429"/>
      <c r="EP15" s="1429"/>
      <c r="EQ15" s="1429"/>
      <c r="ER15" s="1429"/>
      <c r="ES15" s="1429"/>
      <c r="ET15" s="1429"/>
      <c r="EU15" s="1429"/>
      <c r="EV15" s="1429"/>
      <c r="EW15" s="1429"/>
      <c r="EX15" s="1429"/>
      <c r="EY15" s="1429"/>
      <c r="EZ15" s="1429"/>
      <c r="FA15" s="1429"/>
      <c r="FB15" s="1429"/>
      <c r="FC15" s="1429"/>
      <c r="FD15" s="1429"/>
      <c r="FE15" s="1429"/>
      <c r="FF15" s="1429"/>
      <c r="FG15" s="1429"/>
      <c r="FH15" s="1429"/>
      <c r="FI15" s="1429"/>
      <c r="FJ15" s="1429"/>
      <c r="FK15" s="1429"/>
      <c r="FL15" s="1429"/>
      <c r="FM15" s="1429"/>
      <c r="FN15" s="1429"/>
      <c r="FO15" s="1429"/>
      <c r="FP15" s="1429"/>
      <c r="FQ15" s="1429"/>
      <c r="FR15" s="1429"/>
      <c r="FS15" s="1429"/>
      <c r="FT15" s="1429"/>
      <c r="FU15" s="1429"/>
      <c r="FV15" s="1429"/>
      <c r="FW15" s="1434"/>
      <c r="FX15" s="32"/>
    </row>
    <row r="16" spans="2:180" ht="12" customHeight="1">
      <c r="D16" s="55"/>
      <c r="E16" s="558"/>
      <c r="F16" s="1163"/>
      <c r="G16" s="1163"/>
      <c r="H16" s="1163"/>
      <c r="I16" s="1163"/>
      <c r="J16" s="1446"/>
      <c r="K16" s="1446"/>
      <c r="L16" s="1446"/>
      <c r="M16" s="1446"/>
      <c r="N16" s="1446"/>
      <c r="O16" s="1380" t="s">
        <v>1850</v>
      </c>
      <c r="P16" s="1382"/>
      <c r="Q16" s="1380" t="s">
        <v>1852</v>
      </c>
      <c r="R16" s="1382"/>
      <c r="S16" s="1380" t="s">
        <v>1856</v>
      </c>
      <c r="T16" s="1382"/>
      <c r="U16" s="1380" t="s">
        <v>1861</v>
      </c>
      <c r="V16" s="1382"/>
      <c r="W16" s="1380" t="s">
        <v>1864</v>
      </c>
      <c r="X16" s="1382"/>
      <c r="Y16" s="1380" t="s">
        <v>1868</v>
      </c>
      <c r="Z16" s="1382"/>
      <c r="AA16" s="1380" t="s">
        <v>1871</v>
      </c>
      <c r="AB16" s="1382"/>
      <c r="AC16" s="1429"/>
      <c r="AD16" s="1429"/>
      <c r="AE16" s="1429"/>
      <c r="AF16" s="1429"/>
      <c r="AG16" s="1429"/>
      <c r="AH16" s="1429"/>
      <c r="AI16" s="1429"/>
      <c r="AJ16" s="1429"/>
      <c r="AK16" s="1429"/>
      <c r="AL16" s="1429"/>
      <c r="AM16" s="1429"/>
      <c r="AN16" s="1429"/>
      <c r="AO16" s="1429"/>
      <c r="AP16" s="1429"/>
      <c r="AQ16" s="1429"/>
      <c r="AR16" s="1429"/>
      <c r="AS16" s="1429"/>
      <c r="AT16" s="1429"/>
      <c r="AU16" s="1429"/>
      <c r="AV16" s="1429"/>
      <c r="AW16" s="1429"/>
      <c r="AX16" s="1429"/>
      <c r="AY16" s="1429"/>
      <c r="AZ16" s="1429"/>
      <c r="BA16" s="1429"/>
      <c r="BB16" s="1429"/>
      <c r="BC16" s="1429"/>
      <c r="BD16" s="1429"/>
      <c r="BE16" s="1429"/>
      <c r="BF16" s="1429"/>
      <c r="BG16" s="1429"/>
      <c r="BH16" s="1429"/>
      <c r="BI16" s="1429"/>
      <c r="BJ16" s="1429"/>
      <c r="BK16" s="1429"/>
      <c r="BL16" s="1429"/>
      <c r="BM16" s="1429"/>
      <c r="BN16" s="1429"/>
      <c r="BO16" s="1429"/>
      <c r="BP16" s="1429"/>
      <c r="BQ16" s="1429"/>
      <c r="BR16" s="1429"/>
      <c r="BS16" s="1430"/>
      <c r="BT16" s="1380" t="s">
        <v>1629</v>
      </c>
      <c r="BU16" s="1382"/>
      <c r="BV16" s="1380" t="s">
        <v>1629</v>
      </c>
      <c r="BW16" s="1382"/>
      <c r="BX16" s="1380" t="s">
        <v>1629</v>
      </c>
      <c r="BY16" s="1382"/>
      <c r="BZ16" s="1380" t="s">
        <v>1629</v>
      </c>
      <c r="CA16" s="1382"/>
      <c r="CB16" s="1380" t="s">
        <v>2078</v>
      </c>
      <c r="CC16" s="1382"/>
      <c r="CD16" s="1380" t="s">
        <v>1629</v>
      </c>
      <c r="CE16" s="1382"/>
      <c r="CF16" s="1380" t="s">
        <v>2079</v>
      </c>
      <c r="CG16" s="1382"/>
      <c r="CH16" s="1380" t="s">
        <v>2080</v>
      </c>
      <c r="CI16" s="1382"/>
      <c r="CJ16" s="1380" t="s">
        <v>2080</v>
      </c>
      <c r="CK16" s="1382"/>
      <c r="CL16" s="1436"/>
      <c r="CM16" s="1429"/>
      <c r="CN16" s="1429"/>
      <c r="CO16" s="1429"/>
      <c r="CP16" s="1429"/>
      <c r="CQ16" s="1429"/>
      <c r="CR16" s="1429"/>
      <c r="CS16" s="1429"/>
      <c r="CT16" s="1429"/>
      <c r="CU16" s="1429"/>
      <c r="CV16" s="1429"/>
      <c r="CW16" s="1429"/>
      <c r="CX16" s="1430"/>
      <c r="CY16" s="1340" t="s">
        <v>1629</v>
      </c>
      <c r="CZ16" s="1415"/>
      <c r="DA16" s="1340" t="s">
        <v>1629</v>
      </c>
      <c r="DB16" s="1415"/>
      <c r="DC16" s="1340" t="s">
        <v>1629</v>
      </c>
      <c r="DD16" s="1415"/>
      <c r="DE16" s="1380" t="s">
        <v>2078</v>
      </c>
      <c r="DF16" s="1382"/>
      <c r="DG16" s="1380" t="s">
        <v>2081</v>
      </c>
      <c r="DH16" s="1382"/>
      <c r="DI16" s="1380" t="s">
        <v>2081</v>
      </c>
      <c r="DJ16" s="1382"/>
      <c r="DK16" s="1436"/>
      <c r="DL16" s="1429"/>
      <c r="DM16" s="1429"/>
      <c r="DN16" s="1429"/>
      <c r="DO16" s="1429"/>
      <c r="DP16" s="1429"/>
      <c r="DQ16" s="1429"/>
      <c r="DR16" s="1429"/>
      <c r="DS16" s="1429"/>
      <c r="DT16" s="1429"/>
      <c r="DU16" s="1429"/>
      <c r="DV16" s="1429"/>
      <c r="DW16" s="1429"/>
      <c r="DX16" s="1429"/>
      <c r="DY16" s="1429"/>
      <c r="DZ16" s="1429"/>
      <c r="EA16" s="1429"/>
      <c r="EB16" s="1429"/>
      <c r="EC16" s="1429"/>
      <c r="ED16" s="1429"/>
      <c r="EE16" s="1429"/>
      <c r="EF16" s="1429"/>
      <c r="EG16" s="1429"/>
      <c r="EH16" s="1429"/>
      <c r="EI16" s="1429"/>
      <c r="EJ16" s="1429"/>
      <c r="EK16" s="1429"/>
      <c r="EL16" s="1429"/>
      <c r="EM16" s="1429"/>
      <c r="EN16" s="1429"/>
      <c r="EO16" s="1429"/>
      <c r="EP16" s="1429"/>
      <c r="EQ16" s="1429"/>
      <c r="ER16" s="1429"/>
      <c r="ES16" s="1429"/>
      <c r="ET16" s="1429"/>
      <c r="EU16" s="1429"/>
      <c r="EV16" s="1429"/>
      <c r="EW16" s="1429"/>
      <c r="EX16" s="1429"/>
      <c r="EY16" s="1429"/>
      <c r="EZ16" s="1429"/>
      <c r="FA16" s="1429"/>
      <c r="FB16" s="1429"/>
      <c r="FC16" s="1429"/>
      <c r="FD16" s="1429"/>
      <c r="FE16" s="1429"/>
      <c r="FF16" s="1429"/>
      <c r="FG16" s="1429"/>
      <c r="FH16" s="1429"/>
      <c r="FI16" s="1429"/>
      <c r="FJ16" s="1429"/>
      <c r="FK16" s="1429"/>
      <c r="FL16" s="1429"/>
      <c r="FM16" s="1429"/>
      <c r="FN16" s="1429"/>
      <c r="FO16" s="1429"/>
      <c r="FP16" s="1429"/>
      <c r="FQ16" s="1429"/>
      <c r="FR16" s="1429"/>
      <c r="FS16" s="1429"/>
      <c r="FT16" s="1429"/>
      <c r="FU16" s="1429"/>
      <c r="FV16" s="1429"/>
      <c r="FW16" s="1434"/>
      <c r="FX16" s="32"/>
    </row>
    <row r="17" spans="1:184" ht="15" customHeight="1">
      <c r="E17" s="558"/>
      <c r="F17" s="1163"/>
      <c r="G17" s="1163"/>
      <c r="H17" s="1163"/>
      <c r="I17" s="1163"/>
      <c r="J17" s="1446"/>
      <c r="K17" s="1446"/>
      <c r="L17" s="1446"/>
      <c r="M17" s="1446"/>
      <c r="N17" s="1446"/>
      <c r="O17" s="34" t="s">
        <v>2082</v>
      </c>
      <c r="P17" s="34" t="s">
        <v>2083</v>
      </c>
      <c r="Q17" s="34" t="s">
        <v>2082</v>
      </c>
      <c r="R17" s="34" t="s">
        <v>2083</v>
      </c>
      <c r="S17" s="34" t="s">
        <v>2082</v>
      </c>
      <c r="T17" s="34" t="s">
        <v>2083</v>
      </c>
      <c r="U17" s="34" t="s">
        <v>2082</v>
      </c>
      <c r="V17" s="34" t="s">
        <v>2083</v>
      </c>
      <c r="W17" s="34" t="s">
        <v>2082</v>
      </c>
      <c r="X17" s="34" t="s">
        <v>2083</v>
      </c>
      <c r="Y17" s="34" t="s">
        <v>2082</v>
      </c>
      <c r="Z17" s="34" t="s">
        <v>2083</v>
      </c>
      <c r="AA17" s="34" t="s">
        <v>2082</v>
      </c>
      <c r="AB17" s="34" t="s">
        <v>2083</v>
      </c>
      <c r="AC17" s="1429"/>
      <c r="AD17" s="1429"/>
      <c r="AE17" s="1429"/>
      <c r="AF17" s="1429"/>
      <c r="AG17" s="1429"/>
      <c r="AH17" s="1429"/>
      <c r="AI17" s="1429"/>
      <c r="AJ17" s="1429"/>
      <c r="AK17" s="1429"/>
      <c r="AL17" s="1429"/>
      <c r="AM17" s="1429"/>
      <c r="AN17" s="1429"/>
      <c r="AO17" s="1429"/>
      <c r="AP17" s="1429"/>
      <c r="AQ17" s="1429"/>
      <c r="AR17" s="1429"/>
      <c r="AS17" s="1429"/>
      <c r="AT17" s="1429"/>
      <c r="AU17" s="1429"/>
      <c r="AV17" s="1429"/>
      <c r="AW17" s="1429"/>
      <c r="AX17" s="1429"/>
      <c r="AY17" s="1429"/>
      <c r="AZ17" s="1429"/>
      <c r="BA17" s="1429"/>
      <c r="BB17" s="1429"/>
      <c r="BC17" s="1429"/>
      <c r="BD17" s="1429"/>
      <c r="BE17" s="1429"/>
      <c r="BF17" s="1429"/>
      <c r="BG17" s="1429"/>
      <c r="BH17" s="1429"/>
      <c r="BI17" s="1429"/>
      <c r="BJ17" s="1429"/>
      <c r="BK17" s="1429"/>
      <c r="BL17" s="1429"/>
      <c r="BM17" s="1429"/>
      <c r="BN17" s="1429"/>
      <c r="BO17" s="1429"/>
      <c r="BP17" s="1429"/>
      <c r="BQ17" s="1429"/>
      <c r="BR17" s="1429"/>
      <c r="BS17" s="1430"/>
      <c r="BT17" s="34" t="s">
        <v>2082</v>
      </c>
      <c r="BU17" s="34" t="s">
        <v>2083</v>
      </c>
      <c r="BV17" s="34" t="s">
        <v>2082</v>
      </c>
      <c r="BW17" s="34" t="s">
        <v>2083</v>
      </c>
      <c r="BX17" s="34" t="s">
        <v>2082</v>
      </c>
      <c r="BY17" s="34" t="s">
        <v>2083</v>
      </c>
      <c r="BZ17" s="34" t="s">
        <v>2082</v>
      </c>
      <c r="CA17" s="34" t="s">
        <v>2083</v>
      </c>
      <c r="CB17" s="34" t="s">
        <v>2082</v>
      </c>
      <c r="CC17" s="34" t="s">
        <v>2083</v>
      </c>
      <c r="CD17" s="34" t="s">
        <v>2082</v>
      </c>
      <c r="CE17" s="34" t="s">
        <v>2083</v>
      </c>
      <c r="CF17" s="34" t="s">
        <v>2082</v>
      </c>
      <c r="CG17" s="34" t="s">
        <v>2083</v>
      </c>
      <c r="CH17" s="34" t="s">
        <v>2082</v>
      </c>
      <c r="CI17" s="34" t="s">
        <v>2083</v>
      </c>
      <c r="CJ17" s="34" t="s">
        <v>2082</v>
      </c>
      <c r="CK17" s="34" t="s">
        <v>2083</v>
      </c>
      <c r="CL17" s="1436"/>
      <c r="CM17" s="1429"/>
      <c r="CN17" s="1429"/>
      <c r="CO17" s="1429"/>
      <c r="CP17" s="1429"/>
      <c r="CQ17" s="1429"/>
      <c r="CR17" s="1429"/>
      <c r="CS17" s="1429"/>
      <c r="CT17" s="1429"/>
      <c r="CU17" s="1429"/>
      <c r="CV17" s="1429"/>
      <c r="CW17" s="1429"/>
      <c r="CX17" s="1430"/>
      <c r="CY17" s="34" t="s">
        <v>2082</v>
      </c>
      <c r="CZ17" s="34" t="s">
        <v>2083</v>
      </c>
      <c r="DA17" s="34" t="s">
        <v>2082</v>
      </c>
      <c r="DB17" s="34" t="s">
        <v>2083</v>
      </c>
      <c r="DC17" s="34" t="s">
        <v>2082</v>
      </c>
      <c r="DD17" s="34" t="s">
        <v>2083</v>
      </c>
      <c r="DE17" s="34" t="s">
        <v>2082</v>
      </c>
      <c r="DF17" s="34" t="s">
        <v>2083</v>
      </c>
      <c r="DG17" s="34" t="s">
        <v>2082</v>
      </c>
      <c r="DH17" s="34" t="s">
        <v>2083</v>
      </c>
      <c r="DI17" s="34" t="s">
        <v>2082</v>
      </c>
      <c r="DJ17" s="34" t="s">
        <v>2083</v>
      </c>
      <c r="DK17" s="1436"/>
      <c r="DL17" s="1429"/>
      <c r="DM17" s="1429"/>
      <c r="DN17" s="1429"/>
      <c r="DO17" s="1429"/>
      <c r="DP17" s="1429"/>
      <c r="DQ17" s="1429"/>
      <c r="DR17" s="1429"/>
      <c r="DS17" s="1429"/>
      <c r="DT17" s="1429"/>
      <c r="DU17" s="1429"/>
      <c r="DV17" s="1429"/>
      <c r="DW17" s="1429"/>
      <c r="DX17" s="1429"/>
      <c r="DY17" s="1429"/>
      <c r="DZ17" s="1429"/>
      <c r="EA17" s="1429"/>
      <c r="EB17" s="1429"/>
      <c r="EC17" s="1429"/>
      <c r="ED17" s="1429"/>
      <c r="EE17" s="1429"/>
      <c r="EF17" s="1429"/>
      <c r="EG17" s="1429"/>
      <c r="EH17" s="1429"/>
      <c r="EI17" s="1429"/>
      <c r="EJ17" s="1429"/>
      <c r="EK17" s="1429"/>
      <c r="EL17" s="1429"/>
      <c r="EM17" s="1429"/>
      <c r="EN17" s="1429"/>
      <c r="EO17" s="1429"/>
      <c r="EP17" s="1429"/>
      <c r="EQ17" s="1429"/>
      <c r="ER17" s="1429"/>
      <c r="ES17" s="1429"/>
      <c r="ET17" s="1429"/>
      <c r="EU17" s="1429"/>
      <c r="EV17" s="1429"/>
      <c r="EW17" s="1429"/>
      <c r="EX17" s="1429"/>
      <c r="EY17" s="1429"/>
      <c r="EZ17" s="1429"/>
      <c r="FA17" s="1429"/>
      <c r="FB17" s="1429"/>
      <c r="FC17" s="1429"/>
      <c r="FD17" s="1429"/>
      <c r="FE17" s="1429"/>
      <c r="FF17" s="1429"/>
      <c r="FG17" s="1429"/>
      <c r="FH17" s="1429"/>
      <c r="FI17" s="1429"/>
      <c r="FJ17" s="1429"/>
      <c r="FK17" s="1429"/>
      <c r="FL17" s="1429"/>
      <c r="FM17" s="1429"/>
      <c r="FN17" s="1429"/>
      <c r="FO17" s="1429"/>
      <c r="FP17" s="1429"/>
      <c r="FQ17" s="1429"/>
      <c r="FR17" s="1429"/>
      <c r="FS17" s="1429"/>
      <c r="FT17" s="1429"/>
      <c r="FU17" s="1429"/>
      <c r="FV17" s="1429"/>
      <c r="FW17" s="1435"/>
      <c r="FX17" s="32"/>
    </row>
    <row r="18" spans="1:184" s="551" customFormat="1" ht="12" hidden="1" customHeight="1">
      <c r="B18" s="552"/>
      <c r="E18" s="559"/>
      <c r="F18" s="708"/>
      <c r="G18" s="708"/>
      <c r="H18" s="708"/>
      <c r="I18" s="708"/>
      <c r="J18" s="709"/>
      <c r="K18" s="709"/>
      <c r="L18" s="709"/>
      <c r="M18" s="709"/>
      <c r="N18" s="709"/>
      <c r="O18" s="708"/>
      <c r="P18" s="708"/>
      <c r="Q18" s="708"/>
      <c r="R18" s="708"/>
      <c r="S18" s="708"/>
      <c r="T18" s="708"/>
      <c r="U18" s="710"/>
      <c r="V18" s="710"/>
      <c r="W18" s="710"/>
      <c r="X18" s="710"/>
      <c r="Y18" s="710"/>
      <c r="Z18" s="710"/>
      <c r="AA18" s="710"/>
      <c r="AB18" s="708"/>
      <c r="AC18" s="709"/>
      <c r="AD18" s="709"/>
      <c r="AE18" s="709"/>
      <c r="AF18" s="709"/>
      <c r="AG18" s="709"/>
      <c r="AH18" s="709"/>
      <c r="AI18" s="709"/>
      <c r="AJ18" s="709"/>
      <c r="AK18" s="709"/>
      <c r="AL18" s="709"/>
      <c r="AM18" s="709"/>
      <c r="AN18" s="709"/>
      <c r="AO18" s="709"/>
      <c r="AP18" s="709"/>
      <c r="AQ18" s="709"/>
      <c r="AR18" s="709"/>
      <c r="AS18" s="709"/>
      <c r="AT18" s="709"/>
      <c r="AU18" s="709"/>
      <c r="AV18" s="709"/>
      <c r="AW18" s="709"/>
      <c r="AX18" s="709"/>
      <c r="AY18" s="709"/>
      <c r="AZ18" s="709"/>
      <c r="BA18" s="709"/>
      <c r="BB18" s="709"/>
      <c r="BC18" s="709"/>
      <c r="BD18" s="709"/>
      <c r="BE18" s="709"/>
      <c r="BF18" s="709"/>
      <c r="BG18" s="709"/>
      <c r="BH18" s="709"/>
      <c r="BI18" s="709"/>
      <c r="BJ18" s="709"/>
      <c r="BK18" s="709"/>
      <c r="BL18" s="709"/>
      <c r="BM18" s="709"/>
      <c r="BN18" s="709"/>
      <c r="BO18" s="709"/>
      <c r="BP18" s="709"/>
      <c r="BQ18" s="709"/>
      <c r="BR18" s="709"/>
      <c r="BS18" s="709"/>
      <c r="BT18" s="711"/>
      <c r="BU18" s="711"/>
      <c r="BV18" s="711"/>
      <c r="BW18" s="711"/>
      <c r="BX18" s="711"/>
      <c r="BY18" s="711"/>
      <c r="BZ18" s="711"/>
      <c r="CA18" s="711"/>
      <c r="CB18" s="711"/>
      <c r="CC18" s="711"/>
      <c r="CD18" s="711"/>
      <c r="CE18" s="711"/>
      <c r="CF18" s="711"/>
      <c r="CG18" s="711"/>
      <c r="CH18" s="711"/>
      <c r="CI18" s="711"/>
      <c r="CJ18" s="711"/>
      <c r="CK18" s="711"/>
      <c r="CL18" s="709"/>
      <c r="CM18" s="709"/>
      <c r="CN18" s="709"/>
      <c r="CO18" s="709"/>
      <c r="CP18" s="709"/>
      <c r="CQ18" s="709"/>
      <c r="CR18" s="709"/>
      <c r="CS18" s="709"/>
      <c r="CT18" s="709"/>
      <c r="CU18" s="709"/>
      <c r="CV18" s="709"/>
      <c r="CW18" s="709"/>
      <c r="CX18" s="709"/>
      <c r="CY18" s="711"/>
      <c r="CZ18" s="711"/>
      <c r="DA18" s="711"/>
      <c r="DB18" s="711"/>
      <c r="DC18" s="711"/>
      <c r="DD18" s="711"/>
      <c r="DE18" s="711"/>
      <c r="DF18" s="711"/>
      <c r="DG18" s="711"/>
      <c r="DH18" s="711"/>
      <c r="DI18" s="711"/>
      <c r="DJ18" s="711"/>
      <c r="DK18" s="709"/>
      <c r="DL18" s="709"/>
      <c r="DM18" s="709"/>
      <c r="DN18" s="709"/>
      <c r="DO18" s="709"/>
      <c r="DP18" s="709"/>
      <c r="DQ18" s="709"/>
      <c r="DR18" s="709"/>
      <c r="DS18" s="709"/>
      <c r="DT18" s="709"/>
      <c r="DU18" s="709"/>
      <c r="DV18" s="709"/>
      <c r="DW18" s="709"/>
      <c r="DX18" s="709"/>
      <c r="DY18" s="709"/>
      <c r="DZ18" s="709"/>
      <c r="EA18" s="709"/>
      <c r="EB18" s="709"/>
      <c r="EC18" s="709"/>
      <c r="ED18" s="709"/>
      <c r="EE18" s="709"/>
      <c r="EF18" s="709"/>
      <c r="EG18" s="709"/>
      <c r="EH18" s="709"/>
      <c r="EI18" s="709"/>
      <c r="EJ18" s="709"/>
      <c r="EK18" s="709"/>
      <c r="EL18" s="709"/>
      <c r="EM18" s="709"/>
      <c r="EN18" s="709"/>
      <c r="EO18" s="709"/>
      <c r="EP18" s="709"/>
      <c r="EQ18" s="709"/>
      <c r="ER18" s="709"/>
      <c r="ES18" s="709"/>
      <c r="ET18" s="709"/>
      <c r="EU18" s="709"/>
      <c r="EV18" s="709"/>
      <c r="EW18" s="709"/>
      <c r="EX18" s="709"/>
      <c r="EY18" s="709"/>
      <c r="EZ18" s="709"/>
      <c r="FA18" s="709"/>
      <c r="FB18" s="709"/>
      <c r="FC18" s="709"/>
      <c r="FD18" s="709"/>
      <c r="FE18" s="709"/>
      <c r="FF18" s="709"/>
      <c r="FG18" s="709"/>
      <c r="FH18" s="709"/>
      <c r="FI18" s="709"/>
      <c r="FJ18" s="709"/>
      <c r="FK18" s="709"/>
      <c r="FL18" s="709"/>
      <c r="FM18" s="709"/>
      <c r="FN18" s="709"/>
      <c r="FO18" s="709"/>
      <c r="FP18" s="709"/>
      <c r="FQ18" s="709"/>
      <c r="FR18" s="709"/>
      <c r="FS18" s="709"/>
      <c r="FT18" s="709"/>
      <c r="FU18" s="709"/>
      <c r="FV18" s="709"/>
      <c r="FW18" s="708"/>
      <c r="FX18" s="220"/>
    </row>
    <row r="19" spans="1:184" s="551" customFormat="1" ht="11.25" hidden="1" customHeight="1">
      <c r="B19" s="552"/>
      <c r="E19" s="559"/>
      <c r="F19" s="708"/>
      <c r="G19" s="708"/>
      <c r="H19" s="708"/>
      <c r="I19" s="708"/>
      <c r="J19" s="708"/>
      <c r="K19" s="708"/>
      <c r="L19" s="708"/>
      <c r="M19" s="708"/>
      <c r="N19" s="708"/>
      <c r="O19" s="708"/>
      <c r="P19" s="708"/>
      <c r="Q19" s="708"/>
      <c r="R19" s="708"/>
      <c r="S19" s="708"/>
      <c r="T19" s="708"/>
      <c r="U19" s="710"/>
      <c r="V19" s="710"/>
      <c r="W19" s="710"/>
      <c r="X19" s="710"/>
      <c r="Y19" s="710"/>
      <c r="Z19" s="710"/>
      <c r="AA19" s="710"/>
      <c r="AB19" s="708"/>
      <c r="AC19" s="708"/>
      <c r="AD19" s="708"/>
      <c r="AE19" s="708"/>
      <c r="AF19" s="708"/>
      <c r="AG19" s="708"/>
      <c r="AH19" s="708"/>
      <c r="AI19" s="708"/>
      <c r="AJ19" s="708"/>
      <c r="AK19" s="708"/>
      <c r="AL19" s="708"/>
      <c r="AM19" s="708"/>
      <c r="AN19" s="708"/>
      <c r="AO19" s="708"/>
      <c r="AP19" s="708"/>
      <c r="AQ19" s="708"/>
      <c r="AR19" s="708"/>
      <c r="AS19" s="708"/>
      <c r="AT19" s="708"/>
      <c r="AU19" s="708"/>
      <c r="AV19" s="708"/>
      <c r="AW19" s="708"/>
      <c r="AX19" s="708"/>
      <c r="AY19" s="708"/>
      <c r="AZ19" s="708"/>
      <c r="BA19" s="708"/>
      <c r="BB19" s="708"/>
      <c r="BC19" s="708"/>
      <c r="BD19" s="708"/>
      <c r="BE19" s="708"/>
      <c r="BF19" s="708"/>
      <c r="BG19" s="708"/>
      <c r="BH19" s="708"/>
      <c r="BI19" s="708"/>
      <c r="BJ19" s="708"/>
      <c r="BK19" s="708"/>
      <c r="BL19" s="708"/>
      <c r="BM19" s="708"/>
      <c r="BN19" s="708"/>
      <c r="BO19" s="708"/>
      <c r="BP19" s="708"/>
      <c r="BQ19" s="708"/>
      <c r="BR19" s="708"/>
      <c r="BS19" s="708"/>
      <c r="BT19" s="708"/>
      <c r="BU19" s="708"/>
      <c r="BV19" s="708"/>
      <c r="BW19" s="708"/>
      <c r="BX19" s="708"/>
      <c r="BY19" s="708"/>
      <c r="BZ19" s="708"/>
      <c r="CA19" s="708"/>
      <c r="CB19" s="708"/>
      <c r="CC19" s="708"/>
      <c r="CD19" s="708"/>
      <c r="CE19" s="708"/>
      <c r="CF19" s="708"/>
      <c r="CG19" s="708"/>
      <c r="CH19" s="708"/>
      <c r="CI19" s="708"/>
      <c r="CJ19" s="708"/>
      <c r="CK19" s="708"/>
      <c r="CL19" s="708"/>
      <c r="CM19" s="708"/>
      <c r="CN19" s="708"/>
      <c r="CO19" s="708"/>
      <c r="CP19" s="708"/>
      <c r="CQ19" s="708"/>
      <c r="CR19" s="708"/>
      <c r="CS19" s="708"/>
      <c r="CT19" s="708"/>
      <c r="CU19" s="708"/>
      <c r="CV19" s="708"/>
      <c r="CW19" s="708"/>
      <c r="CX19" s="708"/>
      <c r="CY19" s="708"/>
      <c r="CZ19" s="708"/>
      <c r="DA19" s="708"/>
      <c r="DB19" s="708"/>
      <c r="DC19" s="708"/>
      <c r="DD19" s="708"/>
      <c r="DE19" s="708"/>
      <c r="DF19" s="708"/>
      <c r="DG19" s="708"/>
      <c r="DH19" s="708"/>
      <c r="DI19" s="708"/>
      <c r="DJ19" s="708"/>
      <c r="DK19" s="708"/>
      <c r="DL19" s="708"/>
      <c r="DM19" s="708"/>
      <c r="DN19" s="708"/>
      <c r="DO19" s="708"/>
      <c r="DP19" s="708"/>
      <c r="DQ19" s="708"/>
      <c r="DR19" s="708"/>
      <c r="DS19" s="708"/>
      <c r="DT19" s="708"/>
      <c r="DU19" s="708"/>
      <c r="DV19" s="708"/>
      <c r="DW19" s="708"/>
      <c r="DX19" s="708"/>
      <c r="DY19" s="708"/>
      <c r="DZ19" s="708"/>
      <c r="EA19" s="708"/>
      <c r="EB19" s="708"/>
      <c r="EC19" s="708"/>
      <c r="ED19" s="708"/>
      <c r="EE19" s="708"/>
      <c r="EF19" s="708"/>
      <c r="EG19" s="708"/>
      <c r="EH19" s="708"/>
      <c r="EI19" s="708"/>
      <c r="EJ19" s="708"/>
      <c r="EK19" s="708"/>
      <c r="EL19" s="708"/>
      <c r="EM19" s="708"/>
      <c r="EN19" s="708"/>
      <c r="EO19" s="708"/>
      <c r="EP19" s="708"/>
      <c r="EQ19" s="708"/>
      <c r="ER19" s="708"/>
      <c r="ES19" s="708"/>
      <c r="ET19" s="708"/>
      <c r="EU19" s="708"/>
      <c r="EV19" s="708"/>
      <c r="EW19" s="708"/>
      <c r="EX19" s="708"/>
      <c r="EY19" s="708"/>
      <c r="EZ19" s="708"/>
      <c r="FA19" s="708"/>
      <c r="FB19" s="708"/>
      <c r="FC19" s="708"/>
      <c r="FD19" s="708"/>
      <c r="FE19" s="708"/>
      <c r="FF19" s="708"/>
      <c r="FG19" s="708"/>
      <c r="FH19" s="708"/>
      <c r="FI19" s="708"/>
      <c r="FJ19" s="708"/>
      <c r="FK19" s="708"/>
      <c r="FL19" s="708"/>
      <c r="FM19" s="708"/>
      <c r="FN19" s="708"/>
      <c r="FO19" s="708"/>
      <c r="FP19" s="708"/>
      <c r="FQ19" s="708"/>
      <c r="FR19" s="708"/>
      <c r="FS19" s="708"/>
      <c r="FT19" s="708"/>
      <c r="FU19" s="708"/>
      <c r="FV19" s="708"/>
      <c r="FW19" s="708"/>
      <c r="FX19" s="220"/>
    </row>
    <row r="20" spans="1:184" s="551" customFormat="1" ht="11.25" hidden="1" customHeight="1">
      <c r="B20" s="552"/>
      <c r="E20" s="559"/>
      <c r="F20" s="712" t="s">
        <v>366</v>
      </c>
      <c r="G20" s="713"/>
      <c r="H20" s="714"/>
      <c r="I20" s="714"/>
      <c r="J20" s="714"/>
      <c r="K20" s="714"/>
      <c r="L20" s="714"/>
      <c r="M20" s="714"/>
      <c r="N20" s="714"/>
      <c r="O20" s="713"/>
      <c r="P20" s="713"/>
      <c r="Q20" s="713"/>
      <c r="R20" s="713"/>
      <c r="S20" s="713"/>
      <c r="T20" s="713"/>
      <c r="U20" s="715"/>
      <c r="V20" s="715"/>
      <c r="W20" s="715"/>
      <c r="X20" s="715"/>
      <c r="Y20" s="715"/>
      <c r="Z20" s="715"/>
      <c r="AA20" s="715"/>
      <c r="AB20" s="713"/>
      <c r="AC20" s="714"/>
      <c r="AD20" s="714"/>
      <c r="AE20" s="714"/>
      <c r="AF20" s="714"/>
      <c r="AG20" s="714"/>
      <c r="AH20" s="714"/>
      <c r="AI20" s="714"/>
      <c r="AJ20" s="714"/>
      <c r="AK20" s="714"/>
      <c r="AL20" s="714"/>
      <c r="AM20" s="714"/>
      <c r="AN20" s="714"/>
      <c r="AO20" s="714"/>
      <c r="AP20" s="714"/>
      <c r="AQ20" s="714"/>
      <c r="AR20" s="714"/>
      <c r="AS20" s="714"/>
      <c r="AT20" s="714"/>
      <c r="AU20" s="714"/>
      <c r="AV20" s="714"/>
      <c r="AW20" s="714"/>
      <c r="AX20" s="714"/>
      <c r="AY20" s="714"/>
      <c r="AZ20" s="714"/>
      <c r="BA20" s="714"/>
      <c r="BB20" s="714"/>
      <c r="BC20" s="714"/>
      <c r="BD20" s="714"/>
      <c r="BE20" s="714"/>
      <c r="BF20" s="714"/>
      <c r="BG20" s="714"/>
      <c r="BH20" s="714"/>
      <c r="BI20" s="714"/>
      <c r="BJ20" s="714"/>
      <c r="BK20" s="714"/>
      <c r="BL20" s="714"/>
      <c r="BM20" s="714"/>
      <c r="BN20" s="714"/>
      <c r="BO20" s="714"/>
      <c r="BP20" s="714"/>
      <c r="BQ20" s="714"/>
      <c r="BR20" s="714"/>
      <c r="BS20" s="714"/>
      <c r="BT20" s="714"/>
      <c r="BU20" s="714"/>
      <c r="BV20" s="714"/>
      <c r="BW20" s="714"/>
      <c r="BX20" s="714"/>
      <c r="BY20" s="714"/>
      <c r="BZ20" s="714"/>
      <c r="CA20" s="714"/>
      <c r="CB20" s="714"/>
      <c r="CC20" s="714"/>
      <c r="CD20" s="714"/>
      <c r="CE20" s="714"/>
      <c r="CF20" s="714"/>
      <c r="CG20" s="714"/>
      <c r="CH20" s="714"/>
      <c r="CI20" s="714"/>
      <c r="CJ20" s="714"/>
      <c r="CK20" s="714"/>
      <c r="CL20" s="716"/>
      <c r="CM20" s="716"/>
      <c r="CN20" s="716"/>
      <c r="CO20" s="716"/>
      <c r="CP20" s="716"/>
      <c r="CQ20" s="716"/>
      <c r="CR20" s="716"/>
      <c r="CS20" s="716"/>
      <c r="CT20" s="716"/>
      <c r="CU20" s="716"/>
      <c r="CV20" s="716"/>
      <c r="CW20" s="716"/>
      <c r="CX20" s="716"/>
      <c r="CY20" s="716"/>
      <c r="CZ20" s="716"/>
      <c r="DA20" s="716"/>
      <c r="DB20" s="716"/>
      <c r="DC20" s="716"/>
      <c r="DD20" s="716"/>
      <c r="DE20" s="716"/>
      <c r="DF20" s="716"/>
      <c r="DG20" s="716"/>
      <c r="DH20" s="716"/>
      <c r="DI20" s="716"/>
      <c r="DJ20" s="716"/>
      <c r="DK20" s="716"/>
      <c r="DL20" s="716"/>
      <c r="DM20" s="716"/>
      <c r="DN20" s="716"/>
      <c r="DO20" s="716"/>
      <c r="DP20" s="716"/>
      <c r="DQ20" s="716"/>
      <c r="DR20" s="716"/>
      <c r="DS20" s="716"/>
      <c r="DT20" s="716"/>
      <c r="DU20" s="716"/>
      <c r="DV20" s="716"/>
      <c r="DW20" s="716"/>
      <c r="DX20" s="716"/>
      <c r="DY20" s="716"/>
      <c r="DZ20" s="716"/>
      <c r="EA20" s="716"/>
      <c r="EB20" s="716"/>
      <c r="EC20" s="716"/>
      <c r="ED20" s="716"/>
      <c r="EE20" s="716"/>
      <c r="EF20" s="716"/>
      <c r="EG20" s="716"/>
      <c r="EH20" s="716"/>
      <c r="EI20" s="716"/>
      <c r="EJ20" s="716"/>
      <c r="EK20" s="716"/>
      <c r="EL20" s="716"/>
      <c r="EM20" s="716"/>
      <c r="EN20" s="716"/>
      <c r="EO20" s="716"/>
      <c r="EP20" s="716"/>
      <c r="EQ20" s="716"/>
      <c r="ER20" s="716"/>
      <c r="ES20" s="716"/>
      <c r="ET20" s="716"/>
      <c r="EU20" s="716"/>
      <c r="EV20" s="716"/>
      <c r="EW20" s="716"/>
      <c r="EX20" s="716"/>
      <c r="EY20" s="716"/>
      <c r="EZ20" s="716"/>
      <c r="FA20" s="716"/>
      <c r="FB20" s="716"/>
      <c r="FC20" s="716"/>
      <c r="FD20" s="716"/>
      <c r="FE20" s="716"/>
      <c r="FF20" s="716"/>
      <c r="FG20" s="716"/>
      <c r="FH20" s="716"/>
      <c r="FI20" s="716"/>
      <c r="FJ20" s="716"/>
      <c r="FK20" s="716"/>
      <c r="FL20" s="716"/>
      <c r="FM20" s="716"/>
      <c r="FN20" s="716"/>
      <c r="FO20" s="716"/>
      <c r="FP20" s="716"/>
      <c r="FQ20" s="716"/>
      <c r="FR20" s="716"/>
      <c r="FS20" s="716"/>
      <c r="FT20" s="716"/>
      <c r="FU20" s="716"/>
      <c r="FV20" s="716"/>
      <c r="FW20" s="716"/>
      <c r="FX20" s="220"/>
    </row>
    <row r="21" spans="1:184" s="551" customFormat="1" ht="12" customHeight="1">
      <c r="A21" s="55"/>
      <c r="B21" s="55"/>
      <c r="C21" s="55"/>
      <c r="D21" s="55"/>
      <c r="E21" s="55"/>
      <c r="F21" s="559"/>
      <c r="G21" s="559"/>
      <c r="H21" s="559"/>
      <c r="I21" s="559"/>
      <c r="J21" s="559"/>
      <c r="K21" s="559"/>
      <c r="L21" s="559"/>
      <c r="M21" s="559"/>
      <c r="N21" s="559"/>
      <c r="O21" s="559"/>
      <c r="P21" s="559"/>
      <c r="Q21" s="559"/>
      <c r="R21" s="559"/>
      <c r="S21" s="560"/>
      <c r="T21" s="560"/>
      <c r="U21" s="559"/>
      <c r="V21" s="559"/>
      <c r="W21" s="559"/>
      <c r="X21" s="559"/>
      <c r="Y21" s="559"/>
      <c r="Z21" s="559"/>
      <c r="AA21" s="559"/>
      <c r="AB21" s="559"/>
      <c r="AC21" s="559"/>
      <c r="AD21" s="559"/>
      <c r="AE21" s="559"/>
      <c r="AF21" s="559"/>
      <c r="AG21" s="559"/>
      <c r="AH21" s="559"/>
      <c r="AI21" s="559"/>
      <c r="AJ21" s="559"/>
      <c r="AK21" s="559"/>
      <c r="AL21" s="559"/>
      <c r="AM21" s="559"/>
      <c r="AN21" s="559"/>
      <c r="AO21" s="559"/>
      <c r="AP21" s="559"/>
      <c r="AQ21" s="559"/>
      <c r="AR21" s="559"/>
      <c r="AS21" s="559"/>
      <c r="AT21" s="559"/>
      <c r="AU21" s="559"/>
      <c r="AV21" s="559"/>
      <c r="AW21" s="559"/>
      <c r="AX21" s="559"/>
      <c r="AY21" s="559"/>
      <c r="AZ21" s="559"/>
      <c r="BA21" s="559"/>
      <c r="BB21" s="559"/>
      <c r="BC21" s="559"/>
      <c r="BD21" s="559"/>
      <c r="BE21" s="559"/>
      <c r="BF21" s="559"/>
      <c r="BG21" s="559"/>
      <c r="BH21" s="559"/>
      <c r="BI21" s="559"/>
      <c r="BJ21" s="559"/>
      <c r="BK21" s="559"/>
      <c r="BL21" s="559"/>
      <c r="BM21" s="559"/>
      <c r="BN21" s="559"/>
      <c r="BO21" s="559"/>
      <c r="BP21" s="559"/>
      <c r="BQ21" s="559"/>
      <c r="BR21" s="559"/>
      <c r="BS21" s="559"/>
      <c r="BT21" s="559"/>
      <c r="BU21" s="559"/>
      <c r="BV21" s="559"/>
      <c r="BW21" s="559"/>
      <c r="BX21" s="559"/>
      <c r="BY21" s="559"/>
      <c r="BZ21" s="559"/>
      <c r="CA21" s="559"/>
      <c r="CB21" s="559"/>
      <c r="CC21" s="559"/>
      <c r="CD21" s="559"/>
      <c r="CE21" s="559"/>
      <c r="CF21" s="559"/>
      <c r="CG21" s="559"/>
      <c r="CH21" s="559"/>
      <c r="CI21" s="559"/>
      <c r="CJ21" s="559"/>
      <c r="CK21" s="559"/>
      <c r="CL21" s="559"/>
      <c r="CM21" s="559"/>
      <c r="CN21" s="559"/>
      <c r="CO21" s="559"/>
      <c r="CP21" s="559"/>
      <c r="CQ21" s="559"/>
      <c r="CR21" s="559"/>
      <c r="CS21" s="559"/>
      <c r="CT21" s="559"/>
      <c r="CU21" s="559"/>
      <c r="CV21" s="559"/>
      <c r="CW21" s="559"/>
      <c r="CX21" s="559"/>
      <c r="CY21" s="559"/>
      <c r="CZ21" s="559"/>
      <c r="DA21" s="559"/>
      <c r="DB21" s="559"/>
      <c r="DC21" s="559"/>
      <c r="DD21" s="559"/>
      <c r="DE21" s="559"/>
      <c r="DF21" s="559"/>
      <c r="DG21" s="559"/>
      <c r="DH21" s="559"/>
      <c r="DI21" s="559"/>
      <c r="DJ21" s="559"/>
      <c r="DK21" s="559"/>
      <c r="DL21" s="559"/>
      <c r="DM21" s="559"/>
      <c r="DN21" s="559"/>
      <c r="DO21" s="559"/>
      <c r="DP21" s="559"/>
      <c r="DQ21" s="559"/>
      <c r="DR21" s="559"/>
      <c r="DS21" s="559"/>
      <c r="DT21" s="559"/>
      <c r="DU21" s="559"/>
      <c r="DV21" s="559"/>
      <c r="DW21" s="559"/>
      <c r="DX21" s="559"/>
      <c r="DY21" s="559"/>
      <c r="DZ21" s="559"/>
      <c r="EA21" s="559"/>
      <c r="EB21" s="559"/>
      <c r="EC21" s="559"/>
      <c r="ED21" s="559"/>
      <c r="EE21" s="559"/>
      <c r="EF21" s="559"/>
      <c r="EG21" s="559"/>
      <c r="EH21" s="559"/>
      <c r="EI21" s="559"/>
      <c r="EJ21" s="559"/>
      <c r="EK21" s="559"/>
      <c r="EL21" s="559"/>
      <c r="EM21" s="559"/>
      <c r="EN21" s="559"/>
      <c r="EO21" s="559"/>
      <c r="EP21" s="559"/>
      <c r="EQ21" s="559"/>
      <c r="ER21" s="559"/>
      <c r="ES21" s="559"/>
      <c r="ET21" s="559"/>
      <c r="EU21" s="559"/>
      <c r="EV21" s="559"/>
      <c r="EW21" s="559"/>
      <c r="EX21" s="559"/>
      <c r="EY21" s="559"/>
      <c r="EZ21" s="559"/>
      <c r="FA21" s="559"/>
      <c r="FB21" s="559"/>
      <c r="FC21" s="559"/>
      <c r="FD21" s="559"/>
      <c r="FE21" s="559"/>
      <c r="FF21" s="559"/>
      <c r="FG21" s="559"/>
      <c r="FH21" s="559"/>
      <c r="FI21" s="559"/>
      <c r="FJ21" s="559"/>
      <c r="FK21" s="559"/>
      <c r="FL21" s="559"/>
      <c r="FM21" s="559"/>
      <c r="FN21" s="559"/>
      <c r="FO21" s="559"/>
      <c r="FP21" s="559"/>
      <c r="FQ21" s="559"/>
      <c r="FR21" s="559"/>
      <c r="FS21" s="559"/>
      <c r="FT21" s="559"/>
      <c r="FU21" s="559"/>
      <c r="FV21" s="559"/>
      <c r="FW21" s="559"/>
      <c r="FX21" s="55"/>
      <c r="FY21" s="55"/>
      <c r="FZ21" s="55"/>
      <c r="GA21" s="55"/>
      <c r="GB21" s="55"/>
    </row>
    <row r="22" spans="1:184" s="551" customFormat="1" ht="12" customHeight="1">
      <c r="A22" s="55"/>
      <c r="B22" s="55"/>
      <c r="C22" s="55"/>
      <c r="D22" s="55"/>
      <c r="E22" s="55"/>
      <c r="FX22" s="55"/>
      <c r="FY22" s="55"/>
      <c r="FZ22" s="55"/>
      <c r="GA22" s="55"/>
      <c r="GB22" s="55"/>
    </row>
    <row r="23" spans="1:184" s="553" customFormat="1" ht="12" customHeight="1">
      <c r="A23" s="55"/>
      <c r="B23" s="55"/>
      <c r="C23" s="55"/>
      <c r="D23" s="55"/>
      <c r="E23" s="55"/>
      <c r="O23" s="89"/>
      <c r="P23" s="89"/>
      <c r="Q23" s="89"/>
      <c r="R23" s="89"/>
      <c r="S23" s="89"/>
      <c r="T23" s="89"/>
      <c r="U23" s="89"/>
      <c r="V23" s="89"/>
      <c r="W23" s="89"/>
      <c r="X23" s="89"/>
      <c r="Y23" s="89"/>
      <c r="Z23" s="89"/>
      <c r="AA23" s="89"/>
      <c r="AB23" s="89"/>
      <c r="AC23" s="89"/>
      <c r="AD23" s="89"/>
      <c r="AE23" s="89"/>
      <c r="AF23" s="89"/>
      <c r="AG23" s="89"/>
      <c r="AH23" s="89"/>
      <c r="AI23" s="89"/>
      <c r="AJ23" s="89"/>
      <c r="AK23" s="89"/>
      <c r="AL23" s="89"/>
      <c r="AM23" s="89"/>
      <c r="AN23" s="89"/>
      <c r="AO23" s="89"/>
      <c r="AP23" s="89"/>
      <c r="AQ23" s="89"/>
      <c r="AR23" s="89"/>
      <c r="AS23" s="89"/>
      <c r="AT23" s="89"/>
      <c r="AU23" s="89"/>
      <c r="AV23" s="89"/>
      <c r="AW23" s="89"/>
      <c r="AX23" s="89"/>
      <c r="AY23" s="89"/>
      <c r="AZ23" s="89"/>
      <c r="BA23" s="89"/>
      <c r="BB23" s="89"/>
      <c r="BC23" s="89"/>
      <c r="BD23" s="89"/>
      <c r="BE23" s="89"/>
      <c r="BF23" s="89"/>
      <c r="BG23" s="89"/>
      <c r="BH23" s="89"/>
      <c r="BI23" s="89"/>
      <c r="BJ23" s="89"/>
      <c r="BK23" s="89"/>
      <c r="BL23" s="89"/>
      <c r="BM23" s="89"/>
      <c r="BN23" s="89"/>
      <c r="BO23" s="89"/>
      <c r="BP23" s="89"/>
      <c r="BQ23" s="89"/>
      <c r="BR23" s="89"/>
      <c r="BS23" s="89"/>
      <c r="BT23" s="645"/>
      <c r="BU23" s="645"/>
      <c r="BV23" s="645"/>
      <c r="BW23" s="645"/>
      <c r="BX23" s="645"/>
      <c r="BY23" s="645"/>
      <c r="BZ23" s="645"/>
      <c r="CA23" s="645"/>
      <c r="CB23" s="645"/>
      <c r="CC23" s="645"/>
      <c r="CD23" s="645"/>
      <c r="CE23" s="645"/>
      <c r="CF23" s="645"/>
      <c r="CG23" s="645"/>
      <c r="CH23" s="645"/>
      <c r="CI23" s="645"/>
      <c r="CJ23" s="645"/>
      <c r="CK23" s="645"/>
      <c r="CL23" s="645"/>
      <c r="CM23" s="645"/>
      <c r="CN23" s="645"/>
      <c r="CO23" s="645"/>
      <c r="CP23" s="645"/>
      <c r="CQ23" s="645"/>
      <c r="CR23" s="645"/>
      <c r="CS23" s="645"/>
      <c r="CT23" s="645"/>
      <c r="CU23" s="645"/>
      <c r="CV23" s="645"/>
      <c r="CW23" s="645"/>
      <c r="CX23" s="645"/>
      <c r="CY23" s="645"/>
      <c r="CZ23" s="645"/>
      <c r="DA23" s="645"/>
      <c r="DB23" s="645"/>
      <c r="DC23" s="645"/>
      <c r="DD23" s="645"/>
      <c r="DE23" s="645"/>
      <c r="DF23" s="645"/>
      <c r="DG23" s="645"/>
      <c r="DH23" s="645"/>
      <c r="DI23" s="645"/>
      <c r="DJ23" s="645"/>
      <c r="DK23" s="645"/>
      <c r="DL23" s="645"/>
      <c r="DM23" s="645"/>
      <c r="DN23" s="645"/>
      <c r="DO23" s="645"/>
      <c r="DP23" s="645"/>
      <c r="DQ23" s="645"/>
      <c r="DR23" s="645"/>
      <c r="DS23" s="645"/>
      <c r="DT23" s="645"/>
      <c r="DU23" s="645"/>
      <c r="DV23" s="645"/>
      <c r="DW23" s="645"/>
      <c r="DX23" s="645"/>
      <c r="FX23" s="55"/>
      <c r="FY23" s="55"/>
      <c r="FZ23" s="55"/>
      <c r="GA23" s="55"/>
      <c r="GB23" s="55"/>
    </row>
    <row r="24" spans="1:184" ht="12" customHeight="1">
      <c r="S24" s="55"/>
      <c r="T24" s="55"/>
      <c r="U24" s="55"/>
      <c r="V24" s="55"/>
      <c r="W24" s="55"/>
      <c r="X24" s="55"/>
      <c r="Y24" s="55"/>
      <c r="Z24" s="55"/>
      <c r="AA24" s="55"/>
      <c r="AB24" s="55"/>
      <c r="FX24" s="55"/>
      <c r="FY24" s="55"/>
      <c r="FZ24" s="55"/>
      <c r="GA24" s="55"/>
      <c r="GB24" s="55"/>
    </row>
  </sheetData>
  <sheetProtection formatColumns="0" formatRows="0" insertRows="0" deleteColumns="0" deleteRows="0" sort="0" autoFilter="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xr:uid="{00000000-0002-0000-2F00-000000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C1F12A-E2CE-55FB-8AEC-8535DE9C23DD}">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2084</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2085</v>
      </c>
      <c r="AM4" s="66"/>
      <c r="AN4" s="66" t="str">
        <f t="shared" si="0"/>
        <v>Наименование централизованной системы горячего водоснабжения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2086</v>
      </c>
      <c r="W38" s="1065" t="s">
        <v>2087</v>
      </c>
      <c r="X38" s="1064"/>
      <c r="Y38" s="1065" t="s">
        <v>494</v>
      </c>
      <c r="Z38" s="1070"/>
      <c r="AA38" s="1064"/>
      <c r="AB38" s="1302"/>
      <c r="AC38" s="351" t="s">
        <v>2086</v>
      </c>
      <c r="AD38" s="1065" t="s">
        <v>2087</v>
      </c>
      <c r="AE38" s="1064"/>
      <c r="AF38" s="1065" t="s">
        <v>494</v>
      </c>
      <c r="AG38" s="1070"/>
      <c r="AH38" s="1064"/>
      <c r="AI38" s="1302"/>
      <c r="AJ38" s="1305"/>
      <c r="AK38" s="1083"/>
    </row>
    <row r="39" spans="1:42" ht="86.2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2088</v>
      </c>
      <c r="W39" s="37" t="s">
        <v>2089</v>
      </c>
      <c r="X39" s="37" t="s">
        <v>2090</v>
      </c>
      <c r="Y39" s="37" t="s">
        <v>504</v>
      </c>
      <c r="Z39" s="1174" t="s">
        <v>505</v>
      </c>
      <c r="AA39" s="1188"/>
      <c r="AB39" s="1303"/>
      <c r="AC39" s="351" t="s">
        <v>2088</v>
      </c>
      <c r="AD39" s="37" t="s">
        <v>2089</v>
      </c>
      <c r="AE39" s="37" t="s">
        <v>2090</v>
      </c>
      <c r="AF39" s="37" t="s">
        <v>504</v>
      </c>
      <c r="AG39" s="1174" t="s">
        <v>505</v>
      </c>
      <c r="AH39" s="1188"/>
      <c r="AI39" s="1303"/>
      <c r="AJ39" s="1306"/>
      <c r="AK39" s="1083"/>
    </row>
    <row r="40" spans="1:42" s="209" customFormat="1" ht="11.25"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239</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239</v>
      </c>
      <c r="B42" s="798" t="s">
        <v>240</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239</v>
      </c>
      <c r="B43" s="798" t="s">
        <v>240</v>
      </c>
      <c r="C43" s="798" t="s">
        <v>241</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2084</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2085</v>
      </c>
      <c r="AM43" s="66"/>
      <c r="AN43" s="66" t="str">
        <f t="shared" si="1"/>
        <v>Наименование централизованной системы горячего водоснабжения</v>
      </c>
      <c r="AO43" s="66"/>
      <c r="AP43" s="66"/>
    </row>
    <row r="44" spans="1:42" ht="23.25" customHeight="1">
      <c r="A44" s="798" t="s">
        <v>239</v>
      </c>
      <c r="B44" s="798" t="s">
        <v>240</v>
      </c>
      <c r="C44" s="798" t="s">
        <v>241</v>
      </c>
      <c r="D44" s="798" t="s">
        <v>2091</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239</v>
      </c>
      <c r="B45" s="798" t="s">
        <v>240</v>
      </c>
      <c r="C45" s="798" t="s">
        <v>241</v>
      </c>
      <c r="D45" s="798" t="s">
        <v>2091</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239</v>
      </c>
      <c r="B46" s="798" t="s">
        <v>240</v>
      </c>
      <c r="C46" s="798" t="s">
        <v>241</v>
      </c>
      <c r="D46" s="798" t="s">
        <v>2091</v>
      </c>
      <c r="E46" s="1286"/>
      <c r="F46" s="1286"/>
      <c r="G46" s="1286"/>
      <c r="H46" s="1286"/>
      <c r="I46" s="1288"/>
      <c r="J46" s="1288"/>
      <c r="K46" s="1287" t="str">
        <f>J45&amp;".1"</f>
        <v>...1.1.1</v>
      </c>
      <c r="L46" s="799"/>
      <c r="P46" s="1204"/>
      <c r="Q46" s="1204"/>
      <c r="R46" s="215">
        <v>1</v>
      </c>
      <c r="S46" s="730" t="str">
        <f>$K46</f>
        <v>...1.1.1</v>
      </c>
      <c r="T46" s="841"/>
      <c r="U46" s="170"/>
      <c r="V46" s="378"/>
      <c r="W46" s="378"/>
      <c r="X46" s="797"/>
      <c r="Y46" s="1283"/>
      <c r="Z46" s="1282" t="s">
        <v>59</v>
      </c>
      <c r="AA46" s="1283"/>
      <c r="AB46" s="1282" t="s">
        <v>59</v>
      </c>
      <c r="AC46" s="317"/>
      <c r="AD46" s="317"/>
      <c r="AE46" s="757"/>
      <c r="AF46" s="1289"/>
      <c r="AG46" s="1093" t="s">
        <v>59</v>
      </c>
      <c r="AH46" s="1291"/>
      <c r="AI46" s="1093" t="s">
        <v>57</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239</v>
      </c>
      <c r="B47" s="798" t="s">
        <v>240</v>
      </c>
      <c r="C47" s="798" t="s">
        <v>241</v>
      </c>
      <c r="D47" s="798" t="s">
        <v>2091</v>
      </c>
      <c r="E47" s="1286"/>
      <c r="F47" s="1286"/>
      <c r="G47" s="1286"/>
      <c r="H47" s="1286"/>
      <c r="I47" s="1288"/>
      <c r="J47" s="1288"/>
      <c r="K47" s="1287"/>
      <c r="L47" s="799"/>
      <c r="P47" s="1204"/>
      <c r="Q47" s="1204"/>
      <c r="R47" s="215"/>
      <c r="S47" s="62"/>
      <c r="T47" s="170"/>
      <c r="U47" s="170"/>
      <c r="V47" s="378"/>
      <c r="W47" s="378"/>
      <c r="X47" s="198" t="str">
        <f>Y46&amp;"-"&amp;AA46</f>
        <v>-</v>
      </c>
      <c r="Y47" s="1282"/>
      <c r="Z47" s="1282"/>
      <c r="AA47" s="1282"/>
      <c r="AB47" s="1282"/>
      <c r="AC47" s="196"/>
      <c r="AD47" s="196"/>
      <c r="AE47" s="198" t="str">
        <f>AF46&amp;"-"&amp;AH46</f>
        <v>-</v>
      </c>
      <c r="AF47" s="1290"/>
      <c r="AG47" s="1093"/>
      <c r="AH47" s="1292"/>
      <c r="AI47" s="1093"/>
      <c r="AJ47" s="398"/>
      <c r="AK47" s="1391"/>
      <c r="AM47" s="66"/>
      <c r="AN47" s="66" t="str">
        <f t="shared" si="1"/>
        <v/>
      </c>
      <c r="AO47" s="66"/>
      <c r="AP47" s="66"/>
    </row>
    <row r="48" spans="1:42" ht="21" customHeight="1">
      <c r="A48" s="798" t="s">
        <v>239</v>
      </c>
      <c r="B48" s="798" t="s">
        <v>240</v>
      </c>
      <c r="C48" s="798" t="s">
        <v>241</v>
      </c>
      <c r="D48" s="798" t="s">
        <v>2091</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239</v>
      </c>
      <c r="B49" s="798" t="s">
        <v>240</v>
      </c>
      <c r="C49" s="798" t="s">
        <v>241</v>
      </c>
      <c r="D49" s="798" t="s">
        <v>2091</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239</v>
      </c>
      <c r="B50" s="798" t="s">
        <v>240</v>
      </c>
      <c r="C50" s="798" t="s">
        <v>241</v>
      </c>
      <c r="D50" s="798" t="s">
        <v>2091</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239</v>
      </c>
      <c r="B51" s="142" t="s">
        <v>240</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239</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2092</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2093</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30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30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30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30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30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30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30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30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91F22E-6CB9-C09A-4727-0D36A58ED6F7}">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2084</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2085</v>
      </c>
      <c r="AM4" s="66"/>
      <c r="AN4" s="66" t="str">
        <f t="shared" si="0"/>
        <v>Наименование централизованной системы горячего водоснабжения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2086</v>
      </c>
      <c r="W38" s="1065" t="s">
        <v>2087</v>
      </c>
      <c r="X38" s="1064"/>
      <c r="Y38" s="1065" t="s">
        <v>494</v>
      </c>
      <c r="Z38" s="1070"/>
      <c r="AA38" s="1064"/>
      <c r="AB38" s="1302"/>
      <c r="AC38" s="351" t="s">
        <v>2086</v>
      </c>
      <c r="AD38" s="1065" t="s">
        <v>2087</v>
      </c>
      <c r="AE38" s="1064"/>
      <c r="AF38" s="1065" t="s">
        <v>494</v>
      </c>
      <c r="AG38" s="1070"/>
      <c r="AH38" s="1064"/>
      <c r="AI38" s="1302"/>
      <c r="AJ38" s="1305"/>
      <c r="AK38" s="1083"/>
    </row>
    <row r="39" spans="1:42" ht="86.2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2088</v>
      </c>
      <c r="W39" s="37" t="s">
        <v>2089</v>
      </c>
      <c r="X39" s="37" t="s">
        <v>2090</v>
      </c>
      <c r="Y39" s="37" t="s">
        <v>504</v>
      </c>
      <c r="Z39" s="1174" t="s">
        <v>505</v>
      </c>
      <c r="AA39" s="1188"/>
      <c r="AB39" s="1303"/>
      <c r="AC39" s="351" t="s">
        <v>2088</v>
      </c>
      <c r="AD39" s="37" t="s">
        <v>2089</v>
      </c>
      <c r="AE39" s="37" t="s">
        <v>2090</v>
      </c>
      <c r="AF39" s="37" t="s">
        <v>504</v>
      </c>
      <c r="AG39" s="1174" t="s">
        <v>505</v>
      </c>
      <c r="AH39" s="1188"/>
      <c r="AI39" s="1303"/>
      <c r="AJ39" s="1306"/>
      <c r="AK39" s="1083"/>
    </row>
    <row r="40" spans="1:42" s="209" customFormat="1" ht="11.25"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239</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239</v>
      </c>
      <c r="B42" s="798" t="s">
        <v>240</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239</v>
      </c>
      <c r="B43" s="798" t="s">
        <v>240</v>
      </c>
      <c r="C43" s="798" t="s">
        <v>241</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2084</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2085</v>
      </c>
      <c r="AM43" s="66"/>
      <c r="AN43" s="66" t="str">
        <f t="shared" si="1"/>
        <v>Наименование централизованной системы горячего водоснабжения</v>
      </c>
      <c r="AO43" s="66"/>
      <c r="AP43" s="66"/>
    </row>
    <row r="44" spans="1:42" ht="23.25" customHeight="1">
      <c r="A44" s="798" t="s">
        <v>239</v>
      </c>
      <c r="B44" s="798" t="s">
        <v>240</v>
      </c>
      <c r="C44" s="798" t="s">
        <v>241</v>
      </c>
      <c r="D44" s="798" t="s">
        <v>2091</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239</v>
      </c>
      <c r="B45" s="798" t="s">
        <v>240</v>
      </c>
      <c r="C45" s="798" t="s">
        <v>241</v>
      </c>
      <c r="D45" s="798" t="s">
        <v>2091</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239</v>
      </c>
      <c r="B46" s="798" t="s">
        <v>240</v>
      </c>
      <c r="C46" s="798" t="s">
        <v>241</v>
      </c>
      <c r="D46" s="798" t="s">
        <v>2091</v>
      </c>
      <c r="E46" s="1286"/>
      <c r="F46" s="1286"/>
      <c r="G46" s="1286"/>
      <c r="H46" s="1286"/>
      <c r="I46" s="1288"/>
      <c r="J46" s="1288"/>
      <c r="K46" s="1287" t="str">
        <f>J45&amp;".1"</f>
        <v>...1.1.1</v>
      </c>
      <c r="L46" s="799"/>
      <c r="P46" s="1204"/>
      <c r="Q46" s="1204"/>
      <c r="R46" s="215">
        <v>1</v>
      </c>
      <c r="S46" s="730" t="str">
        <f>$K46</f>
        <v>...1.1.1</v>
      </c>
      <c r="T46" s="841"/>
      <c r="U46" s="170"/>
      <c r="V46" s="378"/>
      <c r="W46" s="378"/>
      <c r="X46" s="797"/>
      <c r="Y46" s="1283"/>
      <c r="Z46" s="1282" t="s">
        <v>59</v>
      </c>
      <c r="AA46" s="1283"/>
      <c r="AB46" s="1282" t="s">
        <v>59</v>
      </c>
      <c r="AC46" s="317"/>
      <c r="AD46" s="317"/>
      <c r="AE46" s="757"/>
      <c r="AF46" s="1289"/>
      <c r="AG46" s="1093" t="s">
        <v>59</v>
      </c>
      <c r="AH46" s="1291"/>
      <c r="AI46" s="1093" t="s">
        <v>57</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239</v>
      </c>
      <c r="B47" s="798" t="s">
        <v>240</v>
      </c>
      <c r="C47" s="798" t="s">
        <v>241</v>
      </c>
      <c r="D47" s="798" t="s">
        <v>2091</v>
      </c>
      <c r="E47" s="1286"/>
      <c r="F47" s="1286"/>
      <c r="G47" s="1286"/>
      <c r="H47" s="1286"/>
      <c r="I47" s="1288"/>
      <c r="J47" s="1288"/>
      <c r="K47" s="1287"/>
      <c r="L47" s="799"/>
      <c r="P47" s="1204"/>
      <c r="Q47" s="1204"/>
      <c r="R47" s="215"/>
      <c r="S47" s="62"/>
      <c r="T47" s="170"/>
      <c r="U47" s="170"/>
      <c r="V47" s="378"/>
      <c r="W47" s="378"/>
      <c r="X47" s="198" t="str">
        <f>Y46&amp;"-"&amp;AA46</f>
        <v>-</v>
      </c>
      <c r="Y47" s="1282"/>
      <c r="Z47" s="1282"/>
      <c r="AA47" s="1282"/>
      <c r="AB47" s="1282"/>
      <c r="AC47" s="196"/>
      <c r="AD47" s="196"/>
      <c r="AE47" s="198" t="str">
        <f>AF46&amp;"-"&amp;AH46</f>
        <v>-</v>
      </c>
      <c r="AF47" s="1290"/>
      <c r="AG47" s="1093"/>
      <c r="AH47" s="1292"/>
      <c r="AI47" s="1093"/>
      <c r="AJ47" s="398"/>
      <c r="AK47" s="1391"/>
      <c r="AM47" s="66"/>
      <c r="AN47" s="66" t="str">
        <f t="shared" si="1"/>
        <v/>
      </c>
      <c r="AO47" s="66"/>
      <c r="AP47" s="66"/>
    </row>
    <row r="48" spans="1:42" ht="21" customHeight="1">
      <c r="A48" s="798" t="s">
        <v>239</v>
      </c>
      <c r="B48" s="798" t="s">
        <v>240</v>
      </c>
      <c r="C48" s="798" t="s">
        <v>241</v>
      </c>
      <c r="D48" s="798" t="s">
        <v>2091</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239</v>
      </c>
      <c r="B49" s="798" t="s">
        <v>240</v>
      </c>
      <c r="C49" s="798" t="s">
        <v>241</v>
      </c>
      <c r="D49" s="798" t="s">
        <v>2091</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239</v>
      </c>
      <c r="B50" s="798" t="s">
        <v>240</v>
      </c>
      <c r="C50" s="798" t="s">
        <v>241</v>
      </c>
      <c r="D50" s="798" t="s">
        <v>2091</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239</v>
      </c>
      <c r="B51" s="142" t="s">
        <v>240</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239</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2092</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2093</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31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31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31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31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31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31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31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31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3D04D6-7302-2D37-A0BD-2B880C35BBEA}">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522" hidden="1" customWidth="1"/>
    <col min="17" max="17" width="3.7109375" style="801" hidden="1" customWidth="1"/>
    <col min="18" max="18" width="3.7109375" style="28" customWidth="1"/>
    <col min="19" max="19" width="12.7109375" style="353"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8"/>
      <c r="B2" s="798"/>
      <c r="C2" s="798"/>
      <c r="D2" s="798"/>
      <c r="E2" s="1285">
        <v>1</v>
      </c>
      <c r="F2" s="798"/>
      <c r="G2" s="798"/>
      <c r="H2" s="798"/>
      <c r="I2" s="798"/>
      <c r="J2" s="798"/>
      <c r="K2" s="798"/>
      <c r="L2" s="799"/>
      <c r="M2" s="435"/>
      <c r="N2" s="435"/>
      <c r="O2" s="435"/>
      <c r="Q2" s="59"/>
      <c r="R2" s="213"/>
      <c r="S2" s="730" t="e">
        <f>INDEX(PT_DIFFERENTIATION_NUM_NTAR,MATCH(A2,PT_DIFFERENTIATION_NTAR_ID,0))</f>
        <v>#N/A</v>
      </c>
      <c r="T2" s="64" t="s">
        <v>125</v>
      </c>
      <c r="U2" s="170"/>
      <c r="V2" s="1280"/>
      <c r="W2" s="1280"/>
      <c r="X2" s="1280"/>
      <c r="Y2" s="1280"/>
      <c r="Z2" s="1280"/>
      <c r="AA2" s="1280"/>
      <c r="AB2" s="1280"/>
      <c r="AC2" s="1281"/>
      <c r="AD2" s="1279" t="e">
        <f>INDEX(PT_DIFFERENTIATION_NTAR,MATCH(A2,PT_DIFFERENTIATION_NTAR_ID,0))</f>
        <v>#N/A</v>
      </c>
      <c r="AE2" s="1280"/>
      <c r="AF2" s="1280"/>
      <c r="AG2" s="1280"/>
      <c r="AH2" s="1280"/>
      <c r="AI2" s="1280"/>
      <c r="AJ2" s="1280"/>
      <c r="AK2" s="1280"/>
      <c r="AL2" s="1280"/>
      <c r="AM2" s="1280"/>
      <c r="AN2" s="1280"/>
      <c r="AO2" s="1280"/>
      <c r="AP2" s="1280"/>
      <c r="AQ2" s="1280"/>
      <c r="AR2" s="1280"/>
      <c r="AS2" s="1280"/>
      <c r="AT2" s="1280"/>
      <c r="AU2" s="1280"/>
      <c r="AV2" s="1280"/>
      <c r="AW2" s="1280"/>
      <c r="AX2" s="1280"/>
      <c r="AY2" s="1280"/>
      <c r="AZ2" s="1280"/>
      <c r="BA2" s="1280"/>
      <c r="BB2" s="1281"/>
      <c r="BC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8"/>
      <c r="B3" s="798"/>
      <c r="C3" s="798"/>
      <c r="D3" s="798"/>
      <c r="E3" s="1286"/>
      <c r="F3" s="1285">
        <v>1</v>
      </c>
      <c r="G3" s="798"/>
      <c r="H3" s="798"/>
      <c r="I3" s="798"/>
      <c r="J3" s="798"/>
      <c r="K3" s="798"/>
      <c r="L3" s="799"/>
      <c r="M3" s="435"/>
      <c r="N3" s="435"/>
      <c r="O3" s="435"/>
      <c r="P3" s="312"/>
      <c r="Q3" s="831"/>
      <c r="R3" s="211"/>
      <c r="S3" s="730" t="e">
        <f>INDEX(PT_DIFFERENTIATION_NUM_TER,MATCH(B3,PT_DIFFERENTIATION_TER_ID,0))</f>
        <v>#N/A</v>
      </c>
      <c r="T3" s="178" t="s">
        <v>458</v>
      </c>
      <c r="U3" s="170"/>
      <c r="V3" s="1280"/>
      <c r="W3" s="1280"/>
      <c r="X3" s="1280"/>
      <c r="Y3" s="1280"/>
      <c r="Z3" s="1280"/>
      <c r="AA3" s="1280"/>
      <c r="AB3" s="1280"/>
      <c r="AC3" s="1281"/>
      <c r="AD3" s="1279" t="e">
        <f>INDEX(PT_DIFFERENTIATION_TER,MATCH(B3,PT_DIFFERENTIATION_TER_ID,0))</f>
        <v>#N/A</v>
      </c>
      <c r="AE3" s="1280"/>
      <c r="AF3" s="1280"/>
      <c r="AG3" s="1280"/>
      <c r="AH3" s="1280"/>
      <c r="AI3" s="1280"/>
      <c r="AJ3" s="1280"/>
      <c r="AK3" s="1280"/>
      <c r="AL3" s="1280"/>
      <c r="AM3" s="1280"/>
      <c r="AN3" s="1280"/>
      <c r="AO3" s="1280"/>
      <c r="AP3" s="1280"/>
      <c r="AQ3" s="1280"/>
      <c r="AR3" s="1280"/>
      <c r="AS3" s="1280"/>
      <c r="AT3" s="1280"/>
      <c r="AU3" s="1280"/>
      <c r="AV3" s="1280"/>
      <c r="AW3" s="1280"/>
      <c r="AX3" s="1280"/>
      <c r="AY3" s="1280"/>
      <c r="AZ3" s="1280"/>
      <c r="BA3" s="1280"/>
      <c r="BB3" s="1281"/>
      <c r="BC3" s="758" t="s">
        <v>459</v>
      </c>
      <c r="BE3" s="66"/>
      <c r="BF3" s="66" t="str">
        <f t="shared" si="0"/>
        <v>Территория действия тарифа</v>
      </c>
      <c r="BG3" s="66"/>
      <c r="BH3" s="66"/>
    </row>
    <row r="4" spans="1:60" ht="33.75" hidden="1" customHeight="1">
      <c r="A4" s="798"/>
      <c r="B4" s="798"/>
      <c r="C4" s="798"/>
      <c r="D4" s="798"/>
      <c r="E4" s="1286"/>
      <c r="F4" s="1286"/>
      <c r="G4" s="1285">
        <v>1</v>
      </c>
      <c r="H4" s="798"/>
      <c r="I4" s="798"/>
      <c r="J4" s="798"/>
      <c r="K4" s="798"/>
      <c r="L4" s="799"/>
      <c r="M4" s="435"/>
      <c r="N4" s="435"/>
      <c r="O4" s="435"/>
      <c r="P4" s="128"/>
      <c r="Q4" s="831"/>
      <c r="R4" s="211"/>
      <c r="S4" s="730" t="e">
        <f>INDEX(PT_DIFFERENTIATION_NUM_CS,MATCH(C4,PT_DIFFERENTIATION_CS_ID,0))</f>
        <v>#N/A</v>
      </c>
      <c r="T4" s="179" t="s">
        <v>2084</v>
      </c>
      <c r="U4" s="170"/>
      <c r="V4" s="1280"/>
      <c r="W4" s="1280"/>
      <c r="X4" s="1280"/>
      <c r="Y4" s="1280"/>
      <c r="Z4" s="1280"/>
      <c r="AA4" s="1280"/>
      <c r="AB4" s="1280"/>
      <c r="AC4" s="1281"/>
      <c r="AD4" s="1279" t="e">
        <f>INDEX(PT_DIFFERENTIATION_CS,MATCH(C4,PT_DIFFERENTIATION_CS_ID,0))</f>
        <v>#N/A</v>
      </c>
      <c r="AE4" s="1280"/>
      <c r="AF4" s="1280"/>
      <c r="AG4" s="1280"/>
      <c r="AH4" s="1280"/>
      <c r="AI4" s="1280"/>
      <c r="AJ4" s="1280"/>
      <c r="AK4" s="1280"/>
      <c r="AL4" s="1280"/>
      <c r="AM4" s="1280"/>
      <c r="AN4" s="1280"/>
      <c r="AO4" s="1280"/>
      <c r="AP4" s="1280"/>
      <c r="AQ4" s="1280"/>
      <c r="AR4" s="1280"/>
      <c r="AS4" s="1280"/>
      <c r="AT4" s="1280"/>
      <c r="AU4" s="1280"/>
      <c r="AV4" s="1280"/>
      <c r="AW4" s="1280"/>
      <c r="AX4" s="1280"/>
      <c r="AY4" s="1280"/>
      <c r="AZ4" s="1280"/>
      <c r="BA4" s="1280"/>
      <c r="BB4" s="1281"/>
      <c r="BC4" s="758" t="s">
        <v>2085</v>
      </c>
      <c r="BE4" s="66"/>
      <c r="BF4" s="66" t="str">
        <f t="shared" si="0"/>
        <v>Наименование централизованной системы горячего водоснабжения</v>
      </c>
      <c r="BG4" s="66"/>
      <c r="BH4" s="66"/>
    </row>
    <row r="5" spans="1:60" s="65" customFormat="1" ht="14.25" hidden="1" customHeight="1">
      <c r="A5" s="142"/>
      <c r="B5" s="142"/>
      <c r="C5" s="142"/>
      <c r="D5" s="142"/>
      <c r="E5" s="1286"/>
      <c r="F5" s="1286"/>
      <c r="G5" s="1286"/>
      <c r="H5" s="1285">
        <v>1</v>
      </c>
      <c r="I5" s="142"/>
      <c r="J5" s="142"/>
      <c r="K5" s="142"/>
      <c r="L5" s="357"/>
      <c r="M5" s="304"/>
      <c r="N5" s="304"/>
      <c r="O5" s="304"/>
      <c r="P5" s="849"/>
      <c r="Q5" s="850"/>
      <c r="R5" s="215"/>
      <c r="S5" s="373"/>
      <c r="T5" s="851"/>
      <c r="U5" s="809"/>
      <c r="V5" s="1315"/>
      <c r="W5" s="1315"/>
      <c r="X5" s="1315"/>
      <c r="Y5" s="1315"/>
      <c r="Z5" s="1315"/>
      <c r="AA5" s="1315"/>
      <c r="AB5" s="1315"/>
      <c r="AC5" s="1316"/>
      <c r="AD5" s="1314"/>
      <c r="AE5" s="1315"/>
      <c r="AF5" s="1315"/>
      <c r="AG5" s="1315"/>
      <c r="AH5" s="1315"/>
      <c r="AI5" s="1315"/>
      <c r="AJ5" s="1315"/>
      <c r="AK5" s="1315"/>
      <c r="AL5" s="1315"/>
      <c r="AM5" s="1315"/>
      <c r="AN5" s="1315"/>
      <c r="AO5" s="1315"/>
      <c r="AP5" s="1315"/>
      <c r="AQ5" s="1315"/>
      <c r="AR5" s="1315"/>
      <c r="AS5" s="1315"/>
      <c r="AT5" s="1315"/>
      <c r="AU5" s="1315"/>
      <c r="AV5" s="1315"/>
      <c r="AW5" s="1315"/>
      <c r="AX5" s="1315"/>
      <c r="AY5" s="1315"/>
      <c r="AZ5" s="1315"/>
      <c r="BA5" s="1315"/>
      <c r="BB5" s="1316"/>
      <c r="BC5" s="810" t="s">
        <v>463</v>
      </c>
      <c r="BE5" s="66"/>
      <c r="BF5" s="66" t="str">
        <f t="shared" si="0"/>
        <v/>
      </c>
      <c r="BG5" s="66"/>
      <c r="BH5" s="66"/>
    </row>
    <row r="6" spans="1:60" s="65" customFormat="1" ht="14.25" hidden="1" customHeight="1">
      <c r="A6" s="142"/>
      <c r="B6" s="142"/>
      <c r="C6" s="142"/>
      <c r="D6" s="142"/>
      <c r="E6" s="1286"/>
      <c r="F6" s="1286"/>
      <c r="G6" s="1286"/>
      <c r="H6" s="1286"/>
      <c r="I6" s="1287" t="str">
        <f>S5&amp;".1"</f>
        <v>.1</v>
      </c>
      <c r="J6" s="142"/>
      <c r="K6" s="142"/>
      <c r="L6" s="357" t="s">
        <v>464</v>
      </c>
      <c r="M6" s="228"/>
      <c r="N6" s="228"/>
      <c r="O6" s="228"/>
      <c r="P6" s="1204">
        <v>1</v>
      </c>
      <c r="Q6" s="119"/>
      <c r="R6" s="214"/>
      <c r="S6" s="373"/>
      <c r="T6" s="808"/>
      <c r="U6" s="809"/>
      <c r="V6" s="1315"/>
      <c r="W6" s="1315"/>
      <c r="X6" s="1315"/>
      <c r="Y6" s="1315"/>
      <c r="Z6" s="1315"/>
      <c r="AA6" s="1315"/>
      <c r="AB6" s="1315"/>
      <c r="AC6" s="1316"/>
      <c r="AD6" s="1314"/>
      <c r="AE6" s="1315"/>
      <c r="AF6" s="1315"/>
      <c r="AG6" s="1315"/>
      <c r="AH6" s="1315"/>
      <c r="AI6" s="1315"/>
      <c r="AJ6" s="1315"/>
      <c r="AK6" s="1315"/>
      <c r="AL6" s="1315"/>
      <c r="AM6" s="1315"/>
      <c r="AN6" s="1315"/>
      <c r="AO6" s="1315"/>
      <c r="AP6" s="1315"/>
      <c r="AQ6" s="1315"/>
      <c r="AR6" s="1315"/>
      <c r="AS6" s="1315"/>
      <c r="AT6" s="1315"/>
      <c r="AU6" s="1315"/>
      <c r="AV6" s="1315"/>
      <c r="AW6" s="1315"/>
      <c r="AX6" s="1315"/>
      <c r="AY6" s="1315"/>
      <c r="AZ6" s="1315"/>
      <c r="BA6" s="1315"/>
      <c r="BB6" s="1316"/>
      <c r="BC6" s="810"/>
      <c r="BE6" s="66"/>
      <c r="BF6" s="66" t="str">
        <f t="shared" si="0"/>
        <v/>
      </c>
      <c r="BG6" s="66"/>
      <c r="BH6" s="66"/>
    </row>
    <row r="7" spans="1:60" s="65" customFormat="1" ht="14.25" hidden="1" customHeight="1">
      <c r="A7" s="142"/>
      <c r="B7" s="142"/>
      <c r="C7" s="142"/>
      <c r="D7" s="142"/>
      <c r="E7" s="1286"/>
      <c r="F7" s="1286"/>
      <c r="G7" s="1286"/>
      <c r="H7" s="1286"/>
      <c r="I7" s="1288"/>
      <c r="J7" s="1287" t="str">
        <f>S5&amp;".1"</f>
        <v>.1</v>
      </c>
      <c r="K7" s="142"/>
      <c r="L7" s="357"/>
      <c r="M7" s="228"/>
      <c r="N7" s="228"/>
      <c r="O7" s="228"/>
      <c r="P7" s="1204"/>
      <c r="Q7" s="1204">
        <v>1</v>
      </c>
      <c r="R7" s="215"/>
      <c r="S7" s="373"/>
      <c r="T7" s="823"/>
      <c r="U7" s="809"/>
      <c r="V7" s="1315"/>
      <c r="W7" s="1315"/>
      <c r="X7" s="1315"/>
      <c r="Y7" s="1315"/>
      <c r="Z7" s="1315"/>
      <c r="AA7" s="1315"/>
      <c r="AB7" s="1315"/>
      <c r="AC7" s="1316"/>
      <c r="AD7" s="1314"/>
      <c r="AE7" s="1315"/>
      <c r="AF7" s="1315"/>
      <c r="AG7" s="1315"/>
      <c r="AH7" s="1315"/>
      <c r="AI7" s="1315"/>
      <c r="AJ7" s="1315"/>
      <c r="AK7" s="1315"/>
      <c r="AL7" s="1315"/>
      <c r="AM7" s="1315"/>
      <c r="AN7" s="1315"/>
      <c r="AO7" s="1315"/>
      <c r="AP7" s="1315"/>
      <c r="AQ7" s="1315"/>
      <c r="AR7" s="1315"/>
      <c r="AS7" s="1315"/>
      <c r="AT7" s="1315"/>
      <c r="AU7" s="1315"/>
      <c r="AV7" s="1315"/>
      <c r="AW7" s="1315"/>
      <c r="AX7" s="1315"/>
      <c r="AY7" s="1315"/>
      <c r="AZ7" s="1315"/>
      <c r="BA7" s="1315"/>
      <c r="BB7" s="1316"/>
      <c r="BC7" s="810"/>
      <c r="BE7" s="66"/>
      <c r="BF7" s="66" t="str">
        <f t="shared" si="0"/>
        <v/>
      </c>
      <c r="BG7" s="66"/>
      <c r="BH7" s="66"/>
    </row>
    <row r="8" spans="1:60" ht="11.25" hidden="1" customHeight="1">
      <c r="A8" s="798"/>
      <c r="B8" s="798"/>
      <c r="C8" s="798"/>
      <c r="D8" s="798"/>
      <c r="E8" s="1286"/>
      <c r="F8" s="1286"/>
      <c r="G8" s="1286"/>
      <c r="H8" s="1286"/>
      <c r="I8" s="1288"/>
      <c r="J8" s="1288"/>
      <c r="K8" s="1287" t="e">
        <f>S4&amp;".1"</f>
        <v>#N/A</v>
      </c>
      <c r="L8" s="799"/>
      <c r="P8" s="1204"/>
      <c r="Q8" s="1204"/>
      <c r="R8" s="1338">
        <v>1</v>
      </c>
      <c r="S8" s="1335" t="e">
        <f>$K8</f>
        <v>#N/A</v>
      </c>
      <c r="T8" s="1394"/>
      <c r="U8" s="170"/>
      <c r="V8" s="317"/>
      <c r="W8" s="757"/>
      <c r="X8" s="317"/>
      <c r="Y8" s="757"/>
      <c r="Z8" s="979"/>
      <c r="AA8" s="308" t="s">
        <v>59</v>
      </c>
      <c r="AB8" s="979"/>
      <c r="AC8" s="308" t="s">
        <v>59</v>
      </c>
      <c r="AD8" s="1150" t="s">
        <v>59</v>
      </c>
      <c r="AE8" s="1331"/>
      <c r="AF8" s="1163">
        <v>1</v>
      </c>
      <c r="AG8" s="1393"/>
      <c r="AH8" s="1093" t="s">
        <v>59</v>
      </c>
      <c r="AI8" s="1331"/>
      <c r="AJ8" s="1163">
        <v>1</v>
      </c>
      <c r="AK8" s="1392" t="s">
        <v>18</v>
      </c>
      <c r="AL8" s="1093" t="s">
        <v>59</v>
      </c>
      <c r="AM8" s="1138"/>
      <c r="AN8" s="1163">
        <v>1</v>
      </c>
      <c r="AO8" s="1397"/>
      <c r="AP8" s="1398" t="s">
        <v>59</v>
      </c>
      <c r="AQ8" s="181"/>
      <c r="AR8" s="280">
        <v>1</v>
      </c>
      <c r="AS8" s="116" t="s">
        <v>18</v>
      </c>
      <c r="AT8" s="317"/>
      <c r="AU8" s="757"/>
      <c r="AV8" s="317"/>
      <c r="AW8" s="757"/>
      <c r="AX8" s="979"/>
      <c r="AY8" s="308" t="s">
        <v>59</v>
      </c>
      <c r="AZ8" s="979"/>
      <c r="BA8" s="308" t="s">
        <v>59</v>
      </c>
      <c r="BB8" s="795"/>
      <c r="BC8" s="1307" t="s">
        <v>1693</v>
      </c>
      <c r="BE8" s="66"/>
      <c r="BF8" s="66" t="str">
        <f t="shared" si="0"/>
        <v/>
      </c>
      <c r="BG8" s="66"/>
      <c r="BH8" s="66"/>
    </row>
    <row r="9" spans="1:60" ht="11.25" hidden="1" customHeight="1">
      <c r="A9" s="798"/>
      <c r="B9" s="798"/>
      <c r="C9" s="798"/>
      <c r="D9" s="798"/>
      <c r="E9" s="1286"/>
      <c r="F9" s="1286"/>
      <c r="G9" s="1286"/>
      <c r="H9" s="1286"/>
      <c r="I9" s="1288"/>
      <c r="J9" s="1288"/>
      <c r="K9" s="1287"/>
      <c r="L9" s="799"/>
      <c r="P9" s="1204"/>
      <c r="Q9" s="1204"/>
      <c r="R9" s="1338"/>
      <c r="S9" s="1336"/>
      <c r="T9" s="1395"/>
      <c r="U9" s="170"/>
      <c r="V9" s="818"/>
      <c r="W9" s="848"/>
      <c r="X9" s="818"/>
      <c r="Y9" s="848"/>
      <c r="Z9" s="818"/>
      <c r="AA9" s="818"/>
      <c r="AB9" s="818"/>
      <c r="AC9" s="818"/>
      <c r="AD9" s="1151"/>
      <c r="AE9" s="1331"/>
      <c r="AF9" s="1163"/>
      <c r="AG9" s="1393"/>
      <c r="AH9" s="1093"/>
      <c r="AI9" s="1331"/>
      <c r="AJ9" s="1163"/>
      <c r="AK9" s="1392"/>
      <c r="AL9" s="1093"/>
      <c r="AM9" s="1143"/>
      <c r="AN9" s="1163"/>
      <c r="AO9" s="1397"/>
      <c r="AP9" s="1399"/>
      <c r="AQ9" s="186"/>
      <c r="AR9" s="50"/>
      <c r="AS9" s="50" t="s">
        <v>1694</v>
      </c>
      <c r="AT9" s="818"/>
      <c r="AU9" s="848"/>
      <c r="AV9" s="818"/>
      <c r="AW9" s="848"/>
      <c r="AX9" s="818"/>
      <c r="AY9" s="818"/>
      <c r="AZ9" s="818"/>
      <c r="BA9" s="818"/>
      <c r="BB9" s="822"/>
      <c r="BC9" s="1308"/>
      <c r="BE9" s="66"/>
      <c r="BF9" s="66"/>
      <c r="BG9" s="66"/>
      <c r="BH9" s="66"/>
    </row>
    <row r="10" spans="1:60" ht="11.25" hidden="1" customHeight="1">
      <c r="A10" s="798"/>
      <c r="B10" s="798"/>
      <c r="C10" s="798"/>
      <c r="D10" s="798"/>
      <c r="E10" s="1286"/>
      <c r="F10" s="1286"/>
      <c r="G10" s="1286"/>
      <c r="H10" s="1286"/>
      <c r="I10" s="1288"/>
      <c r="J10" s="1288"/>
      <c r="K10" s="1287"/>
      <c r="L10" s="799"/>
      <c r="P10" s="1204"/>
      <c r="Q10" s="1204"/>
      <c r="R10" s="1338"/>
      <c r="S10" s="1336"/>
      <c r="T10" s="1395"/>
      <c r="U10" s="170"/>
      <c r="V10" s="818"/>
      <c r="W10" s="848"/>
      <c r="X10" s="818"/>
      <c r="Y10" s="848"/>
      <c r="Z10" s="818"/>
      <c r="AA10" s="818"/>
      <c r="AB10" s="818"/>
      <c r="AC10" s="818"/>
      <c r="AD10" s="1151"/>
      <c r="AE10" s="1331"/>
      <c r="AF10" s="1163"/>
      <c r="AG10" s="1393"/>
      <c r="AH10" s="1093"/>
      <c r="AI10" s="1331"/>
      <c r="AJ10" s="1163"/>
      <c r="AK10" s="1392"/>
      <c r="AL10" s="1093"/>
      <c r="AM10" s="186"/>
      <c r="AN10" s="852"/>
      <c r="AO10" s="852" t="s">
        <v>1695</v>
      </c>
      <c r="AP10" s="50"/>
      <c r="AQ10" s="50"/>
      <c r="AR10" s="50"/>
      <c r="AS10" s="818"/>
      <c r="AT10" s="818"/>
      <c r="AU10" s="848"/>
      <c r="AV10" s="818"/>
      <c r="AW10" s="848"/>
      <c r="AX10" s="818"/>
      <c r="AY10" s="818"/>
      <c r="AZ10" s="818"/>
      <c r="BA10" s="818"/>
      <c r="BB10" s="822"/>
      <c r="BC10" s="1308"/>
      <c r="BE10" s="66"/>
      <c r="BF10" s="66"/>
      <c r="BG10" s="66"/>
      <c r="BH10" s="66"/>
    </row>
    <row r="11" spans="1:60" ht="11.25" hidden="1" customHeight="1">
      <c r="A11" s="798"/>
      <c r="B11" s="798"/>
      <c r="C11" s="798"/>
      <c r="D11" s="798"/>
      <c r="E11" s="1286"/>
      <c r="F11" s="1286"/>
      <c r="G11" s="1286"/>
      <c r="H11" s="1286"/>
      <c r="I11" s="1288"/>
      <c r="J11" s="1288"/>
      <c r="K11" s="1287"/>
      <c r="L11" s="799"/>
      <c r="P11" s="1204"/>
      <c r="Q11" s="1204"/>
      <c r="R11" s="1338"/>
      <c r="S11" s="1336"/>
      <c r="T11" s="1395"/>
      <c r="U11" s="170"/>
      <c r="V11" s="818"/>
      <c r="W11" s="848"/>
      <c r="X11" s="818"/>
      <c r="Y11" s="848"/>
      <c r="Z11" s="818"/>
      <c r="AA11" s="818"/>
      <c r="AB11" s="818"/>
      <c r="AC11" s="818"/>
      <c r="AD11" s="1151"/>
      <c r="AE11" s="1331"/>
      <c r="AF11" s="1163"/>
      <c r="AG11" s="1393"/>
      <c r="AH11" s="1093"/>
      <c r="AI11" s="168"/>
      <c r="AJ11" s="107"/>
      <c r="AK11" s="183" t="s">
        <v>1696</v>
      </c>
      <c r="AL11" s="818"/>
      <c r="AM11" s="818"/>
      <c r="AN11" s="818"/>
      <c r="AO11" s="818"/>
      <c r="AP11" s="818"/>
      <c r="AQ11" s="818"/>
      <c r="AR11" s="818"/>
      <c r="AS11" s="818"/>
      <c r="AT11" s="818"/>
      <c r="AU11" s="848"/>
      <c r="AV11" s="818"/>
      <c r="AW11" s="848"/>
      <c r="AX11" s="818"/>
      <c r="AY11" s="818"/>
      <c r="AZ11" s="818"/>
      <c r="BA11" s="818"/>
      <c r="BB11" s="822"/>
      <c r="BC11" s="1308"/>
      <c r="BE11" s="66"/>
      <c r="BF11" s="66"/>
      <c r="BG11" s="66"/>
      <c r="BH11" s="66"/>
    </row>
    <row r="12" spans="1:60" ht="11.25" hidden="1" customHeight="1">
      <c r="A12" s="798"/>
      <c r="B12" s="798"/>
      <c r="C12" s="798"/>
      <c r="D12" s="798"/>
      <c r="E12" s="1286"/>
      <c r="F12" s="1286"/>
      <c r="G12" s="1286"/>
      <c r="H12" s="1286"/>
      <c r="I12" s="1288"/>
      <c r="J12" s="1288"/>
      <c r="K12" s="1287"/>
      <c r="L12" s="799"/>
      <c r="P12" s="1204"/>
      <c r="Q12" s="1204"/>
      <c r="R12" s="1338"/>
      <c r="S12" s="1337"/>
      <c r="T12" s="1396"/>
      <c r="U12" s="170"/>
      <c r="V12" s="818"/>
      <c r="W12" s="819" t="str">
        <f>Z8&amp;"-"&amp;AB8</f>
        <v>-</v>
      </c>
      <c r="X12" s="818"/>
      <c r="Y12" s="819" t="str">
        <f>AB8&amp;"-"&amp;AD8</f>
        <v>-да</v>
      </c>
      <c r="Z12" s="818"/>
      <c r="AA12" s="818"/>
      <c r="AB12" s="818"/>
      <c r="AC12" s="818"/>
      <c r="AD12" s="1098"/>
      <c r="AE12" s="182"/>
      <c r="AF12" s="184"/>
      <c r="AG12" s="50" t="s">
        <v>1697</v>
      </c>
      <c r="AH12" s="818"/>
      <c r="AI12" s="818"/>
      <c r="AJ12" s="818"/>
      <c r="AK12" s="818"/>
      <c r="AL12" s="818"/>
      <c r="AM12" s="818"/>
      <c r="AN12" s="818"/>
      <c r="AO12" s="818"/>
      <c r="AP12" s="818"/>
      <c r="AQ12" s="818"/>
      <c r="AR12" s="818"/>
      <c r="AS12" s="818"/>
      <c r="AT12" s="818"/>
      <c r="AU12" s="819" t="str">
        <f>AX8&amp;"-"&amp;AZ8</f>
        <v>-</v>
      </c>
      <c r="AV12" s="818"/>
      <c r="AW12" s="819" t="str">
        <f>AZ8&amp;"-"&amp;BB8</f>
        <v>-</v>
      </c>
      <c r="AX12" s="818"/>
      <c r="AY12" s="818"/>
      <c r="AZ12" s="818"/>
      <c r="BA12" s="818"/>
      <c r="BB12" s="821" t="str">
        <f>BE8&amp;"-"&amp;BG8</f>
        <v>-</v>
      </c>
      <c r="BC12" s="1308"/>
      <c r="BE12" s="66"/>
      <c r="BF12" s="66" t="str">
        <f t="shared" ref="BF12:BF18" si="1">IF(T12="","",T12)</f>
        <v/>
      </c>
      <c r="BG12" s="66"/>
      <c r="BH12" s="66"/>
    </row>
    <row r="13" spans="1:60" ht="11.25" hidden="1" customHeight="1">
      <c r="A13" s="798"/>
      <c r="B13" s="798"/>
      <c r="C13" s="798"/>
      <c r="D13" s="798"/>
      <c r="E13" s="1286"/>
      <c r="F13" s="1286"/>
      <c r="G13" s="1286"/>
      <c r="H13" s="1286"/>
      <c r="I13" s="1288"/>
      <c r="J13" s="1287"/>
      <c r="K13" s="798"/>
      <c r="L13" s="799"/>
      <c r="P13" s="1204"/>
      <c r="Q13" s="1204"/>
      <c r="R13" s="214"/>
      <c r="S13" s="772"/>
      <c r="T13" s="165" t="s">
        <v>538</v>
      </c>
      <c r="U13" s="221"/>
      <c r="V13" s="221"/>
      <c r="W13" s="221"/>
      <c r="X13" s="221"/>
      <c r="Y13" s="221"/>
      <c r="Z13" s="221"/>
      <c r="AA13" s="221"/>
      <c r="AB13" s="221"/>
      <c r="AC13" s="221"/>
      <c r="AD13" s="856"/>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309"/>
      <c r="BE13" s="66"/>
      <c r="BF13" s="66" t="str">
        <f t="shared" si="1"/>
        <v>Добавить строку</v>
      </c>
      <c r="BG13" s="66"/>
      <c r="BH13" s="66"/>
    </row>
    <row r="14" spans="1:60" s="65" customFormat="1" ht="14.25" hidden="1" customHeight="1">
      <c r="A14" s="142"/>
      <c r="B14" s="142"/>
      <c r="C14" s="142"/>
      <c r="D14" s="142"/>
      <c r="E14" s="1286"/>
      <c r="F14" s="1286"/>
      <c r="G14" s="1286"/>
      <c r="H14" s="1286"/>
      <c r="I14" s="1287"/>
      <c r="J14" s="142"/>
      <c r="K14" s="142"/>
      <c r="L14" s="357"/>
      <c r="M14" s="228"/>
      <c r="N14" s="228"/>
      <c r="O14" s="228"/>
      <c r="P14" s="1204"/>
      <c r="Q14" s="119"/>
      <c r="R14" s="214"/>
      <c r="S14" s="811"/>
      <c r="T14" s="812"/>
      <c r="U14" s="813"/>
      <c r="V14" s="813"/>
      <c r="W14" s="813"/>
      <c r="X14" s="813"/>
      <c r="Y14" s="813"/>
      <c r="Z14" s="813"/>
      <c r="AA14" s="813"/>
      <c r="AB14" s="813"/>
      <c r="AC14" s="813"/>
      <c r="AD14" s="813"/>
      <c r="AE14" s="813"/>
      <c r="AF14" s="813"/>
      <c r="AG14" s="813"/>
      <c r="AH14" s="813"/>
      <c r="AI14" s="813"/>
      <c r="AJ14" s="813"/>
      <c r="AK14" s="813"/>
      <c r="AL14" s="813"/>
      <c r="AM14" s="813"/>
      <c r="AN14" s="813"/>
      <c r="AO14" s="813"/>
      <c r="AP14" s="813"/>
      <c r="AQ14" s="813"/>
      <c r="AR14" s="813"/>
      <c r="AS14" s="813"/>
      <c r="AT14" s="813"/>
      <c r="AU14" s="813"/>
      <c r="AV14" s="813"/>
      <c r="AW14" s="813"/>
      <c r="AX14" s="813"/>
      <c r="AY14" s="813"/>
      <c r="AZ14" s="813"/>
      <c r="BA14" s="813"/>
      <c r="BB14" s="813"/>
      <c r="BC14" s="814"/>
      <c r="BE14" s="66"/>
      <c r="BF14" s="66" t="str">
        <f t="shared" si="1"/>
        <v/>
      </c>
      <c r="BG14" s="66"/>
      <c r="BH14" s="66"/>
    </row>
    <row r="15" spans="1:60" s="65" customFormat="1" ht="14.25" hidden="1" customHeight="1">
      <c r="A15" s="142"/>
      <c r="B15" s="142"/>
      <c r="C15" s="142"/>
      <c r="D15" s="142"/>
      <c r="E15" s="1286"/>
      <c r="F15" s="1286"/>
      <c r="G15" s="1286"/>
      <c r="H15" s="1285"/>
      <c r="I15" s="142"/>
      <c r="J15" s="142"/>
      <c r="K15" s="142"/>
      <c r="L15" s="357"/>
      <c r="M15" s="304"/>
      <c r="N15" s="304"/>
      <c r="P15" s="101"/>
      <c r="Q15" s="785"/>
      <c r="R15" s="825"/>
      <c r="S15" s="811"/>
      <c r="T15" s="812"/>
      <c r="U15" s="813"/>
      <c r="V15" s="813"/>
      <c r="W15" s="813"/>
      <c r="X15" s="813"/>
      <c r="Y15" s="813"/>
      <c r="Z15" s="813"/>
      <c r="AA15" s="813"/>
      <c r="AB15" s="813"/>
      <c r="AC15" s="813"/>
      <c r="AD15" s="813"/>
      <c r="AE15" s="813"/>
      <c r="AF15" s="813"/>
      <c r="AG15" s="813"/>
      <c r="AH15" s="813"/>
      <c r="AI15" s="813"/>
      <c r="AJ15" s="813"/>
      <c r="AK15" s="813"/>
      <c r="AL15" s="813"/>
      <c r="AM15" s="813"/>
      <c r="AN15" s="813"/>
      <c r="AO15" s="813"/>
      <c r="AP15" s="813"/>
      <c r="AQ15" s="813"/>
      <c r="AR15" s="813"/>
      <c r="AS15" s="813"/>
      <c r="AT15" s="813"/>
      <c r="AU15" s="813"/>
      <c r="AV15" s="813"/>
      <c r="AW15" s="813"/>
      <c r="AX15" s="813"/>
      <c r="AY15" s="813"/>
      <c r="AZ15" s="813"/>
      <c r="BA15" s="813"/>
      <c r="BB15" s="813"/>
      <c r="BC15" s="814"/>
      <c r="BE15" s="66"/>
      <c r="BF15" s="66" t="str">
        <f t="shared" si="1"/>
        <v/>
      </c>
      <c r="BG15" s="66"/>
      <c r="BH15" s="66"/>
    </row>
    <row r="16" spans="1:60" s="65" customFormat="1" ht="14.25" hidden="1" customHeight="1">
      <c r="A16" s="142"/>
      <c r="B16" s="142"/>
      <c r="C16" s="142"/>
      <c r="D16" s="142"/>
      <c r="E16" s="1286"/>
      <c r="F16" s="1286"/>
      <c r="G16" s="1285"/>
      <c r="H16" s="142"/>
      <c r="I16" s="142"/>
      <c r="J16" s="142"/>
      <c r="K16" s="142"/>
      <c r="L16" s="357"/>
      <c r="M16" s="304"/>
      <c r="N16" s="304"/>
      <c r="P16" s="101"/>
      <c r="Q16" s="785"/>
      <c r="R16" s="101"/>
      <c r="S16" s="790"/>
      <c r="T16" s="792"/>
      <c r="U16" s="324"/>
      <c r="V16" s="324"/>
      <c r="W16" s="324"/>
      <c r="X16" s="324"/>
      <c r="Y16" s="324"/>
      <c r="Z16" s="324"/>
      <c r="AA16" s="324"/>
      <c r="AB16" s="324"/>
      <c r="AC16" s="324"/>
      <c r="AD16" s="324"/>
      <c r="AE16" s="324"/>
      <c r="AF16" s="324"/>
      <c r="AG16" s="324"/>
      <c r="AH16" s="324"/>
      <c r="AI16" s="324"/>
      <c r="AJ16" s="324"/>
      <c r="AK16" s="324"/>
      <c r="AL16" s="324"/>
      <c r="AM16" s="324"/>
      <c r="AN16" s="324"/>
      <c r="AO16" s="324"/>
      <c r="AP16" s="324"/>
      <c r="AQ16" s="324"/>
      <c r="AR16" s="324"/>
      <c r="AS16" s="324"/>
      <c r="AT16" s="324"/>
      <c r="AU16" s="324"/>
      <c r="AV16" s="324"/>
      <c r="AW16" s="324"/>
      <c r="AX16" s="324"/>
      <c r="AY16" s="324"/>
      <c r="AZ16" s="324"/>
      <c r="BA16" s="324"/>
      <c r="BB16" s="324"/>
      <c r="BC16" s="324"/>
      <c r="BE16" s="66"/>
      <c r="BF16" s="66" t="str">
        <f t="shared" si="1"/>
        <v/>
      </c>
      <c r="BG16" s="66"/>
      <c r="BH16" s="66"/>
    </row>
    <row r="17" spans="1:60" s="65" customFormat="1" ht="14.25" hidden="1" customHeight="1">
      <c r="A17" s="142"/>
      <c r="B17" s="142"/>
      <c r="C17" s="142"/>
      <c r="D17" s="142"/>
      <c r="E17" s="1286"/>
      <c r="F17" s="1285"/>
      <c r="G17" s="142"/>
      <c r="H17" s="142"/>
      <c r="I17" s="142"/>
      <c r="J17" s="142"/>
      <c r="K17" s="142"/>
      <c r="L17" s="357"/>
      <c r="M17" s="789"/>
      <c r="N17" s="789"/>
      <c r="P17" s="101"/>
      <c r="Q17" s="785"/>
      <c r="R17" s="101"/>
      <c r="S17" s="790"/>
      <c r="T17" s="792" t="s">
        <v>432</v>
      </c>
      <c r="U17" s="324"/>
      <c r="V17" s="324"/>
      <c r="W17" s="324"/>
      <c r="X17" s="324"/>
      <c r="Y17" s="324"/>
      <c r="Z17" s="324"/>
      <c r="AA17" s="324"/>
      <c r="AB17" s="324"/>
      <c r="AC17" s="324"/>
      <c r="AD17" s="324"/>
      <c r="AE17" s="324"/>
      <c r="AF17" s="324"/>
      <c r="AG17" s="324"/>
      <c r="AH17" s="324"/>
      <c r="AI17" s="324"/>
      <c r="AJ17" s="324"/>
      <c r="AK17" s="324"/>
      <c r="AL17" s="324"/>
      <c r="AM17" s="324"/>
      <c r="AN17" s="324"/>
      <c r="AO17" s="324"/>
      <c r="AP17" s="324"/>
      <c r="AQ17" s="324"/>
      <c r="AR17" s="324"/>
      <c r="AS17" s="324"/>
      <c r="AT17" s="324"/>
      <c r="AU17" s="324"/>
      <c r="AV17" s="324"/>
      <c r="AW17" s="324"/>
      <c r="AX17" s="324"/>
      <c r="AY17" s="324"/>
      <c r="AZ17" s="324"/>
      <c r="BA17" s="324"/>
      <c r="BB17" s="324"/>
      <c r="BC17" s="324"/>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85"/>
      <c r="F18" s="142"/>
      <c r="G18" s="142"/>
      <c r="H18" s="142"/>
      <c r="I18" s="142"/>
      <c r="J18" s="142"/>
      <c r="K18" s="142"/>
      <c r="L18" s="357"/>
      <c r="M18" s="789"/>
      <c r="N18" s="789"/>
      <c r="P18" s="101"/>
      <c r="Q18" s="785"/>
      <c r="R18" s="101"/>
      <c r="S18" s="790"/>
      <c r="T18" s="792" t="s">
        <v>433</v>
      </c>
      <c r="U18" s="324"/>
      <c r="V18" s="324"/>
      <c r="W18" s="324"/>
      <c r="X18" s="324"/>
      <c r="Y18" s="324"/>
      <c r="Z18" s="324"/>
      <c r="AA18" s="324"/>
      <c r="AB18" s="324"/>
      <c r="AC18" s="324"/>
      <c r="AD18" s="324"/>
      <c r="AE18" s="324"/>
      <c r="AF18" s="324"/>
      <c r="AG18" s="324"/>
      <c r="AH18" s="324"/>
      <c r="AI18" s="324"/>
      <c r="AJ18" s="324"/>
      <c r="AK18" s="324"/>
      <c r="AL18" s="324"/>
      <c r="AM18" s="324"/>
      <c r="AN18" s="324"/>
      <c r="AO18" s="324"/>
      <c r="AP18" s="324"/>
      <c r="AQ18" s="324"/>
      <c r="AR18" s="324"/>
      <c r="AS18" s="324"/>
      <c r="AT18" s="324"/>
      <c r="AU18" s="324"/>
      <c r="AV18" s="324"/>
      <c r="AW18" s="324"/>
      <c r="AX18" s="324"/>
      <c r="AY18" s="324"/>
      <c r="AZ18" s="324"/>
      <c r="BA18" s="324"/>
      <c r="BB18" s="324"/>
      <c r="BC18" s="324"/>
      <c r="BE18" s="66"/>
      <c r="BF18" s="66" t="str">
        <f t="shared" si="1"/>
        <v>Добавить территорию для дифференциации</v>
      </c>
      <c r="BG18" s="66"/>
      <c r="BH18" s="66"/>
    </row>
    <row r="19" spans="1:60" ht="14.25" hidden="1" customHeight="1"/>
    <row r="20" spans="1:60" ht="14.25" hidden="1" customHeight="1">
      <c r="AD20" s="324" t="s">
        <v>57</v>
      </c>
      <c r="AE20" s="853"/>
      <c r="AF20" s="324">
        <v>1</v>
      </c>
      <c r="AG20" s="854"/>
      <c r="AH20" s="324" t="s">
        <v>57</v>
      </c>
      <c r="AI20" s="853"/>
      <c r="AJ20" s="324">
        <v>1</v>
      </c>
      <c r="AK20" s="854"/>
      <c r="AL20" s="324" t="s">
        <v>57</v>
      </c>
      <c r="AM20" s="855"/>
      <c r="AN20" s="324">
        <v>1</v>
      </c>
      <c r="AO20" s="124"/>
      <c r="AP20" s="324" t="s">
        <v>57</v>
      </c>
      <c r="AQ20" s="855"/>
      <c r="AR20" s="324">
        <v>1</v>
      </c>
      <c r="AS20" s="124"/>
      <c r="AT20" s="196"/>
      <c r="AU20" s="231"/>
      <c r="AV20" s="196"/>
      <c r="AW20" s="231"/>
      <c r="AX20" s="981"/>
      <c r="AY20" s="845" t="s">
        <v>59</v>
      </c>
      <c r="AZ20" s="981"/>
      <c r="BA20" s="845" t="s">
        <v>59</v>
      </c>
    </row>
    <row r="21" spans="1:60" ht="14.25" hidden="1" customHeight="1">
      <c r="BD21" s="209"/>
      <c r="BE21" s="209"/>
      <c r="BF21" s="209"/>
      <c r="BG21" s="209"/>
      <c r="BH21" s="209"/>
    </row>
    <row r="22" spans="1:60" ht="14.25" hidden="1" customHeight="1">
      <c r="O22" s="800" t="s">
        <v>475</v>
      </c>
      <c r="Z22" s="185"/>
      <c r="AB22" s="185"/>
      <c r="AX22" s="185"/>
      <c r="AZ22" s="185"/>
      <c r="BD22" s="209"/>
      <c r="BE22" s="209"/>
      <c r="BF22" s="209"/>
      <c r="BG22" s="209"/>
      <c r="BH22" s="209"/>
    </row>
    <row r="23" spans="1:60" ht="14.25" hidden="1" customHeight="1">
      <c r="BD23" s="209"/>
      <c r="BE23" s="209"/>
      <c r="BF23" s="209"/>
      <c r="BG23" s="209"/>
      <c r="BH23" s="209"/>
    </row>
    <row r="24" spans="1:60" s="858" customFormat="1" ht="14.25" hidden="1" customHeight="1">
      <c r="M24" s="859"/>
      <c r="N24" s="859"/>
      <c r="O24" s="858" t="s">
        <v>476</v>
      </c>
      <c r="P24" s="859"/>
      <c r="Q24" s="860"/>
      <c r="R24" s="860"/>
      <c r="AA24" s="858" t="s">
        <v>478</v>
      </c>
      <c r="AC24" s="858" t="s">
        <v>479</v>
      </c>
      <c r="AD24" s="858" t="s">
        <v>539</v>
      </c>
      <c r="AH24" s="858" t="s">
        <v>539</v>
      </c>
      <c r="AK24" s="858" t="s">
        <v>1698</v>
      </c>
      <c r="AL24" s="858" t="s">
        <v>539</v>
      </c>
      <c r="AP24" s="858" t="s">
        <v>539</v>
      </c>
      <c r="AY24" s="858" t="s">
        <v>478</v>
      </c>
      <c r="BA24" s="858" t="s">
        <v>479</v>
      </c>
      <c r="BD24" s="861"/>
      <c r="BE24" s="861"/>
      <c r="BF24" s="861"/>
      <c r="BG24" s="861"/>
      <c r="BH24" s="861"/>
    </row>
    <row r="25" spans="1:60" ht="14.25" hidden="1" customHeight="1">
      <c r="O25" s="799"/>
      <c r="BD25" s="209"/>
      <c r="BE25" s="209"/>
      <c r="BF25" s="209"/>
      <c r="BG25" s="209"/>
      <c r="BH25" s="209"/>
    </row>
    <row r="26" spans="1:60" ht="14.25" hidden="1" customHeight="1">
      <c r="O26" s="799"/>
      <c r="BD26" s="209"/>
      <c r="BE26" s="209"/>
      <c r="BF26" s="209"/>
      <c r="BG26" s="209"/>
      <c r="BH26" s="209"/>
    </row>
    <row r="27" spans="1:60" ht="14.25" customHeight="1">
      <c r="Q27" s="167"/>
      <c r="R27" s="27"/>
      <c r="S27" s="769"/>
      <c r="T27" s="8"/>
      <c r="U27" s="8"/>
    </row>
    <row r="28" spans="1:60" ht="33.75" customHeight="1">
      <c r="Q28" s="167"/>
      <c r="R28" s="27"/>
      <c r="S28" s="1310"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1310"/>
      <c r="U28" s="1310"/>
      <c r="V28" s="1310"/>
      <c r="W28" s="1310"/>
      <c r="X28" s="1310"/>
      <c r="Y28" s="1310"/>
      <c r="Z28" s="1310"/>
      <c r="AA28" s="1310"/>
      <c r="AB28" s="1310"/>
      <c r="AC28" s="1310"/>
      <c r="AD28" s="1310"/>
      <c r="AE28" s="1310"/>
      <c r="AF28" s="1310"/>
      <c r="AG28" s="1310"/>
      <c r="AH28" s="1310"/>
      <c r="AI28" s="1310"/>
      <c r="AJ28" s="1310"/>
      <c r="AK28" s="1310"/>
      <c r="AL28" s="1310"/>
      <c r="AM28" s="1310"/>
      <c r="AN28" s="1310"/>
      <c r="AO28" s="1310"/>
      <c r="AP28" s="1310"/>
      <c r="AQ28" s="1310"/>
      <c r="AR28" s="1310"/>
      <c r="AS28" s="1310"/>
      <c r="AT28" s="1310"/>
      <c r="AU28" s="1310"/>
      <c r="AV28" s="1310"/>
      <c r="AW28" s="1310"/>
      <c r="AX28" s="1310"/>
      <c r="AY28" s="1310"/>
      <c r="AZ28" s="1310"/>
      <c r="BA28" s="57"/>
    </row>
    <row r="29" spans="1:60" ht="14.25" customHeight="1">
      <c r="Q29" s="167"/>
      <c r="R29" s="27"/>
      <c r="S29" s="1170" t="str">
        <f>IF(org=0,"Не определено",org)</f>
        <v>ИМУП «ПОСЖИЛКОМСЕРВИС»</v>
      </c>
      <c r="T29" s="1170"/>
      <c r="U29" s="1170"/>
      <c r="V29" s="1170"/>
      <c r="W29" s="1170"/>
      <c r="X29" s="1170"/>
      <c r="Y29" s="1170"/>
      <c r="Z29" s="1170"/>
      <c r="AA29" s="1170"/>
      <c r="AB29" s="1170"/>
      <c r="AC29" s="1170"/>
      <c r="AD29" s="1170"/>
      <c r="AE29" s="1170"/>
      <c r="AF29" s="1170"/>
      <c r="AG29" s="1170"/>
      <c r="AH29" s="1170"/>
      <c r="AI29" s="1170"/>
      <c r="AJ29" s="1170"/>
      <c r="AK29" s="1170"/>
      <c r="AL29" s="1170"/>
      <c r="AM29" s="1170"/>
      <c r="AN29" s="1170"/>
      <c r="AO29" s="1170"/>
      <c r="AP29" s="1170"/>
      <c r="AQ29" s="1170"/>
      <c r="AR29" s="1170"/>
      <c r="AS29" s="1170"/>
      <c r="AT29" s="1170"/>
      <c r="AU29" s="1170"/>
      <c r="AV29" s="1170"/>
      <c r="AW29" s="1170"/>
      <c r="AX29" s="1170"/>
      <c r="AY29" s="1170"/>
      <c r="AZ29" s="1170"/>
      <c r="BA29" s="57"/>
    </row>
    <row r="30" spans="1:60" ht="14.25" hidden="1" customHeight="1">
      <c r="Q30" s="167"/>
      <c r="R30" s="27"/>
      <c r="S30" s="769"/>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9"/>
      <c r="M31" s="79"/>
      <c r="N31" s="79"/>
      <c r="O31" s="79"/>
      <c r="P31" s="79"/>
      <c r="Q31" s="79"/>
      <c r="S31" s="1276" t="s">
        <v>40</v>
      </c>
      <c r="T31" s="1276"/>
      <c r="U31" s="802"/>
      <c r="V31" s="1278"/>
      <c r="W31" s="1278"/>
      <c r="X31" s="1278"/>
      <c r="Y31" s="1278"/>
      <c r="Z31" s="1278"/>
      <c r="AA31" s="1278"/>
      <c r="AB31" s="1278"/>
      <c r="AC31" s="9"/>
      <c r="AD31" s="1278" t="str">
        <f>IF(TITLE_NAME_OR_PR_CHANGE="",IF(TITLE_NAME_OR_PR="","",TITLE_NAME_OR_PR),TITLE_NAME_OR_PR_CHANGE)</f>
        <v/>
      </c>
      <c r="AE31" s="1278"/>
      <c r="AF31" s="1278"/>
      <c r="AG31" s="1278"/>
      <c r="AH31" s="1278"/>
      <c r="AI31" s="1278"/>
      <c r="AJ31" s="1278"/>
      <c r="AK31" s="1278"/>
      <c r="AL31" s="1278"/>
      <c r="AM31" s="1278"/>
      <c r="AN31" s="1278"/>
      <c r="AO31" s="1278"/>
      <c r="AP31" s="1278"/>
      <c r="AQ31" s="1278"/>
      <c r="AR31" s="1278"/>
      <c r="AS31" s="1278"/>
      <c r="AT31" s="1278"/>
      <c r="AU31" s="1278"/>
      <c r="AV31" s="1278"/>
      <c r="AW31" s="1278"/>
      <c r="AX31" s="1278"/>
      <c r="AY31" s="1278"/>
      <c r="AZ31" s="1278"/>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9"/>
      <c r="M32" s="79"/>
      <c r="N32" s="79"/>
      <c r="O32" s="79"/>
      <c r="P32" s="79"/>
      <c r="Q32" s="79"/>
      <c r="S32" s="1276" t="s">
        <v>481</v>
      </c>
      <c r="T32" s="1276"/>
      <c r="U32" s="802"/>
      <c r="V32" s="1277"/>
      <c r="W32" s="1277"/>
      <c r="X32" s="1277"/>
      <c r="Y32" s="1277"/>
      <c r="Z32" s="1277"/>
      <c r="AA32" s="1277"/>
      <c r="AB32" s="1277"/>
      <c r="AC32" s="9"/>
      <c r="AD32" s="1277" t="str">
        <f>IF(TITLE_DATE_CHANGE_PERIOD="",IF(TITLE_DATE_PR="","",TITLE_DATE_PR),TITLE_DATE_CHANGE_PERIOD)</f>
        <v/>
      </c>
      <c r="AE32" s="1277"/>
      <c r="AF32" s="1277"/>
      <c r="AG32" s="1277"/>
      <c r="AH32" s="1277"/>
      <c r="AI32" s="1277"/>
      <c r="AJ32" s="1277"/>
      <c r="AK32" s="1277"/>
      <c r="AL32" s="1277"/>
      <c r="AM32" s="1277"/>
      <c r="AN32" s="1277"/>
      <c r="AO32" s="1277"/>
      <c r="AP32" s="1277"/>
      <c r="AQ32" s="1277"/>
      <c r="AR32" s="1277"/>
      <c r="AS32" s="1277"/>
      <c r="AT32" s="1277"/>
      <c r="AU32" s="1277"/>
      <c r="AV32" s="1277"/>
      <c r="AW32" s="1277"/>
      <c r="AX32" s="1277"/>
      <c r="AY32" s="1277"/>
      <c r="AZ32" s="1277"/>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9"/>
      <c r="M33" s="79"/>
      <c r="N33" s="79"/>
      <c r="O33" s="79"/>
      <c r="P33" s="79"/>
      <c r="Q33" s="79"/>
      <c r="S33" s="1276" t="s">
        <v>482</v>
      </c>
      <c r="T33" s="1276"/>
      <c r="U33" s="802"/>
      <c r="V33" s="1278"/>
      <c r="W33" s="1278"/>
      <c r="X33" s="1278"/>
      <c r="Y33" s="1278"/>
      <c r="Z33" s="1278"/>
      <c r="AA33" s="1278"/>
      <c r="AB33" s="1278"/>
      <c r="AC33" s="9"/>
      <c r="AD33" s="1278" t="str">
        <f>IF(TITLE_NUMBER_PR_CHANGE="",IF(TITLE_NUMBER_PR="","",TITLE_NUMBER_PR),TITLE_NUMBER_PR_CHANGE)</f>
        <v/>
      </c>
      <c r="AE33" s="1278"/>
      <c r="AF33" s="1278"/>
      <c r="AG33" s="1278"/>
      <c r="AH33" s="1278"/>
      <c r="AI33" s="1278"/>
      <c r="AJ33" s="1278"/>
      <c r="AK33" s="1278"/>
      <c r="AL33" s="1278"/>
      <c r="AM33" s="1278"/>
      <c r="AN33" s="1278"/>
      <c r="AO33" s="1278"/>
      <c r="AP33" s="1278"/>
      <c r="AQ33" s="1278"/>
      <c r="AR33" s="1278"/>
      <c r="AS33" s="1278"/>
      <c r="AT33" s="1278"/>
      <c r="AU33" s="1278"/>
      <c r="AV33" s="1278"/>
      <c r="AW33" s="1278"/>
      <c r="AX33" s="1278"/>
      <c r="AY33" s="1278"/>
      <c r="AZ33" s="1278"/>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9"/>
      <c r="M34" s="79"/>
      <c r="N34" s="79"/>
      <c r="O34" s="79"/>
      <c r="P34" s="79"/>
      <c r="Q34" s="79"/>
      <c r="S34" s="1276" t="s">
        <v>41</v>
      </c>
      <c r="T34" s="1276"/>
      <c r="U34" s="802"/>
      <c r="V34" s="1278"/>
      <c r="W34" s="1278"/>
      <c r="X34" s="1278"/>
      <c r="Y34" s="1278"/>
      <c r="Z34" s="1278"/>
      <c r="AA34" s="1278"/>
      <c r="AB34" s="1278"/>
      <c r="AC34" s="9"/>
      <c r="AD34" s="1278" t="str">
        <f>IF(TITLE_IST_PUB_CHANGE="",IF(TITLE_IST_PUB="","",TITLE_IST_PUB),TITLE_IST_PUB_CHANGE)</f>
        <v/>
      </c>
      <c r="AE34" s="1278"/>
      <c r="AF34" s="1278"/>
      <c r="AG34" s="1278"/>
      <c r="AH34" s="1278"/>
      <c r="AI34" s="1278"/>
      <c r="AJ34" s="1278"/>
      <c r="AK34" s="1278"/>
      <c r="AL34" s="1278"/>
      <c r="AM34" s="1278"/>
      <c r="AN34" s="1278"/>
      <c r="AO34" s="1278"/>
      <c r="AP34" s="1278"/>
      <c r="AQ34" s="1278"/>
      <c r="AR34" s="1278"/>
      <c r="AS34" s="1278"/>
      <c r="AT34" s="1278"/>
      <c r="AU34" s="1278"/>
      <c r="AV34" s="1278"/>
      <c r="AW34" s="1278"/>
      <c r="AX34" s="1278"/>
      <c r="AY34" s="1278"/>
      <c r="AZ34" s="1278"/>
      <c r="BA34" s="9"/>
      <c r="BB34" s="9"/>
      <c r="BC34" s="162"/>
      <c r="BD34" s="66"/>
      <c r="BE34" s="66"/>
      <c r="BF34" s="66"/>
      <c r="BG34" s="66"/>
      <c r="BH34" s="66"/>
    </row>
    <row r="35" spans="1:60" ht="14.25" hidden="1" customHeight="1">
      <c r="Q35" s="167"/>
      <c r="R35" s="27"/>
      <c r="S35" s="769"/>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9"/>
      <c r="M36" s="79"/>
      <c r="N36" s="79"/>
      <c r="O36" s="79"/>
      <c r="P36" s="79"/>
      <c r="Q36" s="79"/>
      <c r="S36" s="1276" t="s">
        <v>481</v>
      </c>
      <c r="T36" s="1276"/>
      <c r="U36" s="802"/>
      <c r="V36" s="1277"/>
      <c r="W36" s="1277"/>
      <c r="X36" s="1277"/>
      <c r="Y36" s="1277"/>
      <c r="Z36" s="1277"/>
      <c r="AA36" s="1277"/>
      <c r="AB36" s="1277"/>
      <c r="AC36" s="9"/>
      <c r="AD36" s="1277" t="str">
        <f>IF(TITLE_DATE_CHANGE_PERIOD="",IF(TITLE_DATE_PR="","",TITLE_DATE_PR),TITLE_DATE_CHANGE_PERIOD)</f>
        <v/>
      </c>
      <c r="AE36" s="1277"/>
      <c r="AF36" s="1277"/>
      <c r="AG36" s="1277"/>
      <c r="AH36" s="1277"/>
      <c r="AI36" s="1277"/>
      <c r="AJ36" s="1277"/>
      <c r="AK36" s="1277"/>
      <c r="AL36" s="1277"/>
      <c r="AM36" s="1277"/>
      <c r="AN36" s="1277"/>
      <c r="AO36" s="1277"/>
      <c r="AP36" s="1277"/>
      <c r="AQ36" s="1277"/>
      <c r="AR36" s="1277"/>
      <c r="AS36" s="1277"/>
      <c r="AT36" s="1277"/>
      <c r="AU36" s="1277"/>
      <c r="AV36" s="1277"/>
      <c r="AW36" s="1277"/>
      <c r="AX36" s="1277"/>
      <c r="AY36" s="1277"/>
      <c r="AZ36" s="1277"/>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9"/>
      <c r="M37" s="79"/>
      <c r="N37" s="79"/>
      <c r="O37" s="79"/>
      <c r="P37" s="79"/>
      <c r="Q37" s="79"/>
      <c r="S37" s="1276" t="s">
        <v>482</v>
      </c>
      <c r="T37" s="1276"/>
      <c r="U37" s="802"/>
      <c r="V37" s="1278"/>
      <c r="W37" s="1278"/>
      <c r="X37" s="1278"/>
      <c r="Y37" s="1278"/>
      <c r="Z37" s="1278"/>
      <c r="AA37" s="1278"/>
      <c r="AB37" s="1278"/>
      <c r="AC37" s="9"/>
      <c r="AD37" s="1278" t="str">
        <f>IF(TITLE_NUMBER_PR_CHANGE="",IF(TITLE_NUMBER_PR="","",TITLE_NUMBER_PR),TITLE_NUMBER_PR_CHANGE)</f>
        <v/>
      </c>
      <c r="AE37" s="1278"/>
      <c r="AF37" s="1278"/>
      <c r="AG37" s="1278"/>
      <c r="AH37" s="1278"/>
      <c r="AI37" s="1278"/>
      <c r="AJ37" s="1278"/>
      <c r="AK37" s="1278"/>
      <c r="AL37" s="1278"/>
      <c r="AM37" s="1278"/>
      <c r="AN37" s="1278"/>
      <c r="AO37" s="1278"/>
      <c r="AP37" s="1278"/>
      <c r="AQ37" s="1278"/>
      <c r="AR37" s="1278"/>
      <c r="AS37" s="1278"/>
      <c r="AT37" s="1278"/>
      <c r="AU37" s="1278"/>
      <c r="AV37" s="1278"/>
      <c r="AW37" s="1278"/>
      <c r="AX37" s="1278"/>
      <c r="AY37" s="1278"/>
      <c r="AZ37" s="1278"/>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9"/>
      <c r="M38" s="79"/>
      <c r="N38" s="79"/>
      <c r="O38" s="79"/>
      <c r="P38" s="79"/>
      <c r="Q38" s="79"/>
      <c r="S38" s="9"/>
      <c r="T38" s="9"/>
      <c r="U38" s="75"/>
      <c r="V38" s="9"/>
      <c r="W38" s="9"/>
      <c r="X38" s="9"/>
      <c r="Y38" s="9"/>
      <c r="Z38" s="9"/>
      <c r="AA38" s="9"/>
      <c r="AB38" s="9"/>
      <c r="AC38" s="65" t="s">
        <v>485</v>
      </c>
      <c r="AD38" s="9"/>
      <c r="AE38" s="9"/>
      <c r="AF38" s="9"/>
      <c r="AG38" s="9"/>
      <c r="AH38" s="9"/>
      <c r="AI38" s="9"/>
      <c r="AJ38" s="9"/>
      <c r="AK38" s="9"/>
      <c r="AL38" s="9"/>
      <c r="AM38" s="9"/>
      <c r="AN38" s="9"/>
      <c r="AO38" s="9"/>
      <c r="AP38" s="9"/>
      <c r="AQ38" s="9"/>
      <c r="AR38" s="9"/>
      <c r="AS38" s="9"/>
      <c r="AT38" s="9"/>
      <c r="AU38" s="9"/>
      <c r="AV38" s="9"/>
      <c r="AW38" s="9"/>
      <c r="AX38" s="9"/>
      <c r="AY38" s="9"/>
      <c r="AZ38" s="9"/>
      <c r="BA38" s="65" t="s">
        <v>485</v>
      </c>
      <c r="BD38" s="66"/>
      <c r="BE38" s="66"/>
      <c r="BF38" s="66"/>
      <c r="BG38" s="66"/>
      <c r="BH38" s="66"/>
    </row>
    <row r="39" spans="1:60" ht="14.25" customHeight="1">
      <c r="Q39" s="167"/>
      <c r="R39" s="27"/>
      <c r="S39" s="769"/>
      <c r="T39" s="8"/>
      <c r="U39" s="741"/>
      <c r="V39" s="1296"/>
      <c r="W39" s="1296"/>
      <c r="X39" s="1296"/>
      <c r="Y39" s="1296"/>
      <c r="Z39" s="1296"/>
      <c r="AA39" s="1296"/>
      <c r="AB39" s="1296"/>
      <c r="AC39" s="1296"/>
      <c r="AD39" s="1296"/>
      <c r="AE39" s="1296"/>
      <c r="AF39" s="1296"/>
      <c r="AG39" s="1296"/>
      <c r="AH39" s="1296"/>
      <c r="AI39" s="1296"/>
      <c r="AJ39" s="1296"/>
      <c r="AK39" s="1296"/>
      <c r="AL39" s="1296"/>
      <c r="AM39" s="1296"/>
      <c r="AN39" s="1296"/>
      <c r="AO39" s="1296"/>
      <c r="AP39" s="1296"/>
      <c r="AQ39" s="1296"/>
      <c r="AR39" s="1296"/>
      <c r="AS39" s="1296"/>
      <c r="AT39" s="1296"/>
      <c r="AU39" s="1296"/>
      <c r="AV39" s="1296"/>
      <c r="AW39" s="1296"/>
      <c r="AX39" s="1296"/>
      <c r="AY39" s="1296"/>
      <c r="AZ39" s="1296"/>
      <c r="BA39" s="1296"/>
    </row>
    <row r="40" spans="1:60" ht="14.25" customHeight="1">
      <c r="Q40" s="167"/>
      <c r="R40" s="27"/>
      <c r="S40" s="1083" t="s">
        <v>288</v>
      </c>
      <c r="T40" s="1083"/>
      <c r="U40" s="1083"/>
      <c r="V40" s="1083"/>
      <c r="W40" s="1083"/>
      <c r="X40" s="1083"/>
      <c r="Y40" s="1083"/>
      <c r="Z40" s="1083"/>
      <c r="AA40" s="1083"/>
      <c r="AB40" s="1083"/>
      <c r="AC40" s="1083"/>
      <c r="AD40" s="1083"/>
      <c r="AE40" s="1083"/>
      <c r="AF40" s="1083"/>
      <c r="AG40" s="1083"/>
      <c r="AH40" s="1083"/>
      <c r="AI40" s="1083"/>
      <c r="AJ40" s="1083"/>
      <c r="AK40" s="1083"/>
      <c r="AL40" s="1083"/>
      <c r="AM40" s="1083"/>
      <c r="AN40" s="1083"/>
      <c r="AO40" s="1083"/>
      <c r="AP40" s="1083"/>
      <c r="AQ40" s="1083"/>
      <c r="AR40" s="1083"/>
      <c r="AS40" s="1083"/>
      <c r="AT40" s="1083"/>
      <c r="AU40" s="1083"/>
      <c r="AV40" s="1083"/>
      <c r="AW40" s="1083"/>
      <c r="AX40" s="1083"/>
      <c r="AY40" s="1083"/>
      <c r="AZ40" s="1083"/>
      <c r="BA40" s="1083"/>
      <c r="BB40" s="1083"/>
      <c r="BC40" s="1083" t="s">
        <v>289</v>
      </c>
    </row>
    <row r="41" spans="1:60" ht="14.25" customHeight="1">
      <c r="Q41" s="167"/>
      <c r="R41" s="27"/>
      <c r="S41" s="1297" t="s">
        <v>88</v>
      </c>
      <c r="T41" s="1168" t="s">
        <v>1699</v>
      </c>
      <c r="U41" s="171"/>
      <c r="V41" s="1298" t="s">
        <v>487</v>
      </c>
      <c r="W41" s="1299"/>
      <c r="X41" s="1299"/>
      <c r="Y41" s="1299"/>
      <c r="Z41" s="1299"/>
      <c r="AA41" s="1299"/>
      <c r="AB41" s="1300"/>
      <c r="AC41" s="1301" t="s">
        <v>488</v>
      </c>
      <c r="AD41" s="1324" t="s">
        <v>1700</v>
      </c>
      <c r="AE41" s="1313"/>
      <c r="AF41" s="1313"/>
      <c r="AG41" s="1325"/>
      <c r="AH41" s="1324" t="s">
        <v>1701</v>
      </c>
      <c r="AI41" s="1313"/>
      <c r="AJ41" s="1313"/>
      <c r="AK41" s="1325"/>
      <c r="AL41" s="1324" t="s">
        <v>1702</v>
      </c>
      <c r="AM41" s="1313"/>
      <c r="AN41" s="1313"/>
      <c r="AO41" s="1325"/>
      <c r="AP41" s="1324" t="s">
        <v>1703</v>
      </c>
      <c r="AQ41" s="1313"/>
      <c r="AR41" s="1313"/>
      <c r="AS41" s="1325"/>
      <c r="AT41" s="1298" t="s">
        <v>487</v>
      </c>
      <c r="AU41" s="1299"/>
      <c r="AV41" s="1299"/>
      <c r="AW41" s="1299"/>
      <c r="AX41" s="1299"/>
      <c r="AY41" s="1299"/>
      <c r="AZ41" s="1300"/>
      <c r="BA41" s="1301" t="s">
        <v>488</v>
      </c>
      <c r="BB41" s="1304" t="s">
        <v>490</v>
      </c>
      <c r="BC41" s="1083"/>
    </row>
    <row r="42" spans="1:60" ht="33.75" customHeight="1">
      <c r="Q42" s="167"/>
      <c r="R42" s="27"/>
      <c r="S42" s="1297"/>
      <c r="T42" s="1168"/>
      <c r="U42" s="626"/>
      <c r="V42" s="1138" t="s">
        <v>1704</v>
      </c>
      <c r="W42" s="1139"/>
      <c r="X42" s="1138" t="s">
        <v>1705</v>
      </c>
      <c r="Y42" s="1139"/>
      <c r="Z42" s="1138" t="s">
        <v>1706</v>
      </c>
      <c r="AA42" s="1318"/>
      <c r="AB42" s="1139"/>
      <c r="AC42" s="1302"/>
      <c r="AD42" s="1326"/>
      <c r="AE42" s="1327"/>
      <c r="AF42" s="1327"/>
      <c r="AG42" s="1339"/>
      <c r="AH42" s="1326"/>
      <c r="AI42" s="1327"/>
      <c r="AJ42" s="1327"/>
      <c r="AK42" s="1339"/>
      <c r="AL42" s="1326"/>
      <c r="AM42" s="1327"/>
      <c r="AN42" s="1327"/>
      <c r="AO42" s="1339"/>
      <c r="AP42" s="1326"/>
      <c r="AQ42" s="1327"/>
      <c r="AR42" s="1327"/>
      <c r="AS42" s="1339"/>
      <c r="AT42" s="1138" t="s">
        <v>1704</v>
      </c>
      <c r="AU42" s="1139"/>
      <c r="AV42" s="1138" t="s">
        <v>1705</v>
      </c>
      <c r="AW42" s="1139"/>
      <c r="AX42" s="1138" t="s">
        <v>1706</v>
      </c>
      <c r="AY42" s="1318"/>
      <c r="AZ42" s="1139"/>
      <c r="BA42" s="1302"/>
      <c r="BB42" s="1305"/>
      <c r="BC42" s="1083"/>
    </row>
    <row r="43" spans="1:60" ht="14.25" customHeight="1">
      <c r="Q43" s="167"/>
      <c r="R43" s="27"/>
      <c r="S43" s="1297"/>
      <c r="T43" s="1168"/>
      <c r="U43" s="626"/>
      <c r="V43" s="1143"/>
      <c r="W43" s="1144"/>
      <c r="X43" s="1143"/>
      <c r="Y43" s="1144"/>
      <c r="Z43" s="1143"/>
      <c r="AA43" s="1319"/>
      <c r="AB43" s="1144"/>
      <c r="AC43" s="1302"/>
      <c r="AD43" s="1326"/>
      <c r="AE43" s="1327"/>
      <c r="AF43" s="1327"/>
      <c r="AG43" s="1339"/>
      <c r="AH43" s="1326"/>
      <c r="AI43" s="1327"/>
      <c r="AJ43" s="1327"/>
      <c r="AK43" s="1339"/>
      <c r="AL43" s="1326"/>
      <c r="AM43" s="1327"/>
      <c r="AN43" s="1327"/>
      <c r="AO43" s="1339"/>
      <c r="AP43" s="1326"/>
      <c r="AQ43" s="1327"/>
      <c r="AR43" s="1327"/>
      <c r="AS43" s="1339"/>
      <c r="AT43" s="1143"/>
      <c r="AU43" s="1144"/>
      <c r="AV43" s="1143"/>
      <c r="AW43" s="1144"/>
      <c r="AX43" s="1143"/>
      <c r="AY43" s="1319"/>
      <c r="AZ43" s="1144"/>
      <c r="BA43" s="1302"/>
      <c r="BB43" s="1305"/>
      <c r="BC43" s="1083"/>
    </row>
    <row r="44" spans="1:60" ht="14.25" customHeight="1">
      <c r="A44" s="79"/>
      <c r="B44" s="79" t="s">
        <v>137</v>
      </c>
      <c r="C44" s="79" t="s">
        <v>138</v>
      </c>
      <c r="D44" s="79" t="s">
        <v>139</v>
      </c>
      <c r="E44" s="799" t="s">
        <v>495</v>
      </c>
      <c r="F44" s="799" t="s">
        <v>496</v>
      </c>
      <c r="G44" s="799" t="s">
        <v>497</v>
      </c>
      <c r="H44" s="799" t="s">
        <v>498</v>
      </c>
      <c r="I44" s="799" t="s">
        <v>499</v>
      </c>
      <c r="J44" s="799" t="s">
        <v>500</v>
      </c>
      <c r="K44" s="799" t="s">
        <v>501</v>
      </c>
      <c r="L44" s="799" t="s">
        <v>476</v>
      </c>
      <c r="Q44" s="167"/>
      <c r="R44" s="27"/>
      <c r="S44" s="1297"/>
      <c r="T44" s="1168"/>
      <c r="U44" s="172"/>
      <c r="V44" s="34" t="s">
        <v>549</v>
      </c>
      <c r="W44" s="34" t="s">
        <v>550</v>
      </c>
      <c r="X44" s="34" t="s">
        <v>549</v>
      </c>
      <c r="Y44" s="34" t="s">
        <v>550</v>
      </c>
      <c r="Z44" s="37" t="s">
        <v>504</v>
      </c>
      <c r="AA44" s="1174" t="s">
        <v>505</v>
      </c>
      <c r="AB44" s="1188"/>
      <c r="AC44" s="1303"/>
      <c r="AD44" s="1328"/>
      <c r="AE44" s="1329"/>
      <c r="AF44" s="1329"/>
      <c r="AG44" s="1330"/>
      <c r="AH44" s="1328"/>
      <c r="AI44" s="1329"/>
      <c r="AJ44" s="1329"/>
      <c r="AK44" s="1330"/>
      <c r="AL44" s="1328"/>
      <c r="AM44" s="1329"/>
      <c r="AN44" s="1329"/>
      <c r="AO44" s="1330"/>
      <c r="AP44" s="1328"/>
      <c r="AQ44" s="1329"/>
      <c r="AR44" s="1329"/>
      <c r="AS44" s="1330"/>
      <c r="AT44" s="34" t="s">
        <v>549</v>
      </c>
      <c r="AU44" s="34" t="s">
        <v>550</v>
      </c>
      <c r="AV44" s="34" t="s">
        <v>549</v>
      </c>
      <c r="AW44" s="34" t="s">
        <v>550</v>
      </c>
      <c r="AX44" s="37" t="s">
        <v>504</v>
      </c>
      <c r="AY44" s="1174" t="s">
        <v>505</v>
      </c>
      <c r="AZ44" s="1188"/>
      <c r="BA44" s="1303"/>
      <c r="BB44" s="1306"/>
      <c r="BC44" s="1083"/>
    </row>
    <row r="45" spans="1:60" s="209" customFormat="1" ht="0" hidden="1" customHeight="1">
      <c r="A45" s="79"/>
      <c r="B45" s="79"/>
      <c r="C45" s="79"/>
      <c r="D45" s="79"/>
      <c r="E45" s="79"/>
      <c r="F45" s="79"/>
      <c r="G45" s="79"/>
      <c r="H45" s="79"/>
      <c r="I45" s="79"/>
      <c r="J45" s="79"/>
      <c r="K45" s="79"/>
      <c r="L45" s="799"/>
      <c r="M45" s="522"/>
      <c r="N45" s="522"/>
      <c r="O45" s="522"/>
      <c r="P45" s="228"/>
      <c r="Q45" s="752"/>
      <c r="R45" s="752">
        <v>1</v>
      </c>
      <c r="S45" s="771" t="s">
        <v>110</v>
      </c>
      <c r="T45" s="753" t="s">
        <v>111</v>
      </c>
      <c r="U45" s="742" t="str">
        <f ca="1">OFFSET(U45,0,-1)</f>
        <v>2</v>
      </c>
      <c r="V45" s="754">
        <f t="shared" ref="V45:AA45" ca="1" si="2">OFFSET(V45,0,-1)+1</f>
        <v>3</v>
      </c>
      <c r="W45" s="754">
        <f t="shared" ca="1" si="2"/>
        <v>4</v>
      </c>
      <c r="X45" s="754">
        <f t="shared" ca="1" si="2"/>
        <v>5</v>
      </c>
      <c r="Y45" s="754">
        <f t="shared" ca="1" si="2"/>
        <v>6</v>
      </c>
      <c r="Z45" s="754">
        <f t="shared" ca="1" si="2"/>
        <v>7</v>
      </c>
      <c r="AA45" s="1295">
        <f t="shared" ca="1" si="2"/>
        <v>8</v>
      </c>
      <c r="AB45" s="1295"/>
      <c r="AC45" s="754">
        <f ca="1">OFFSET(AC45,0,-2)+1</f>
        <v>9</v>
      </c>
      <c r="AD45" s="754">
        <f ca="1">OFFSET(AD45,0,-1)+1</f>
        <v>10</v>
      </c>
      <c r="AE45" s="754"/>
      <c r="AF45" s="754"/>
      <c r="AG45" s="754"/>
      <c r="AH45" s="754"/>
      <c r="AI45" s="754"/>
      <c r="AJ45" s="754"/>
      <c r="AK45" s="754"/>
      <c r="AL45" s="754"/>
      <c r="AM45" s="754"/>
      <c r="AN45" s="754"/>
      <c r="AO45" s="754"/>
      <c r="AP45" s="754"/>
      <c r="AQ45" s="754"/>
      <c r="AR45" s="754"/>
      <c r="AS45" s="754"/>
      <c r="AT45" s="754"/>
      <c r="AU45" s="754"/>
      <c r="AV45" s="754"/>
      <c r="AW45" s="754">
        <f ca="1">OFFSET(AW45,0,-1)+1</f>
        <v>1</v>
      </c>
      <c r="AX45" s="754">
        <f ca="1">OFFSET(AX45,0,-1)+1</f>
        <v>2</v>
      </c>
      <c r="AY45" s="1295">
        <f ca="1">OFFSET(AY45,0,-1)+1</f>
        <v>3</v>
      </c>
      <c r="AZ45" s="1295"/>
      <c r="BA45" s="754">
        <f ca="1">OFFSET(BA45,0,-2)+1</f>
        <v>4</v>
      </c>
      <c r="BB45" s="742">
        <f ca="1">OFFSET(BB45,0,-1)</f>
        <v>4</v>
      </c>
      <c r="BC45" s="754">
        <f ca="1">OFFSET(BC45,0,-1)+1</f>
        <v>5</v>
      </c>
      <c r="BD45" s="65"/>
      <c r="BE45" s="65"/>
      <c r="BF45" s="65"/>
      <c r="BG45" s="65"/>
      <c r="BH45" s="65"/>
    </row>
    <row r="46" spans="1:60" ht="21" customHeight="1">
      <c r="A46" s="798" t="s">
        <v>249</v>
      </c>
      <c r="B46" s="798"/>
      <c r="C46" s="798"/>
      <c r="D46" s="798"/>
      <c r="E46" s="1285">
        <v>1</v>
      </c>
      <c r="F46" s="798"/>
      <c r="G46" s="798"/>
      <c r="H46" s="798"/>
      <c r="I46" s="798"/>
      <c r="J46" s="798"/>
      <c r="K46" s="798"/>
      <c r="L46" s="799"/>
      <c r="M46" s="435"/>
      <c r="N46" s="435"/>
      <c r="O46" s="435"/>
      <c r="Q46" s="59"/>
      <c r="R46" s="213"/>
      <c r="S46" s="730">
        <f>INDEX(PT_DIFFERENTIATION_NUM_NTAR,MATCH(A46,PT_DIFFERENTIATION_NTAR_ID,0))</f>
        <v>0</v>
      </c>
      <c r="T46" s="64" t="s">
        <v>125</v>
      </c>
      <c r="U46" s="170"/>
      <c r="V46" s="1280"/>
      <c r="W46" s="1280"/>
      <c r="X46" s="1280"/>
      <c r="Y46" s="1280"/>
      <c r="Z46" s="1280"/>
      <c r="AA46" s="1280"/>
      <c r="AB46" s="1280"/>
      <c r="AC46" s="1281"/>
      <c r="AD46" s="1279" t="str">
        <f>INDEX(PT_DIFFERENTIATION_NTAR,MATCH(A46,PT_DIFFERENTIATION_NTAR_ID,0))</f>
        <v/>
      </c>
      <c r="AE46" s="1280"/>
      <c r="AF46" s="1280"/>
      <c r="AG46" s="1280"/>
      <c r="AH46" s="1280"/>
      <c r="AI46" s="1280"/>
      <c r="AJ46" s="1280"/>
      <c r="AK46" s="1280"/>
      <c r="AL46" s="1280"/>
      <c r="AM46" s="1280"/>
      <c r="AN46" s="1280"/>
      <c r="AO46" s="1280"/>
      <c r="AP46" s="1280"/>
      <c r="AQ46" s="1280"/>
      <c r="AR46" s="1280"/>
      <c r="AS46" s="1280"/>
      <c r="AT46" s="1280"/>
      <c r="AU46" s="1280"/>
      <c r="AV46" s="1280"/>
      <c r="AW46" s="1280"/>
      <c r="AX46" s="1280"/>
      <c r="AY46" s="1280"/>
      <c r="AZ46" s="1280"/>
      <c r="BA46" s="1280"/>
      <c r="BB46" s="1281"/>
      <c r="BC46"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8" t="s">
        <v>249</v>
      </c>
      <c r="B47" s="798" t="s">
        <v>250</v>
      </c>
      <c r="C47" s="798"/>
      <c r="D47" s="798"/>
      <c r="E47" s="1286"/>
      <c r="F47" s="1285">
        <v>1</v>
      </c>
      <c r="G47" s="798"/>
      <c r="H47" s="798"/>
      <c r="I47" s="798"/>
      <c r="J47" s="798"/>
      <c r="K47" s="798"/>
      <c r="L47" s="799"/>
      <c r="M47" s="435"/>
      <c r="N47" s="435"/>
      <c r="O47" s="435"/>
      <c r="P47" s="312"/>
      <c r="Q47" s="831"/>
      <c r="R47" s="211"/>
      <c r="S47" s="730" t="str">
        <f>INDEX(PT_DIFFERENTIATION_NUM_TER,MATCH(B47,PT_DIFFERENTIATION_TER_ID,0))</f>
        <v>.</v>
      </c>
      <c r="T47" s="178" t="s">
        <v>458</v>
      </c>
      <c r="U47" s="170"/>
      <c r="V47" s="1280"/>
      <c r="W47" s="1280"/>
      <c r="X47" s="1280"/>
      <c r="Y47" s="1280"/>
      <c r="Z47" s="1280"/>
      <c r="AA47" s="1280"/>
      <c r="AB47" s="1280"/>
      <c r="AC47" s="1281"/>
      <c r="AD47" s="1279" t="str">
        <f>INDEX(PT_DIFFERENTIATION_TER,MATCH(B47,PT_DIFFERENTIATION_TER_ID,0))</f>
        <v/>
      </c>
      <c r="AE47" s="1280"/>
      <c r="AF47" s="1280"/>
      <c r="AG47" s="1280"/>
      <c r="AH47" s="1280"/>
      <c r="AI47" s="1280"/>
      <c r="AJ47" s="1280"/>
      <c r="AK47" s="1280"/>
      <c r="AL47" s="1280"/>
      <c r="AM47" s="1280"/>
      <c r="AN47" s="1280"/>
      <c r="AO47" s="1280"/>
      <c r="AP47" s="1280"/>
      <c r="AQ47" s="1280"/>
      <c r="AR47" s="1280"/>
      <c r="AS47" s="1280"/>
      <c r="AT47" s="1280"/>
      <c r="AU47" s="1280"/>
      <c r="AV47" s="1280"/>
      <c r="AW47" s="1280"/>
      <c r="AX47" s="1280"/>
      <c r="AY47" s="1280"/>
      <c r="AZ47" s="1280"/>
      <c r="BA47" s="1280"/>
      <c r="BB47" s="1281"/>
      <c r="BC47" s="758" t="s">
        <v>459</v>
      </c>
      <c r="BE47" s="66"/>
      <c r="BF47" s="66" t="str">
        <f t="shared" si="3"/>
        <v>Территория действия тарифа</v>
      </c>
      <c r="BG47" s="66"/>
      <c r="BH47" s="66"/>
    </row>
    <row r="48" spans="1:60" ht="33.75" customHeight="1">
      <c r="A48" s="798" t="s">
        <v>249</v>
      </c>
      <c r="B48" s="798" t="s">
        <v>250</v>
      </c>
      <c r="C48" s="798" t="s">
        <v>251</v>
      </c>
      <c r="D48" s="798"/>
      <c r="E48" s="1286"/>
      <c r="F48" s="1286"/>
      <c r="G48" s="1285">
        <v>1</v>
      </c>
      <c r="H48" s="798"/>
      <c r="I48" s="798"/>
      <c r="J48" s="798"/>
      <c r="K48" s="798"/>
      <c r="L48" s="799"/>
      <c r="M48" s="435"/>
      <c r="N48" s="435"/>
      <c r="O48" s="435"/>
      <c r="P48" s="128"/>
      <c r="Q48" s="831"/>
      <c r="R48" s="211"/>
      <c r="S48" s="730" t="str">
        <f>INDEX(PT_DIFFERENTIATION_NUM_CS,MATCH(C48,PT_DIFFERENTIATION_CS_ID,0))</f>
        <v>..</v>
      </c>
      <c r="T48" s="179" t="s">
        <v>2084</v>
      </c>
      <c r="U48" s="170"/>
      <c r="V48" s="1280"/>
      <c r="W48" s="1280"/>
      <c r="X48" s="1280"/>
      <c r="Y48" s="1280"/>
      <c r="Z48" s="1280"/>
      <c r="AA48" s="1280"/>
      <c r="AB48" s="1280"/>
      <c r="AC48" s="1281"/>
      <c r="AD48" s="1279" t="str">
        <f>INDEX(PT_DIFFERENTIATION_CS,MATCH(C48,PT_DIFFERENTIATION_CS_ID,0))</f>
        <v/>
      </c>
      <c r="AE48" s="1280"/>
      <c r="AF48" s="1280"/>
      <c r="AG48" s="1280"/>
      <c r="AH48" s="1280"/>
      <c r="AI48" s="1280"/>
      <c r="AJ48" s="1280"/>
      <c r="AK48" s="1280"/>
      <c r="AL48" s="1280"/>
      <c r="AM48" s="1280"/>
      <c r="AN48" s="1280"/>
      <c r="AO48" s="1280"/>
      <c r="AP48" s="1280"/>
      <c r="AQ48" s="1280"/>
      <c r="AR48" s="1280"/>
      <c r="AS48" s="1280"/>
      <c r="AT48" s="1280"/>
      <c r="AU48" s="1280"/>
      <c r="AV48" s="1280"/>
      <c r="AW48" s="1280"/>
      <c r="AX48" s="1280"/>
      <c r="AY48" s="1280"/>
      <c r="AZ48" s="1280"/>
      <c r="BA48" s="1280"/>
      <c r="BB48" s="1281"/>
      <c r="BC48" s="758" t="s">
        <v>2085</v>
      </c>
      <c r="BE48" s="66"/>
      <c r="BF48" s="66" t="str">
        <f t="shared" si="3"/>
        <v>Наименование централизованной системы горячего водоснабжения</v>
      </c>
      <c r="BG48" s="66"/>
      <c r="BH48" s="66"/>
    </row>
    <row r="49" spans="1:60" s="65" customFormat="1" ht="0" hidden="1" customHeight="1">
      <c r="A49" s="142" t="s">
        <v>249</v>
      </c>
      <c r="B49" s="142" t="s">
        <v>250</v>
      </c>
      <c r="C49" s="142" t="s">
        <v>251</v>
      </c>
      <c r="D49" s="142" t="s">
        <v>2094</v>
      </c>
      <c r="E49" s="1286"/>
      <c r="F49" s="1286"/>
      <c r="G49" s="1286"/>
      <c r="H49" s="1285">
        <v>1</v>
      </c>
      <c r="I49" s="142"/>
      <c r="J49" s="142"/>
      <c r="K49" s="142"/>
      <c r="L49" s="357"/>
      <c r="M49" s="304"/>
      <c r="N49" s="304"/>
      <c r="O49" s="304"/>
      <c r="P49" s="849"/>
      <c r="Q49" s="850"/>
      <c r="R49" s="215"/>
      <c r="S49" s="373"/>
      <c r="T49" s="851"/>
      <c r="U49" s="809"/>
      <c r="V49" s="1315"/>
      <c r="W49" s="1315"/>
      <c r="X49" s="1315"/>
      <c r="Y49" s="1315"/>
      <c r="Z49" s="1315"/>
      <c r="AA49" s="1315"/>
      <c r="AB49" s="1315"/>
      <c r="AC49" s="1316"/>
      <c r="AD49" s="1314"/>
      <c r="AE49" s="1315"/>
      <c r="AF49" s="1315"/>
      <c r="AG49" s="1315"/>
      <c r="AH49" s="1315"/>
      <c r="AI49" s="1315"/>
      <c r="AJ49" s="1315"/>
      <c r="AK49" s="1315"/>
      <c r="AL49" s="1315"/>
      <c r="AM49" s="1315"/>
      <c r="AN49" s="1315"/>
      <c r="AO49" s="1315"/>
      <c r="AP49" s="1315"/>
      <c r="AQ49" s="1315"/>
      <c r="AR49" s="1315"/>
      <c r="AS49" s="1315"/>
      <c r="AT49" s="1315"/>
      <c r="AU49" s="1315"/>
      <c r="AV49" s="1315"/>
      <c r="AW49" s="1315"/>
      <c r="AX49" s="1315"/>
      <c r="AY49" s="1315"/>
      <c r="AZ49" s="1315"/>
      <c r="BA49" s="1315"/>
      <c r="BB49" s="1316"/>
      <c r="BC49" s="810" t="s">
        <v>463</v>
      </c>
      <c r="BE49" s="66"/>
      <c r="BF49" s="66" t="str">
        <f t="shared" si="3"/>
        <v/>
      </c>
      <c r="BG49" s="66"/>
      <c r="BH49" s="66"/>
    </row>
    <row r="50" spans="1:60" s="65" customFormat="1" ht="0" hidden="1" customHeight="1">
      <c r="A50" s="142" t="s">
        <v>249</v>
      </c>
      <c r="B50" s="142" t="s">
        <v>250</v>
      </c>
      <c r="C50" s="142" t="s">
        <v>251</v>
      </c>
      <c r="D50" s="142" t="s">
        <v>2094</v>
      </c>
      <c r="E50" s="1286"/>
      <c r="F50" s="1286"/>
      <c r="G50" s="1286"/>
      <c r="H50" s="1286"/>
      <c r="I50" s="1287" t="str">
        <f>S49&amp;".1"</f>
        <v>.1</v>
      </c>
      <c r="J50" s="142"/>
      <c r="K50" s="142"/>
      <c r="L50" s="357" t="s">
        <v>464</v>
      </c>
      <c r="M50" s="228"/>
      <c r="N50" s="228"/>
      <c r="O50" s="228"/>
      <c r="P50" s="1204">
        <v>1</v>
      </c>
      <c r="Q50" s="119"/>
      <c r="R50" s="214"/>
      <c r="S50" s="373"/>
      <c r="T50" s="808"/>
      <c r="U50" s="809"/>
      <c r="V50" s="1315"/>
      <c r="W50" s="1315"/>
      <c r="X50" s="1315"/>
      <c r="Y50" s="1315"/>
      <c r="Z50" s="1315"/>
      <c r="AA50" s="1315"/>
      <c r="AB50" s="1315"/>
      <c r="AC50" s="1316"/>
      <c r="AD50" s="1314"/>
      <c r="AE50" s="1315"/>
      <c r="AF50" s="1315"/>
      <c r="AG50" s="1315"/>
      <c r="AH50" s="1315"/>
      <c r="AI50" s="1315"/>
      <c r="AJ50" s="1315"/>
      <c r="AK50" s="1315"/>
      <c r="AL50" s="1315"/>
      <c r="AM50" s="1315"/>
      <c r="AN50" s="1315"/>
      <c r="AO50" s="1315"/>
      <c r="AP50" s="1315"/>
      <c r="AQ50" s="1315"/>
      <c r="AR50" s="1315"/>
      <c r="AS50" s="1315"/>
      <c r="AT50" s="1315"/>
      <c r="AU50" s="1315"/>
      <c r="AV50" s="1315"/>
      <c r="AW50" s="1315"/>
      <c r="AX50" s="1315"/>
      <c r="AY50" s="1315"/>
      <c r="AZ50" s="1315"/>
      <c r="BA50" s="1315"/>
      <c r="BB50" s="1316"/>
      <c r="BC50" s="810"/>
      <c r="BE50" s="66"/>
      <c r="BF50" s="66" t="str">
        <f t="shared" si="3"/>
        <v/>
      </c>
      <c r="BG50" s="66"/>
      <c r="BH50" s="66"/>
    </row>
    <row r="51" spans="1:60" s="65" customFormat="1" ht="0" hidden="1" customHeight="1">
      <c r="A51" s="142" t="s">
        <v>249</v>
      </c>
      <c r="B51" s="142" t="s">
        <v>250</v>
      </c>
      <c r="C51" s="142" t="s">
        <v>251</v>
      </c>
      <c r="D51" s="142" t="s">
        <v>2094</v>
      </c>
      <c r="E51" s="1286"/>
      <c r="F51" s="1286"/>
      <c r="G51" s="1286"/>
      <c r="H51" s="1286"/>
      <c r="I51" s="1288"/>
      <c r="J51" s="1287" t="str">
        <f>S49&amp;".1"</f>
        <v>.1</v>
      </c>
      <c r="K51" s="142"/>
      <c r="L51" s="357"/>
      <c r="M51" s="228"/>
      <c r="N51" s="228"/>
      <c r="O51" s="228"/>
      <c r="P51" s="1204"/>
      <c r="Q51" s="1204">
        <v>1</v>
      </c>
      <c r="R51" s="215"/>
      <c r="S51" s="373"/>
      <c r="T51" s="823"/>
      <c r="U51" s="809"/>
      <c r="V51" s="1315"/>
      <c r="W51" s="1315"/>
      <c r="X51" s="1315"/>
      <c r="Y51" s="1315"/>
      <c r="Z51" s="1315"/>
      <c r="AA51" s="1315"/>
      <c r="AB51" s="1315"/>
      <c r="AC51" s="1316"/>
      <c r="AD51" s="1314"/>
      <c r="AE51" s="1315"/>
      <c r="AF51" s="1315"/>
      <c r="AG51" s="1315"/>
      <c r="AH51" s="1315"/>
      <c r="AI51" s="1315"/>
      <c r="AJ51" s="1315"/>
      <c r="AK51" s="1315"/>
      <c r="AL51" s="1315"/>
      <c r="AM51" s="1315"/>
      <c r="AN51" s="1400"/>
      <c r="AO51" s="1400"/>
      <c r="AP51" s="1315"/>
      <c r="AQ51" s="1315"/>
      <c r="AR51" s="1315"/>
      <c r="AS51" s="1315"/>
      <c r="AT51" s="1315"/>
      <c r="AU51" s="1315"/>
      <c r="AV51" s="1315"/>
      <c r="AW51" s="1315"/>
      <c r="AX51" s="1315"/>
      <c r="AY51" s="1315"/>
      <c r="AZ51" s="1315"/>
      <c r="BA51" s="1315"/>
      <c r="BB51" s="1316"/>
      <c r="BC51" s="810"/>
      <c r="BE51" s="66"/>
      <c r="BF51" s="66" t="str">
        <f t="shared" si="3"/>
        <v/>
      </c>
      <c r="BG51" s="66"/>
      <c r="BH51" s="66"/>
    </row>
    <row r="52" spans="1:60" ht="11.25" customHeight="1">
      <c r="A52" s="798" t="s">
        <v>249</v>
      </c>
      <c r="B52" s="798" t="s">
        <v>250</v>
      </c>
      <c r="C52" s="798" t="s">
        <v>251</v>
      </c>
      <c r="D52" s="798" t="s">
        <v>2094</v>
      </c>
      <c r="E52" s="1286"/>
      <c r="F52" s="1286"/>
      <c r="G52" s="1286"/>
      <c r="H52" s="1286"/>
      <c r="I52" s="1288"/>
      <c r="J52" s="1288"/>
      <c r="K52" s="1287" t="str">
        <f>S48&amp;".1"</f>
        <v>...1</v>
      </c>
      <c r="L52" s="799"/>
      <c r="P52" s="1204"/>
      <c r="Q52" s="1204"/>
      <c r="R52" s="215">
        <v>1</v>
      </c>
      <c r="S52" s="1335" t="str">
        <f>$K52</f>
        <v>...1</v>
      </c>
      <c r="T52" s="1394"/>
      <c r="U52" s="170"/>
      <c r="V52" s="317"/>
      <c r="W52" s="757"/>
      <c r="X52" s="317"/>
      <c r="Y52" s="757"/>
      <c r="Z52" s="979"/>
      <c r="AA52" s="308" t="s">
        <v>59</v>
      </c>
      <c r="AB52" s="979"/>
      <c r="AC52" s="308" t="s">
        <v>59</v>
      </c>
      <c r="AD52" s="1150" t="s">
        <v>59</v>
      </c>
      <c r="AE52" s="1331"/>
      <c r="AF52" s="1163">
        <v>1</v>
      </c>
      <c r="AG52" s="1393"/>
      <c r="AH52" s="1093" t="s">
        <v>59</v>
      </c>
      <c r="AI52" s="1331"/>
      <c r="AJ52" s="1163">
        <v>1</v>
      </c>
      <c r="AK52" s="1392" t="s">
        <v>18</v>
      </c>
      <c r="AL52" s="1093" t="s">
        <v>59</v>
      </c>
      <c r="AM52" s="1138"/>
      <c r="AN52" s="1163">
        <v>1</v>
      </c>
      <c r="AO52" s="1397"/>
      <c r="AP52" s="1398" t="s">
        <v>59</v>
      </c>
      <c r="AQ52" s="181"/>
      <c r="AR52" s="280">
        <v>1</v>
      </c>
      <c r="AS52" s="116" t="s">
        <v>18</v>
      </c>
      <c r="AT52" s="317"/>
      <c r="AU52" s="757"/>
      <c r="AV52" s="317"/>
      <c r="AW52" s="757"/>
      <c r="AX52" s="979"/>
      <c r="AY52" s="308" t="s">
        <v>59</v>
      </c>
      <c r="AZ52" s="979"/>
      <c r="BA52" s="308" t="s">
        <v>59</v>
      </c>
      <c r="BB52" s="795"/>
      <c r="BC52" s="1307" t="s">
        <v>1693</v>
      </c>
      <c r="BE52" s="66"/>
      <c r="BF52" s="66" t="str">
        <f t="shared" si="3"/>
        <v/>
      </c>
      <c r="BG52" s="66"/>
      <c r="BH52" s="66"/>
    </row>
    <row r="53" spans="1:60" ht="11.25" customHeight="1">
      <c r="A53" s="798"/>
      <c r="B53" s="798"/>
      <c r="C53" s="798"/>
      <c r="D53" s="798"/>
      <c r="E53" s="1286"/>
      <c r="F53" s="1286"/>
      <c r="G53" s="1286"/>
      <c r="H53" s="1286"/>
      <c r="I53" s="1288"/>
      <c r="J53" s="1288"/>
      <c r="K53" s="1287"/>
      <c r="L53" s="799"/>
      <c r="P53" s="1204"/>
      <c r="Q53" s="1204"/>
      <c r="R53" s="215"/>
      <c r="S53" s="1336"/>
      <c r="T53" s="1395"/>
      <c r="U53" s="170"/>
      <c r="V53" s="818"/>
      <c r="W53" s="848"/>
      <c r="X53" s="818"/>
      <c r="Y53" s="848"/>
      <c r="Z53" s="818"/>
      <c r="AA53" s="818"/>
      <c r="AB53" s="818"/>
      <c r="AC53" s="818"/>
      <c r="AD53" s="1151"/>
      <c r="AE53" s="1331"/>
      <c r="AF53" s="1163"/>
      <c r="AG53" s="1393"/>
      <c r="AH53" s="1093"/>
      <c r="AI53" s="1331"/>
      <c r="AJ53" s="1163"/>
      <c r="AK53" s="1392"/>
      <c r="AL53" s="1093"/>
      <c r="AM53" s="1143"/>
      <c r="AN53" s="1163"/>
      <c r="AO53" s="1397"/>
      <c r="AP53" s="1399"/>
      <c r="AQ53" s="186"/>
      <c r="AR53" s="50"/>
      <c r="AS53" s="50" t="s">
        <v>1694</v>
      </c>
      <c r="AT53" s="818"/>
      <c r="AU53" s="848"/>
      <c r="AV53" s="818"/>
      <c r="AW53" s="848"/>
      <c r="AX53" s="818"/>
      <c r="AY53" s="818"/>
      <c r="AZ53" s="818"/>
      <c r="BA53" s="818"/>
      <c r="BB53" s="822"/>
      <c r="BC53" s="1308"/>
      <c r="BE53" s="66"/>
      <c r="BF53" s="66"/>
      <c r="BG53" s="66"/>
      <c r="BH53" s="66"/>
    </row>
    <row r="54" spans="1:60" ht="11.25" customHeight="1">
      <c r="A54" s="798" t="s">
        <v>249</v>
      </c>
      <c r="B54" s="798"/>
      <c r="C54" s="798"/>
      <c r="D54" s="798"/>
      <c r="E54" s="1286"/>
      <c r="F54" s="1286"/>
      <c r="G54" s="1286"/>
      <c r="H54" s="1286"/>
      <c r="I54" s="1288"/>
      <c r="J54" s="1288"/>
      <c r="K54" s="1287"/>
      <c r="L54" s="799"/>
      <c r="P54" s="1204"/>
      <c r="Q54" s="1204"/>
      <c r="R54" s="215"/>
      <c r="S54" s="1336"/>
      <c r="T54" s="1395"/>
      <c r="U54" s="170"/>
      <c r="V54" s="818"/>
      <c r="W54" s="848"/>
      <c r="X54" s="818"/>
      <c r="Y54" s="848"/>
      <c r="Z54" s="818"/>
      <c r="AA54" s="818"/>
      <c r="AB54" s="818"/>
      <c r="AC54" s="818"/>
      <c r="AD54" s="1151"/>
      <c r="AE54" s="1331"/>
      <c r="AF54" s="1163"/>
      <c r="AG54" s="1393"/>
      <c r="AH54" s="1093"/>
      <c r="AI54" s="1331"/>
      <c r="AJ54" s="1163"/>
      <c r="AK54" s="1392"/>
      <c r="AL54" s="1093"/>
      <c r="AM54" s="186"/>
      <c r="AN54" s="852"/>
      <c r="AO54" s="852" t="s">
        <v>1695</v>
      </c>
      <c r="AP54" s="50"/>
      <c r="AQ54" s="50"/>
      <c r="AR54" s="50"/>
      <c r="AS54" s="818"/>
      <c r="AT54" s="818"/>
      <c r="AU54" s="848"/>
      <c r="AV54" s="818"/>
      <c r="AW54" s="848"/>
      <c r="AX54" s="818"/>
      <c r="AY54" s="818"/>
      <c r="AZ54" s="818"/>
      <c r="BA54" s="818"/>
      <c r="BB54" s="822"/>
      <c r="BC54" s="1308"/>
      <c r="BE54" s="66"/>
      <c r="BF54" s="66"/>
      <c r="BG54" s="66"/>
      <c r="BH54" s="66"/>
    </row>
    <row r="55" spans="1:60" ht="11.25" customHeight="1">
      <c r="A55" s="798" t="s">
        <v>249</v>
      </c>
      <c r="B55" s="798"/>
      <c r="C55" s="798"/>
      <c r="D55" s="798"/>
      <c r="E55" s="1286"/>
      <c r="F55" s="1286"/>
      <c r="G55" s="1286"/>
      <c r="H55" s="1286"/>
      <c r="I55" s="1288"/>
      <c r="J55" s="1288"/>
      <c r="K55" s="1287"/>
      <c r="L55" s="799"/>
      <c r="P55" s="1204"/>
      <c r="Q55" s="1204"/>
      <c r="R55" s="215"/>
      <c r="S55" s="1336"/>
      <c r="T55" s="1395"/>
      <c r="U55" s="170"/>
      <c r="V55" s="818"/>
      <c r="W55" s="848"/>
      <c r="X55" s="818"/>
      <c r="Y55" s="848"/>
      <c r="Z55" s="818"/>
      <c r="AA55" s="818"/>
      <c r="AB55" s="818"/>
      <c r="AC55" s="818"/>
      <c r="AD55" s="1151"/>
      <c r="AE55" s="1331"/>
      <c r="AF55" s="1163"/>
      <c r="AG55" s="1393"/>
      <c r="AH55" s="1093"/>
      <c r="AI55" s="168"/>
      <c r="AJ55" s="107"/>
      <c r="AK55" s="183" t="s">
        <v>1696</v>
      </c>
      <c r="AL55" s="818"/>
      <c r="AM55" s="818"/>
      <c r="AN55" s="818"/>
      <c r="AO55" s="818"/>
      <c r="AP55" s="818"/>
      <c r="AQ55" s="818"/>
      <c r="AR55" s="818"/>
      <c r="AS55" s="818"/>
      <c r="AT55" s="818"/>
      <c r="AU55" s="848"/>
      <c r="AV55" s="818"/>
      <c r="AW55" s="848"/>
      <c r="AX55" s="818"/>
      <c r="AY55" s="818"/>
      <c r="AZ55" s="818"/>
      <c r="BA55" s="818"/>
      <c r="BB55" s="822"/>
      <c r="BC55" s="1308"/>
      <c r="BE55" s="66"/>
      <c r="BF55" s="66"/>
      <c r="BG55" s="66"/>
      <c r="BH55" s="66"/>
    </row>
    <row r="56" spans="1:60" ht="11.25" customHeight="1">
      <c r="A56" s="798" t="s">
        <v>249</v>
      </c>
      <c r="B56" s="798" t="s">
        <v>250</v>
      </c>
      <c r="C56" s="798" t="s">
        <v>251</v>
      </c>
      <c r="D56" s="798" t="s">
        <v>2094</v>
      </c>
      <c r="E56" s="1286"/>
      <c r="F56" s="1286"/>
      <c r="G56" s="1286"/>
      <c r="H56" s="1286"/>
      <c r="I56" s="1288"/>
      <c r="J56" s="1288"/>
      <c r="K56" s="1287"/>
      <c r="L56" s="799"/>
      <c r="P56" s="1204"/>
      <c r="Q56" s="1204"/>
      <c r="R56" s="215"/>
      <c r="S56" s="1337"/>
      <c r="T56" s="1396"/>
      <c r="U56" s="170"/>
      <c r="V56" s="818"/>
      <c r="W56" s="819" t="str">
        <f>Z52&amp;"-"&amp;AB52</f>
        <v>-</v>
      </c>
      <c r="X56" s="818"/>
      <c r="Y56" s="819" t="str">
        <f>AB52&amp;"-"&amp;AD52</f>
        <v>-да</v>
      </c>
      <c r="Z56" s="818"/>
      <c r="AA56" s="818"/>
      <c r="AB56" s="818"/>
      <c r="AC56" s="818"/>
      <c r="AD56" s="1098"/>
      <c r="AE56" s="182"/>
      <c r="AF56" s="184"/>
      <c r="AG56" s="50" t="s">
        <v>1697</v>
      </c>
      <c r="AH56" s="818"/>
      <c r="AI56" s="818"/>
      <c r="AJ56" s="818"/>
      <c r="AK56" s="818"/>
      <c r="AL56" s="818"/>
      <c r="AM56" s="818"/>
      <c r="AN56" s="818"/>
      <c r="AO56" s="818"/>
      <c r="AP56" s="818"/>
      <c r="AQ56" s="818"/>
      <c r="AR56" s="818"/>
      <c r="AS56" s="818"/>
      <c r="AT56" s="818"/>
      <c r="AU56" s="819" t="str">
        <f>AX52&amp;"-"&amp;AZ52</f>
        <v>-</v>
      </c>
      <c r="AV56" s="818"/>
      <c r="AW56" s="819" t="str">
        <f>AZ52&amp;"-"&amp;BB52</f>
        <v>-</v>
      </c>
      <c r="AX56" s="818"/>
      <c r="AY56" s="818"/>
      <c r="AZ56" s="818"/>
      <c r="BA56" s="818"/>
      <c r="BB56" s="821" t="str">
        <f>BE52&amp;"-"&amp;BG52</f>
        <v>-</v>
      </c>
      <c r="BC56" s="1308"/>
      <c r="BE56" s="66"/>
      <c r="BF56" s="66" t="str">
        <f t="shared" ref="BF56:BF63" si="4">IF(T56="","",T56)</f>
        <v/>
      </c>
      <c r="BG56" s="66"/>
      <c r="BH56" s="66"/>
    </row>
    <row r="57" spans="1:60" ht="11.25" customHeight="1">
      <c r="A57" s="798" t="s">
        <v>249</v>
      </c>
      <c r="B57" s="798" t="s">
        <v>250</v>
      </c>
      <c r="C57" s="798" t="s">
        <v>251</v>
      </c>
      <c r="D57" s="798" t="s">
        <v>2094</v>
      </c>
      <c r="E57" s="1286"/>
      <c r="F57" s="1286"/>
      <c r="G57" s="1286"/>
      <c r="H57" s="1286"/>
      <c r="I57" s="1288"/>
      <c r="J57" s="1287"/>
      <c r="K57" s="798"/>
      <c r="L57" s="799"/>
      <c r="P57" s="1204"/>
      <c r="Q57" s="1204"/>
      <c r="R57" s="214"/>
      <c r="S57" s="772"/>
      <c r="T57" s="165" t="s">
        <v>538</v>
      </c>
      <c r="U57" s="221"/>
      <c r="V57" s="221"/>
      <c r="W57" s="221"/>
      <c r="X57" s="221"/>
      <c r="Y57" s="221"/>
      <c r="Z57" s="221"/>
      <c r="AA57" s="221"/>
      <c r="AB57" s="221"/>
      <c r="AC57" s="195"/>
      <c r="AD57" s="856"/>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309"/>
      <c r="BE57" s="66"/>
      <c r="BF57" s="66" t="str">
        <f t="shared" si="4"/>
        <v>Добавить строку</v>
      </c>
      <c r="BG57" s="66"/>
      <c r="BH57" s="66"/>
    </row>
    <row r="58" spans="1:60" s="65" customFormat="1" ht="0" hidden="1" customHeight="1">
      <c r="A58" s="142" t="s">
        <v>249</v>
      </c>
      <c r="B58" s="142" t="s">
        <v>250</v>
      </c>
      <c r="C58" s="142" t="s">
        <v>251</v>
      </c>
      <c r="D58" s="142" t="s">
        <v>2094</v>
      </c>
      <c r="E58" s="1286"/>
      <c r="F58" s="1286"/>
      <c r="G58" s="1286"/>
      <c r="H58" s="1286"/>
      <c r="I58" s="1287"/>
      <c r="J58" s="142"/>
      <c r="K58" s="142"/>
      <c r="L58" s="357"/>
      <c r="M58" s="228"/>
      <c r="N58" s="228"/>
      <c r="O58" s="228"/>
      <c r="P58" s="1204"/>
      <c r="Q58" s="119"/>
      <c r="R58" s="214"/>
      <c r="S58" s="811"/>
      <c r="T58" s="812"/>
      <c r="U58" s="813"/>
      <c r="V58" s="813"/>
      <c r="W58" s="813"/>
      <c r="X58" s="813"/>
      <c r="Y58" s="813"/>
      <c r="Z58" s="813"/>
      <c r="AA58" s="813"/>
      <c r="AB58" s="813"/>
      <c r="AC58" s="813"/>
      <c r="AD58" s="813"/>
      <c r="AE58" s="813"/>
      <c r="AF58" s="813"/>
      <c r="AG58" s="813"/>
      <c r="AH58" s="813"/>
      <c r="AI58" s="813"/>
      <c r="AJ58" s="813"/>
      <c r="AK58" s="813"/>
      <c r="AL58" s="813"/>
      <c r="AM58" s="813"/>
      <c r="AN58" s="813"/>
      <c r="AO58" s="813"/>
      <c r="AP58" s="813"/>
      <c r="AQ58" s="813"/>
      <c r="AR58" s="813"/>
      <c r="AS58" s="813"/>
      <c r="AT58" s="813"/>
      <c r="AU58" s="813"/>
      <c r="AV58" s="813"/>
      <c r="AW58" s="813"/>
      <c r="AX58" s="813"/>
      <c r="AY58" s="813"/>
      <c r="AZ58" s="813"/>
      <c r="BA58" s="813"/>
      <c r="BB58" s="813"/>
      <c r="BC58" s="814"/>
      <c r="BE58" s="66"/>
      <c r="BF58" s="66" t="str">
        <f t="shared" si="4"/>
        <v/>
      </c>
      <c r="BG58" s="66"/>
      <c r="BH58" s="66"/>
    </row>
    <row r="59" spans="1:60" s="65" customFormat="1" ht="0" hidden="1" customHeight="1">
      <c r="A59" s="142" t="s">
        <v>249</v>
      </c>
      <c r="B59" s="142" t="s">
        <v>250</v>
      </c>
      <c r="C59" s="142" t="s">
        <v>251</v>
      </c>
      <c r="D59" s="142" t="s">
        <v>2094</v>
      </c>
      <c r="E59" s="1286"/>
      <c r="F59" s="1286"/>
      <c r="G59" s="1286"/>
      <c r="H59" s="1285"/>
      <c r="I59" s="142"/>
      <c r="J59" s="142"/>
      <c r="K59" s="142"/>
      <c r="L59" s="357"/>
      <c r="M59" s="304"/>
      <c r="N59" s="304"/>
      <c r="P59" s="101"/>
      <c r="Q59" s="785"/>
      <c r="R59" s="825"/>
      <c r="S59" s="811"/>
      <c r="T59" s="812"/>
      <c r="U59" s="813"/>
      <c r="V59" s="813"/>
      <c r="W59" s="813"/>
      <c r="X59" s="813"/>
      <c r="Y59" s="813"/>
      <c r="Z59" s="813"/>
      <c r="AA59" s="813"/>
      <c r="AB59" s="813"/>
      <c r="AC59" s="813"/>
      <c r="AD59" s="813"/>
      <c r="AE59" s="813"/>
      <c r="AF59" s="813"/>
      <c r="AG59" s="813"/>
      <c r="AH59" s="813"/>
      <c r="AI59" s="813"/>
      <c r="AJ59" s="813"/>
      <c r="AK59" s="813"/>
      <c r="AL59" s="813"/>
      <c r="AM59" s="813"/>
      <c r="AN59" s="813"/>
      <c r="AO59" s="813"/>
      <c r="AP59" s="813"/>
      <c r="AQ59" s="813"/>
      <c r="AR59" s="813"/>
      <c r="AS59" s="813"/>
      <c r="AT59" s="813"/>
      <c r="AU59" s="813"/>
      <c r="AV59" s="813"/>
      <c r="AW59" s="813"/>
      <c r="AX59" s="813"/>
      <c r="AY59" s="813"/>
      <c r="AZ59" s="813"/>
      <c r="BA59" s="813"/>
      <c r="BB59" s="813"/>
      <c r="BC59" s="814"/>
      <c r="BE59" s="66"/>
      <c r="BF59" s="66" t="str">
        <f t="shared" si="4"/>
        <v/>
      </c>
      <c r="BG59" s="66"/>
      <c r="BH59" s="66"/>
    </row>
    <row r="60" spans="1:60" s="65" customFormat="1" ht="0" hidden="1" customHeight="1">
      <c r="A60" s="142" t="s">
        <v>249</v>
      </c>
      <c r="B60" s="142" t="s">
        <v>250</v>
      </c>
      <c r="C60" s="142" t="s">
        <v>251</v>
      </c>
      <c r="D60" s="142"/>
      <c r="E60" s="1286"/>
      <c r="F60" s="1286"/>
      <c r="G60" s="1285"/>
      <c r="H60" s="142"/>
      <c r="I60" s="142"/>
      <c r="J60" s="142"/>
      <c r="K60" s="142"/>
      <c r="L60" s="357"/>
      <c r="M60" s="304"/>
      <c r="N60" s="304"/>
      <c r="P60" s="101"/>
      <c r="Q60" s="785"/>
      <c r="R60" s="101"/>
      <c r="S60" s="790"/>
      <c r="T60" s="792"/>
      <c r="U60" s="324"/>
      <c r="V60" s="324"/>
      <c r="W60" s="324"/>
      <c r="X60" s="324"/>
      <c r="Y60" s="324"/>
      <c r="Z60" s="324"/>
      <c r="AA60" s="324"/>
      <c r="AB60" s="324"/>
      <c r="AC60" s="324"/>
      <c r="AD60" s="324"/>
      <c r="AE60" s="324"/>
      <c r="AF60" s="324"/>
      <c r="AG60" s="324"/>
      <c r="AH60" s="324"/>
      <c r="AI60" s="324"/>
      <c r="AJ60" s="324"/>
      <c r="AK60" s="324"/>
      <c r="AL60" s="324"/>
      <c r="AM60" s="324"/>
      <c r="AN60" s="324"/>
      <c r="AO60" s="324"/>
      <c r="AP60" s="324"/>
      <c r="AQ60" s="324"/>
      <c r="AR60" s="324"/>
      <c r="AS60" s="324"/>
      <c r="AT60" s="324"/>
      <c r="AU60" s="324"/>
      <c r="AV60" s="324"/>
      <c r="AW60" s="324"/>
      <c r="AX60" s="324"/>
      <c r="AY60" s="324"/>
      <c r="AZ60" s="324"/>
      <c r="BA60" s="324"/>
      <c r="BB60" s="324"/>
      <c r="BC60" s="324"/>
      <c r="BE60" s="66"/>
      <c r="BF60" s="66" t="str">
        <f t="shared" si="4"/>
        <v/>
      </c>
      <c r="BG60" s="66"/>
      <c r="BH60" s="66"/>
    </row>
    <row r="61" spans="1:60" s="65" customFormat="1" ht="0" hidden="1" customHeight="1">
      <c r="A61" s="142" t="s">
        <v>249</v>
      </c>
      <c r="B61" s="142" t="s">
        <v>250</v>
      </c>
      <c r="C61" s="142"/>
      <c r="D61" s="142"/>
      <c r="E61" s="1286"/>
      <c r="F61" s="1285"/>
      <c r="G61" s="142"/>
      <c r="H61" s="142"/>
      <c r="I61" s="142"/>
      <c r="J61" s="142"/>
      <c r="K61" s="142"/>
      <c r="L61" s="357"/>
      <c r="M61" s="789"/>
      <c r="N61" s="789"/>
      <c r="P61" s="101"/>
      <c r="Q61" s="785"/>
      <c r="R61" s="101"/>
      <c r="S61" s="790"/>
      <c r="T61" s="792" t="s">
        <v>432</v>
      </c>
      <c r="U61" s="324"/>
      <c r="V61" s="324"/>
      <c r="W61" s="324"/>
      <c r="X61" s="324"/>
      <c r="Y61" s="324"/>
      <c r="Z61" s="324"/>
      <c r="AA61" s="324"/>
      <c r="AB61" s="324"/>
      <c r="AC61" s="324"/>
      <c r="AD61" s="324"/>
      <c r="AE61" s="324"/>
      <c r="AF61" s="324"/>
      <c r="AG61" s="324"/>
      <c r="AH61" s="324"/>
      <c r="AI61" s="324"/>
      <c r="AJ61" s="324"/>
      <c r="AK61" s="324"/>
      <c r="AL61" s="324"/>
      <c r="AM61" s="324"/>
      <c r="AN61" s="324"/>
      <c r="AO61" s="324"/>
      <c r="AP61" s="324"/>
      <c r="AQ61" s="324"/>
      <c r="AR61" s="324"/>
      <c r="AS61" s="324"/>
      <c r="AT61" s="324"/>
      <c r="AU61" s="324"/>
      <c r="AV61" s="324"/>
      <c r="AW61" s="324"/>
      <c r="AX61" s="324"/>
      <c r="AY61" s="324"/>
      <c r="AZ61" s="324"/>
      <c r="BA61" s="324"/>
      <c r="BB61" s="324"/>
      <c r="BC61" s="324"/>
      <c r="BE61" s="66"/>
      <c r="BF61" s="66" t="str">
        <f t="shared" si="4"/>
        <v>Добавить централизованную систему для дифференциации</v>
      </c>
      <c r="BG61" s="66"/>
      <c r="BH61" s="66"/>
    </row>
    <row r="62" spans="1:60" s="65" customFormat="1" ht="0" hidden="1" customHeight="1">
      <c r="A62" s="142" t="s">
        <v>249</v>
      </c>
      <c r="B62" s="142"/>
      <c r="C62" s="142"/>
      <c r="D62" s="142"/>
      <c r="E62" s="1285"/>
      <c r="F62" s="142"/>
      <c r="G62" s="142"/>
      <c r="H62" s="142"/>
      <c r="I62" s="142"/>
      <c r="J62" s="142"/>
      <c r="K62" s="142"/>
      <c r="L62" s="357"/>
      <c r="M62" s="789"/>
      <c r="N62" s="789"/>
      <c r="P62" s="101"/>
      <c r="Q62" s="785"/>
      <c r="R62" s="101"/>
      <c r="S62" s="790"/>
      <c r="T62" s="792" t="s">
        <v>433</v>
      </c>
      <c r="U62" s="324"/>
      <c r="V62" s="324"/>
      <c r="W62" s="324"/>
      <c r="X62" s="324"/>
      <c r="Y62" s="324"/>
      <c r="Z62" s="324"/>
      <c r="AA62" s="324"/>
      <c r="AB62" s="324"/>
      <c r="AC62" s="324"/>
      <c r="AD62" s="324"/>
      <c r="AE62" s="324"/>
      <c r="AF62" s="324"/>
      <c r="AG62" s="324"/>
      <c r="AH62" s="324"/>
      <c r="AI62" s="324"/>
      <c r="AJ62" s="324"/>
      <c r="AK62" s="324"/>
      <c r="AL62" s="324"/>
      <c r="AM62" s="324"/>
      <c r="AN62" s="324"/>
      <c r="AO62" s="324"/>
      <c r="AP62" s="324"/>
      <c r="AQ62" s="324"/>
      <c r="AR62" s="324"/>
      <c r="AS62" s="324"/>
      <c r="AT62" s="324"/>
      <c r="AU62" s="324"/>
      <c r="AV62" s="324"/>
      <c r="AW62" s="324"/>
      <c r="AX62" s="324"/>
      <c r="AY62" s="324"/>
      <c r="AZ62" s="324"/>
      <c r="BA62" s="324"/>
      <c r="BB62" s="324"/>
      <c r="BC62" s="324"/>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7"/>
      <c r="M63" s="789"/>
      <c r="N63" s="789"/>
      <c r="P63" s="101"/>
      <c r="Q63" s="785"/>
      <c r="R63" s="101"/>
      <c r="S63" s="790"/>
      <c r="T63" s="792" t="s">
        <v>434</v>
      </c>
      <c r="U63" s="324"/>
      <c r="V63" s="324"/>
      <c r="W63" s="324"/>
      <c r="X63" s="324"/>
      <c r="Y63" s="324"/>
      <c r="Z63" s="324"/>
      <c r="AA63" s="324"/>
      <c r="AB63" s="324"/>
      <c r="AC63" s="324"/>
      <c r="AD63" s="324"/>
      <c r="AE63" s="324"/>
      <c r="AF63" s="324"/>
      <c r="AG63" s="324"/>
      <c r="AH63" s="324"/>
      <c r="AI63" s="324"/>
      <c r="AJ63" s="324"/>
      <c r="AK63" s="324"/>
      <c r="AL63" s="324"/>
      <c r="AM63" s="324"/>
      <c r="AN63" s="324"/>
      <c r="AO63" s="324"/>
      <c r="AP63" s="324"/>
      <c r="AQ63" s="324"/>
      <c r="AR63" s="324"/>
      <c r="AS63" s="324"/>
      <c r="AT63" s="324"/>
      <c r="AU63" s="324"/>
      <c r="AV63" s="324"/>
      <c r="AW63" s="324"/>
      <c r="AX63" s="324"/>
      <c r="AY63" s="324"/>
      <c r="AZ63" s="324"/>
      <c r="BA63" s="324"/>
      <c r="BB63" s="324"/>
      <c r="BC63" s="324"/>
      <c r="BE63" s="66"/>
      <c r="BF63" s="66" t="str">
        <f t="shared" si="4"/>
        <v>Добавить наименование тарифа</v>
      </c>
      <c r="BG63" s="66"/>
      <c r="BH63" s="66"/>
    </row>
    <row r="64" spans="1:60" ht="11.25" hidden="1" customHeight="1">
      <c r="M64" s="60"/>
      <c r="N64" s="60"/>
      <c r="O64" s="60"/>
      <c r="P64" s="60"/>
      <c r="Q64" s="60"/>
      <c r="R64" s="9"/>
      <c r="S64" s="9"/>
      <c r="BD64" s="9"/>
      <c r="BE64" s="9"/>
      <c r="BF64" s="9"/>
      <c r="BG64" s="9"/>
      <c r="BH64" s="9"/>
    </row>
    <row r="65" spans="15:55" ht="18.75" hidden="1" customHeight="1">
      <c r="O65" s="60"/>
      <c r="S65" s="204" t="s">
        <v>506</v>
      </c>
      <c r="T65" s="1284" t="s">
        <v>1708</v>
      </c>
      <c r="U65" s="1284"/>
      <c r="V65" s="1284"/>
      <c r="W65" s="1284"/>
      <c r="X65" s="1284"/>
      <c r="Y65" s="1284"/>
      <c r="Z65" s="1284"/>
      <c r="AA65" s="1284"/>
      <c r="AB65" s="1284"/>
      <c r="AC65" s="1284"/>
      <c r="AD65" s="1284"/>
      <c r="AE65" s="1284"/>
      <c r="AF65" s="1284"/>
      <c r="AG65" s="1284"/>
      <c r="AH65" s="1284"/>
      <c r="AI65" s="1284"/>
      <c r="AJ65" s="1284"/>
      <c r="AK65" s="1284"/>
      <c r="AL65" s="1284"/>
      <c r="AM65" s="1284"/>
      <c r="AN65" s="1284"/>
      <c r="AO65" s="1284"/>
      <c r="AP65" s="1284"/>
      <c r="AQ65" s="1284"/>
      <c r="AR65" s="1284"/>
      <c r="AS65" s="1284"/>
      <c r="AT65" s="1284"/>
      <c r="AU65" s="1284"/>
      <c r="AV65" s="1284"/>
      <c r="AW65" s="1284"/>
      <c r="AX65" s="1284"/>
      <c r="AY65" s="1284"/>
      <c r="AZ65" s="1284"/>
      <c r="BA65" s="1284"/>
      <c r="BB65" s="1284"/>
      <c r="BC65" s="1284"/>
    </row>
    <row r="66" spans="15:55" ht="14.25" hidden="1" customHeight="1">
      <c r="O66" s="60"/>
      <c r="T66" s="383"/>
      <c r="U66" s="383"/>
      <c r="V66" s="383"/>
      <c r="W66" s="383"/>
      <c r="X66" s="383"/>
      <c r="Y66" s="383"/>
      <c r="Z66" s="383"/>
      <c r="AA66" s="383"/>
      <c r="AB66" s="383"/>
      <c r="AC66" s="383"/>
      <c r="AD66" s="383"/>
      <c r="AE66" s="383"/>
      <c r="AF66" s="383"/>
      <c r="AG66" s="383"/>
      <c r="AH66" s="383"/>
      <c r="AI66" s="383"/>
      <c r="AJ66" s="383"/>
      <c r="AK66" s="383"/>
      <c r="AL66" s="383"/>
      <c r="AM66" s="383"/>
      <c r="AN66" s="383"/>
      <c r="AO66" s="383"/>
      <c r="AP66" s="383"/>
      <c r="AQ66" s="383"/>
      <c r="AR66" s="383"/>
      <c r="AS66" s="383"/>
      <c r="AT66" s="383"/>
      <c r="AU66" s="383"/>
      <c r="AV66" s="383"/>
      <c r="AW66" s="383"/>
      <c r="AX66" s="383"/>
      <c r="AY66" s="383"/>
      <c r="AZ66" s="383"/>
      <c r="BA66" s="383"/>
      <c r="BB66" s="383"/>
      <c r="BC66" s="383"/>
    </row>
    <row r="67" spans="15:55" ht="18.75" hidden="1" customHeight="1">
      <c r="O67" s="60"/>
      <c r="S67" s="204" t="s">
        <v>506</v>
      </c>
      <c r="T67" s="1284" t="s">
        <v>1709</v>
      </c>
      <c r="U67" s="1284"/>
      <c r="V67" s="1284"/>
      <c r="W67" s="1284"/>
      <c r="X67" s="1284"/>
      <c r="Y67" s="1284"/>
      <c r="Z67" s="1284"/>
      <c r="AA67" s="1284"/>
      <c r="AB67" s="1284"/>
      <c r="AC67" s="1284"/>
      <c r="AD67" s="1284"/>
      <c r="AE67" s="1284"/>
      <c r="AF67" s="1284"/>
      <c r="AG67" s="1284"/>
      <c r="AH67" s="1284"/>
      <c r="AI67" s="1284"/>
      <c r="AJ67" s="1284"/>
      <c r="AK67" s="1284"/>
      <c r="AL67" s="1284"/>
      <c r="AM67" s="1284"/>
      <c r="AN67" s="1284"/>
      <c r="AO67" s="1284"/>
      <c r="AP67" s="1284"/>
      <c r="AQ67" s="1284"/>
      <c r="AR67" s="1284"/>
      <c r="AS67" s="1284"/>
      <c r="AT67" s="1284"/>
      <c r="AU67" s="1284"/>
      <c r="AV67" s="1284"/>
      <c r="AW67" s="1284"/>
      <c r="AX67" s="1284"/>
      <c r="AY67" s="1284"/>
      <c r="AZ67" s="1284"/>
      <c r="BA67" s="1284"/>
      <c r="BB67" s="1284"/>
      <c r="BC67" s="1284"/>
    </row>
    <row r="68" spans="15:55" ht="14.25" customHeight="1">
      <c r="O68" s="60"/>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3200-000000000000}">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3200-000001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3200-000002000000}"/>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32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3200-000004000000}">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3200-000005000000}"/>
    <dataValidation type="decimal" allowBlank="1" showErrorMessage="1" errorTitle="Ошибка" error="Допускается ввод только действительных чисел!" sqref="AO52:AO53 AG8:AG11 AO8:AO9 AG52:AG55" xr:uid="{00000000-0002-0000-3200-000006000000}">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3200-000007000000}">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32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3F0F88-9FE2-2708-732E-3CAB248CD673}">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2095</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2096</v>
      </c>
      <c r="AM4" s="66"/>
      <c r="AN4" s="66" t="str">
        <f t="shared" si="0"/>
        <v>Наименование централизованной системы водоотведения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1681</v>
      </c>
      <c r="W38" s="1065" t="s">
        <v>493</v>
      </c>
      <c r="X38" s="1064"/>
      <c r="Y38" s="1065" t="s">
        <v>494</v>
      </c>
      <c r="Z38" s="1070"/>
      <c r="AA38" s="1064"/>
      <c r="AB38" s="1302"/>
      <c r="AC38" s="351" t="s">
        <v>1681</v>
      </c>
      <c r="AD38" s="1065" t="s">
        <v>493</v>
      </c>
      <c r="AE38" s="1064"/>
      <c r="AF38" s="1065" t="s">
        <v>494</v>
      </c>
      <c r="AG38" s="1070"/>
      <c r="AH38" s="1064"/>
      <c r="AI38" s="1302"/>
      <c r="AJ38" s="1305"/>
      <c r="AK38" s="1083"/>
    </row>
    <row r="39" spans="1:42" ht="86.2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2097</v>
      </c>
      <c r="W39" s="37" t="s">
        <v>2098</v>
      </c>
      <c r="X39" s="37" t="s">
        <v>1686</v>
      </c>
      <c r="Y39" s="37" t="s">
        <v>504</v>
      </c>
      <c r="Z39" s="1174" t="s">
        <v>505</v>
      </c>
      <c r="AA39" s="1188"/>
      <c r="AB39" s="1303"/>
      <c r="AC39" s="351" t="s">
        <v>2097</v>
      </c>
      <c r="AD39" s="37" t="s">
        <v>2098</v>
      </c>
      <c r="AE39" s="37" t="s">
        <v>1686</v>
      </c>
      <c r="AF39" s="37" t="s">
        <v>504</v>
      </c>
      <c r="AG39" s="1174" t="s">
        <v>505</v>
      </c>
      <c r="AH39" s="1188"/>
      <c r="AI39" s="1303"/>
      <c r="AJ39" s="1306"/>
      <c r="AK39" s="1083"/>
    </row>
    <row r="40" spans="1:42" s="209" customFormat="1" ht="11.25"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254</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254</v>
      </c>
      <c r="B42" s="798" t="s">
        <v>255</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254</v>
      </c>
      <c r="B43" s="798" t="s">
        <v>255</v>
      </c>
      <c r="C43" s="798" t="s">
        <v>256</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2095</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2096</v>
      </c>
      <c r="AM43" s="66"/>
      <c r="AN43" s="66" t="str">
        <f t="shared" si="1"/>
        <v>Наименование централизованной системы водоотведения</v>
      </c>
      <c r="AO43" s="66"/>
      <c r="AP43" s="66"/>
    </row>
    <row r="44" spans="1:42" ht="23.25" customHeight="1">
      <c r="A44" s="798" t="s">
        <v>254</v>
      </c>
      <c r="B44" s="798" t="s">
        <v>255</v>
      </c>
      <c r="C44" s="798" t="s">
        <v>256</v>
      </c>
      <c r="D44" s="798" t="s">
        <v>2099</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254</v>
      </c>
      <c r="B45" s="798" t="s">
        <v>255</v>
      </c>
      <c r="C45" s="798" t="s">
        <v>256</v>
      </c>
      <c r="D45" s="798" t="s">
        <v>2099</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254</v>
      </c>
      <c r="B46" s="798" t="s">
        <v>255</v>
      </c>
      <c r="C46" s="798" t="s">
        <v>256</v>
      </c>
      <c r="D46" s="798" t="s">
        <v>2099</v>
      </c>
      <c r="E46" s="1286"/>
      <c r="F46" s="1286"/>
      <c r="G46" s="1286"/>
      <c r="H46" s="1286"/>
      <c r="I46" s="1288"/>
      <c r="J46" s="1288"/>
      <c r="K46" s="1287" t="str">
        <f>J45&amp;".1"</f>
        <v>...1.1.1</v>
      </c>
      <c r="L46" s="799"/>
      <c r="P46" s="1204"/>
      <c r="Q46" s="1204"/>
      <c r="R46" s="215">
        <v>1</v>
      </c>
      <c r="S46" s="730" t="str">
        <f>$K46</f>
        <v>...1.1.1</v>
      </c>
      <c r="T46" s="841"/>
      <c r="U46" s="170"/>
      <c r="V46" s="378"/>
      <c r="W46" s="378"/>
      <c r="X46" s="797"/>
      <c r="Y46" s="1283"/>
      <c r="Z46" s="1282" t="s">
        <v>59</v>
      </c>
      <c r="AA46" s="1283"/>
      <c r="AB46" s="1282" t="s">
        <v>59</v>
      </c>
      <c r="AC46" s="317"/>
      <c r="AD46" s="317"/>
      <c r="AE46" s="757"/>
      <c r="AF46" s="1289"/>
      <c r="AG46" s="1093" t="s">
        <v>59</v>
      </c>
      <c r="AH46" s="1291"/>
      <c r="AI46" s="1093" t="s">
        <v>57</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254</v>
      </c>
      <c r="B47" s="798" t="s">
        <v>255</v>
      </c>
      <c r="C47" s="798" t="s">
        <v>256</v>
      </c>
      <c r="D47" s="798" t="s">
        <v>2099</v>
      </c>
      <c r="E47" s="1286"/>
      <c r="F47" s="1286"/>
      <c r="G47" s="1286"/>
      <c r="H47" s="1286"/>
      <c r="I47" s="1288"/>
      <c r="J47" s="1288"/>
      <c r="K47" s="1287"/>
      <c r="L47" s="799"/>
      <c r="P47" s="1204"/>
      <c r="Q47" s="1204"/>
      <c r="R47" s="215"/>
      <c r="S47" s="62"/>
      <c r="T47" s="170"/>
      <c r="U47" s="170"/>
      <c r="V47" s="378"/>
      <c r="W47" s="378"/>
      <c r="X47" s="198" t="str">
        <f>Y46&amp;"-"&amp;AA46</f>
        <v>-</v>
      </c>
      <c r="Y47" s="1282"/>
      <c r="Z47" s="1282"/>
      <c r="AA47" s="1282"/>
      <c r="AB47" s="1282"/>
      <c r="AC47" s="196"/>
      <c r="AD47" s="196"/>
      <c r="AE47" s="198" t="str">
        <f>AF46&amp;"-"&amp;AH46</f>
        <v>-</v>
      </c>
      <c r="AF47" s="1290"/>
      <c r="AG47" s="1093"/>
      <c r="AH47" s="1292"/>
      <c r="AI47" s="1093"/>
      <c r="AJ47" s="398"/>
      <c r="AK47" s="1391"/>
      <c r="AM47" s="66"/>
      <c r="AN47" s="66" t="str">
        <f t="shared" si="1"/>
        <v/>
      </c>
      <c r="AO47" s="66"/>
      <c r="AP47" s="66"/>
    </row>
    <row r="48" spans="1:42" ht="21" customHeight="1">
      <c r="A48" s="798" t="s">
        <v>254</v>
      </c>
      <c r="B48" s="798" t="s">
        <v>255</v>
      </c>
      <c r="C48" s="798" t="s">
        <v>256</v>
      </c>
      <c r="D48" s="798" t="s">
        <v>2099</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254</v>
      </c>
      <c r="B49" s="798" t="s">
        <v>255</v>
      </c>
      <c r="C49" s="798" t="s">
        <v>256</v>
      </c>
      <c r="D49" s="798" t="s">
        <v>2099</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254</v>
      </c>
      <c r="B50" s="798" t="s">
        <v>255</v>
      </c>
      <c r="C50" s="798" t="s">
        <v>256</v>
      </c>
      <c r="D50" s="798" t="s">
        <v>2099</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254</v>
      </c>
      <c r="B51" s="142" t="s">
        <v>255</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254</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2100</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2101</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33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33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33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33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33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33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33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33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328328-A57D-9E28-7037-7CEC61E6A768}">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2" hidden="1" customWidth="1"/>
    <col min="13" max="14" width="12.28515625" style="522" hidden="1" customWidth="1"/>
    <col min="15" max="15" width="23.42578125" style="522" hidden="1" customWidth="1"/>
    <col min="16" max="16" width="3.7109375" style="32" customWidth="1"/>
    <col min="17" max="18" width="3.7109375" style="28" customWidth="1"/>
    <col min="19" max="19" width="12.7109375" style="353"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8"/>
      <c r="B2" s="798"/>
      <c r="C2" s="798"/>
      <c r="D2" s="798"/>
      <c r="E2" s="1285">
        <v>1</v>
      </c>
      <c r="F2" s="798"/>
      <c r="G2" s="798"/>
      <c r="H2" s="798"/>
      <c r="I2" s="798"/>
      <c r="J2" s="798"/>
      <c r="K2" s="798"/>
      <c r="L2" s="799"/>
      <c r="M2" s="435"/>
      <c r="N2" s="435"/>
      <c r="O2" s="435"/>
      <c r="Q2" s="2"/>
      <c r="R2" s="213"/>
      <c r="S2" s="730" t="e">
        <f>INDEX(PT_DIFFERENTIATION_NUM_NTAR,MATCH(A2,PT_DIFFERENTIATION_NTAR_ID,0))</f>
        <v>#N/A</v>
      </c>
      <c r="T2" s="64" t="s">
        <v>125</v>
      </c>
      <c r="U2" s="170"/>
      <c r="V2" s="1279"/>
      <c r="W2" s="1280"/>
      <c r="X2" s="1280"/>
      <c r="Y2" s="1280"/>
      <c r="Z2" s="1280"/>
      <c r="AA2" s="1280"/>
      <c r="AB2" s="1281"/>
      <c r="AC2" s="1279" t="e">
        <f>INDEX(PT_DIFFERENTIATION_NTAR,MATCH(A2,PT_DIFFERENTIATION_NTAR_ID,0))</f>
        <v>#N/A</v>
      </c>
      <c r="AD2" s="1280"/>
      <c r="AE2" s="1280"/>
      <c r="AF2" s="1280"/>
      <c r="AG2" s="1280"/>
      <c r="AH2" s="1280"/>
      <c r="AI2" s="1280"/>
      <c r="AJ2" s="1281"/>
      <c r="AK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8"/>
      <c r="B3" s="798"/>
      <c r="C3" s="798"/>
      <c r="D3" s="798"/>
      <c r="E3" s="1286"/>
      <c r="F3" s="1285">
        <v>1</v>
      </c>
      <c r="G3" s="798"/>
      <c r="H3" s="798"/>
      <c r="I3" s="798"/>
      <c r="J3" s="798"/>
      <c r="K3" s="798"/>
      <c r="L3" s="799"/>
      <c r="M3" s="435"/>
      <c r="N3" s="435"/>
      <c r="O3" s="435"/>
      <c r="P3" s="56"/>
      <c r="Q3" s="210"/>
      <c r="R3" s="211"/>
      <c r="S3" s="730" t="e">
        <f>INDEX(PT_DIFFERENTIATION_NUM_TER,MATCH(B3,PT_DIFFERENTIATION_TER_ID,0))</f>
        <v>#N/A</v>
      </c>
      <c r="T3" s="178" t="s">
        <v>458</v>
      </c>
      <c r="U3" s="170"/>
      <c r="V3" s="1279"/>
      <c r="W3" s="1280"/>
      <c r="X3" s="1280"/>
      <c r="Y3" s="1280"/>
      <c r="Z3" s="1280"/>
      <c r="AA3" s="1280"/>
      <c r="AB3" s="1281"/>
      <c r="AC3" s="1279" t="e">
        <f>INDEX(PT_DIFFERENTIATION_TER,MATCH(B3,PT_DIFFERENTIATION_TER_ID,0))</f>
        <v>#N/A</v>
      </c>
      <c r="AD3" s="1280"/>
      <c r="AE3" s="1280"/>
      <c r="AF3" s="1280"/>
      <c r="AG3" s="1280"/>
      <c r="AH3" s="1280"/>
      <c r="AI3" s="1280"/>
      <c r="AJ3" s="1281"/>
      <c r="AK3" s="758" t="s">
        <v>459</v>
      </c>
      <c r="AM3" s="66"/>
      <c r="AN3" s="66" t="str">
        <f t="shared" si="0"/>
        <v>Территория действия тарифа</v>
      </c>
      <c r="AO3" s="66"/>
      <c r="AP3" s="66"/>
    </row>
    <row r="4" spans="1:42" ht="23.25" hidden="1" customHeight="1">
      <c r="A4" s="798"/>
      <c r="B4" s="798"/>
      <c r="C4" s="798"/>
      <c r="D4" s="798"/>
      <c r="E4" s="1286"/>
      <c r="F4" s="1286"/>
      <c r="G4" s="1285">
        <v>1</v>
      </c>
      <c r="H4" s="798"/>
      <c r="I4" s="798"/>
      <c r="J4" s="798"/>
      <c r="K4" s="798"/>
      <c r="L4" s="799"/>
      <c r="M4" s="435"/>
      <c r="N4" s="435"/>
      <c r="O4" s="435"/>
      <c r="P4" s="212"/>
      <c r="Q4" s="210"/>
      <c r="R4" s="211"/>
      <c r="S4" s="730" t="e">
        <f>INDEX(PT_DIFFERENTIATION_NUM_CS,MATCH(C4,PT_DIFFERENTIATION_CS_ID,0))</f>
        <v>#N/A</v>
      </c>
      <c r="T4" s="179" t="s">
        <v>2095</v>
      </c>
      <c r="U4" s="170"/>
      <c r="V4" s="1279"/>
      <c r="W4" s="1280"/>
      <c r="X4" s="1280"/>
      <c r="Y4" s="1280"/>
      <c r="Z4" s="1280"/>
      <c r="AA4" s="1280"/>
      <c r="AB4" s="1281"/>
      <c r="AC4" s="1279" t="e">
        <f>INDEX(PT_DIFFERENTIATION_CS,MATCH(C4,PT_DIFFERENTIATION_CS_ID,0))</f>
        <v>#N/A</v>
      </c>
      <c r="AD4" s="1280"/>
      <c r="AE4" s="1280"/>
      <c r="AF4" s="1280"/>
      <c r="AG4" s="1280"/>
      <c r="AH4" s="1280"/>
      <c r="AI4" s="1280"/>
      <c r="AJ4" s="1281"/>
      <c r="AK4" s="758" t="s">
        <v>2096</v>
      </c>
      <c r="AM4" s="66"/>
      <c r="AN4" s="66" t="str">
        <f t="shared" si="0"/>
        <v>Наименование централизованной системы водоотведения</v>
      </c>
      <c r="AO4" s="66"/>
      <c r="AP4" s="66"/>
    </row>
    <row r="5" spans="1:42" ht="23.25" hidden="1" customHeight="1">
      <c r="A5" s="798"/>
      <c r="B5" s="798"/>
      <c r="C5" s="798"/>
      <c r="D5" s="798"/>
      <c r="E5" s="1286"/>
      <c r="F5" s="1286"/>
      <c r="G5" s="1286"/>
      <c r="H5" s="1286"/>
      <c r="I5" s="1287" t="e">
        <f>S4&amp;".1"</f>
        <v>#N/A</v>
      </c>
      <c r="J5" s="798"/>
      <c r="K5" s="798"/>
      <c r="L5" s="799"/>
      <c r="P5" s="1204">
        <v>1</v>
      </c>
      <c r="Q5" s="119"/>
      <c r="R5" s="214"/>
      <c r="S5" s="730" t="e">
        <f>$I5</f>
        <v>#N/A</v>
      </c>
      <c r="T5" s="163" t="s">
        <v>1675</v>
      </c>
      <c r="U5" s="170"/>
      <c r="V5" s="1385"/>
      <c r="W5" s="1386"/>
      <c r="X5" s="1386"/>
      <c r="Y5" s="1386"/>
      <c r="Z5" s="1386"/>
      <c r="AA5" s="1386"/>
      <c r="AB5" s="1387"/>
      <c r="AC5" s="1388"/>
      <c r="AD5" s="1389"/>
      <c r="AE5" s="1389"/>
      <c r="AF5" s="1389"/>
      <c r="AG5" s="1389"/>
      <c r="AH5" s="1389"/>
      <c r="AI5" s="1389"/>
      <c r="AJ5" s="1390"/>
      <c r="AK5" s="758" t="s">
        <v>1676</v>
      </c>
      <c r="AM5" s="66"/>
      <c r="AN5" s="66" t="str">
        <f t="shared" si="0"/>
        <v>Наименование признака дифференциации</v>
      </c>
      <c r="AO5" s="66"/>
      <c r="AP5" s="66"/>
    </row>
    <row r="6" spans="1:42" ht="23.25" hidden="1" customHeight="1">
      <c r="A6" s="798"/>
      <c r="B6" s="798"/>
      <c r="C6" s="798"/>
      <c r="D6" s="798"/>
      <c r="E6" s="1286"/>
      <c r="F6" s="1286"/>
      <c r="G6" s="1286"/>
      <c r="H6" s="1286"/>
      <c r="I6" s="1288"/>
      <c r="J6" s="1287" t="e">
        <f>I5&amp;".1"</f>
        <v>#N/A</v>
      </c>
      <c r="K6" s="798"/>
      <c r="L6" s="799" t="s">
        <v>467</v>
      </c>
      <c r="P6" s="1204"/>
      <c r="Q6" s="1204">
        <v>1</v>
      </c>
      <c r="R6" s="215"/>
      <c r="S6" s="730" t="e">
        <f>$J6</f>
        <v>#N/A</v>
      </c>
      <c r="T6" s="164" t="s">
        <v>468</v>
      </c>
      <c r="U6" s="170"/>
      <c r="V6" s="1273"/>
      <c r="W6" s="1274"/>
      <c r="X6" s="1274"/>
      <c r="Y6" s="1274"/>
      <c r="Z6" s="1274"/>
      <c r="AA6" s="1274"/>
      <c r="AB6" s="1275"/>
      <c r="AC6" s="1273"/>
      <c r="AD6" s="1274"/>
      <c r="AE6" s="1274"/>
      <c r="AF6" s="1274"/>
      <c r="AG6" s="1274"/>
      <c r="AH6" s="1274"/>
      <c r="AI6" s="1274"/>
      <c r="AJ6" s="1275"/>
      <c r="AK6" s="783" t="s">
        <v>1677</v>
      </c>
      <c r="AM6" s="66"/>
      <c r="AN6" s="66" t="str">
        <f t="shared" si="0"/>
        <v>Группа потребителей</v>
      </c>
      <c r="AO6" s="66"/>
      <c r="AP6" s="66"/>
    </row>
    <row r="7" spans="1:42" ht="23.25" hidden="1" customHeight="1">
      <c r="A7" s="798"/>
      <c r="B7" s="798"/>
      <c r="C7" s="798"/>
      <c r="D7" s="798"/>
      <c r="E7" s="1286"/>
      <c r="F7" s="1286"/>
      <c r="G7" s="1286"/>
      <c r="H7" s="1286"/>
      <c r="I7" s="1288"/>
      <c r="J7" s="1288"/>
      <c r="K7" s="1287" t="e">
        <f>J6&amp;".1"</f>
        <v>#N/A</v>
      </c>
      <c r="L7" s="799"/>
      <c r="P7" s="1204"/>
      <c r="Q7" s="1204"/>
      <c r="R7" s="215">
        <v>1</v>
      </c>
      <c r="S7" s="730" t="e">
        <f>$K7</f>
        <v>#N/A</v>
      </c>
      <c r="T7" s="841"/>
      <c r="U7" s="170"/>
      <c r="V7" s="317"/>
      <c r="W7" s="317"/>
      <c r="X7" s="757"/>
      <c r="Y7" s="1289"/>
      <c r="Z7" s="1093" t="s">
        <v>59</v>
      </c>
      <c r="AA7" s="1289"/>
      <c r="AB7" s="1093" t="s">
        <v>59</v>
      </c>
      <c r="AC7" s="317"/>
      <c r="AD7" s="317"/>
      <c r="AE7" s="757"/>
      <c r="AF7" s="1289"/>
      <c r="AG7" s="1093" t="s">
        <v>59</v>
      </c>
      <c r="AH7" s="1291"/>
      <c r="AI7" s="1093" t="s">
        <v>59</v>
      </c>
      <c r="AJ7" s="842"/>
      <c r="AK7"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8"/>
      <c r="B8" s="798"/>
      <c r="C8" s="798"/>
      <c r="D8" s="798"/>
      <c r="E8" s="1286"/>
      <c r="F8" s="1286"/>
      <c r="G8" s="1286"/>
      <c r="H8" s="1286"/>
      <c r="I8" s="1288"/>
      <c r="J8" s="1288"/>
      <c r="K8" s="1287"/>
      <c r="L8" s="799"/>
      <c r="P8" s="1204"/>
      <c r="Q8" s="1204"/>
      <c r="R8" s="215"/>
      <c r="S8" s="62"/>
      <c r="T8" s="170"/>
      <c r="U8" s="170"/>
      <c r="V8" s="196"/>
      <c r="W8" s="196"/>
      <c r="X8" s="198" t="str">
        <f>Y7&amp;"-"&amp;AA7</f>
        <v>-</v>
      </c>
      <c r="Y8" s="1290"/>
      <c r="Z8" s="1093"/>
      <c r="AA8" s="1290"/>
      <c r="AB8" s="1093"/>
      <c r="AC8" s="196"/>
      <c r="AD8" s="196"/>
      <c r="AE8" s="198" t="str">
        <f>AF7&amp;"-"&amp;AH7</f>
        <v>-</v>
      </c>
      <c r="AF8" s="1290"/>
      <c r="AG8" s="1093"/>
      <c r="AH8" s="1292"/>
      <c r="AI8" s="1093"/>
      <c r="AJ8" s="398"/>
      <c r="AK8" s="1391"/>
      <c r="AM8" s="66"/>
      <c r="AN8" s="66" t="str">
        <f t="shared" si="0"/>
        <v/>
      </c>
      <c r="AO8" s="66"/>
      <c r="AP8" s="66"/>
    </row>
    <row r="9" spans="1:42" ht="21" hidden="1" customHeight="1">
      <c r="A9" s="798"/>
      <c r="B9" s="798"/>
      <c r="C9" s="798"/>
      <c r="D9" s="798"/>
      <c r="E9" s="1286"/>
      <c r="F9" s="1286"/>
      <c r="G9" s="1286"/>
      <c r="H9" s="1286"/>
      <c r="I9" s="1288"/>
      <c r="J9" s="1287"/>
      <c r="K9" s="798"/>
      <c r="L9" s="799"/>
      <c r="P9" s="1204"/>
      <c r="Q9" s="1204"/>
      <c r="R9" s="214"/>
      <c r="S9" s="772"/>
      <c r="T9" s="165" t="s">
        <v>1678</v>
      </c>
      <c r="U9" s="221"/>
      <c r="V9" s="221"/>
      <c r="W9" s="221"/>
      <c r="X9" s="221"/>
      <c r="Y9" s="221"/>
      <c r="Z9" s="221"/>
      <c r="AA9" s="221"/>
      <c r="AB9" s="221"/>
      <c r="AC9" s="221"/>
      <c r="AD9" s="221"/>
      <c r="AE9" s="221"/>
      <c r="AF9" s="221"/>
      <c r="AG9" s="221"/>
      <c r="AH9" s="221"/>
      <c r="AI9" s="221"/>
      <c r="AJ9" s="221"/>
      <c r="AK9" s="758" t="s">
        <v>1679</v>
      </c>
      <c r="AM9" s="66"/>
      <c r="AN9" s="66" t="str">
        <f t="shared" si="0"/>
        <v>Добавить значение признака дифференциации</v>
      </c>
      <c r="AO9" s="66"/>
      <c r="AP9" s="66"/>
    </row>
    <row r="10" spans="1:42" ht="21" hidden="1" customHeight="1">
      <c r="A10" s="798"/>
      <c r="B10" s="798"/>
      <c r="C10" s="798"/>
      <c r="D10" s="798"/>
      <c r="E10" s="1286"/>
      <c r="F10" s="1286"/>
      <c r="G10" s="1286"/>
      <c r="H10" s="1286"/>
      <c r="I10" s="1287"/>
      <c r="J10" s="798"/>
      <c r="K10" s="798"/>
      <c r="L10" s="799"/>
      <c r="P10" s="1204"/>
      <c r="Q10" s="119"/>
      <c r="R10" s="214"/>
      <c r="S10" s="772"/>
      <c r="T10" s="219" t="s">
        <v>473</v>
      </c>
      <c r="U10" s="221"/>
      <c r="V10" s="221"/>
      <c r="W10" s="221"/>
      <c r="X10" s="221"/>
      <c r="Y10" s="221"/>
      <c r="Z10" s="221"/>
      <c r="AA10" s="221"/>
      <c r="AB10" s="197"/>
      <c r="AC10" s="221"/>
      <c r="AD10" s="221"/>
      <c r="AE10" s="221"/>
      <c r="AF10" s="221"/>
      <c r="AG10" s="221"/>
      <c r="AH10" s="221"/>
      <c r="AI10" s="197"/>
      <c r="AJ10" s="221"/>
      <c r="AK10" s="843"/>
      <c r="AM10" s="66"/>
      <c r="AN10" s="66" t="str">
        <f t="shared" si="0"/>
        <v>Добавить группу потребителей</v>
      </c>
      <c r="AO10" s="66"/>
      <c r="AP10" s="66"/>
    </row>
    <row r="11" spans="1:42" ht="21" hidden="1" customHeight="1">
      <c r="A11" s="798"/>
      <c r="B11" s="798"/>
      <c r="C11" s="798"/>
      <c r="D11" s="798"/>
      <c r="E11" s="1286"/>
      <c r="F11" s="1286"/>
      <c r="G11" s="1286"/>
      <c r="H11" s="1285"/>
      <c r="I11" s="798"/>
      <c r="J11" s="798"/>
      <c r="K11" s="798"/>
      <c r="L11" s="799"/>
      <c r="M11" s="435"/>
      <c r="N11" s="435"/>
      <c r="O11" s="60"/>
      <c r="P11" s="2"/>
      <c r="Q11" s="224"/>
      <c r="R11" s="213"/>
      <c r="S11" s="772"/>
      <c r="T11" s="104" t="s">
        <v>1680</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86"/>
      <c r="F12" s="1285"/>
      <c r="G12" s="142"/>
      <c r="H12" s="142"/>
      <c r="I12" s="142"/>
      <c r="J12" s="142"/>
      <c r="K12" s="142"/>
      <c r="L12" s="357"/>
      <c r="M12" s="789"/>
      <c r="N12" s="789"/>
      <c r="P12" s="101"/>
      <c r="Q12" s="785"/>
      <c r="R12" s="101"/>
      <c r="S12" s="790"/>
      <c r="T12" s="792" t="s">
        <v>432</v>
      </c>
      <c r="U12" s="324"/>
      <c r="V12" s="324"/>
      <c r="W12" s="324"/>
      <c r="X12" s="324"/>
      <c r="Y12" s="324"/>
      <c r="Z12" s="324"/>
      <c r="AA12" s="324"/>
      <c r="AB12" s="324"/>
      <c r="AC12" s="324"/>
      <c r="AD12" s="324"/>
      <c r="AE12" s="324"/>
      <c r="AF12" s="324"/>
      <c r="AG12" s="324"/>
      <c r="AH12" s="324"/>
      <c r="AI12" s="324"/>
      <c r="AJ12" s="324"/>
      <c r="AK12" s="324"/>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85"/>
      <c r="F13" s="142"/>
      <c r="G13" s="142"/>
      <c r="H13" s="142"/>
      <c r="I13" s="142"/>
      <c r="J13" s="142"/>
      <c r="K13" s="142"/>
      <c r="L13" s="357"/>
      <c r="M13" s="789"/>
      <c r="N13" s="789"/>
      <c r="P13" s="101"/>
      <c r="Q13" s="785"/>
      <c r="R13" s="101"/>
      <c r="S13" s="790"/>
      <c r="T13" s="792" t="s">
        <v>433</v>
      </c>
      <c r="U13" s="324"/>
      <c r="V13" s="324"/>
      <c r="W13" s="324"/>
      <c r="X13" s="324"/>
      <c r="Y13" s="324"/>
      <c r="Z13" s="324"/>
      <c r="AA13" s="324"/>
      <c r="AB13" s="324"/>
      <c r="AC13" s="324"/>
      <c r="AD13" s="324"/>
      <c r="AE13" s="324"/>
      <c r="AF13" s="324"/>
      <c r="AG13" s="324"/>
      <c r="AH13" s="324"/>
      <c r="AI13" s="324"/>
      <c r="AJ13" s="324"/>
      <c r="AK13" s="324"/>
      <c r="AM13" s="66"/>
      <c r="AN13" s="66" t="str">
        <f t="shared" si="0"/>
        <v>Добавить территорию для дифференциации</v>
      </c>
      <c r="AO13" s="66"/>
      <c r="AP13" s="66"/>
    </row>
    <row r="14" spans="1:42" ht="14.25" hidden="1" customHeight="1"/>
    <row r="15" spans="1:42" ht="14.25" hidden="1" customHeight="1">
      <c r="AC15" s="378"/>
      <c r="AD15" s="378"/>
      <c r="AE15" s="797"/>
      <c r="AF15" s="1283"/>
      <c r="AG15" s="1282" t="s">
        <v>59</v>
      </c>
      <c r="AH15" s="1283"/>
      <c r="AI15" s="1282" t="s">
        <v>59</v>
      </c>
    </row>
    <row r="16" spans="1:42" ht="14.25" hidden="1" customHeight="1">
      <c r="AC16" s="378"/>
      <c r="AD16" s="378"/>
      <c r="AE16" s="198" t="str">
        <f>AF15&amp;"-"&amp;AH15</f>
        <v>-</v>
      </c>
      <c r="AF16" s="1282"/>
      <c r="AG16" s="1282"/>
      <c r="AH16" s="1282"/>
      <c r="AI16" s="1282"/>
    </row>
    <row r="17" spans="1:42" ht="14.25" hidden="1" customHeight="1"/>
    <row r="18" spans="1:42" s="60" customFormat="1" ht="22.5" hidden="1" customHeight="1">
      <c r="L18" s="312"/>
      <c r="M18" s="522"/>
      <c r="N18" s="522"/>
      <c r="O18" s="800" t="s">
        <v>475</v>
      </c>
      <c r="P18" s="522"/>
      <c r="Q18" s="801"/>
      <c r="R18" s="801"/>
      <c r="S18" s="435"/>
      <c r="Y18" s="800"/>
      <c r="AA18" s="800"/>
      <c r="AF18" s="800"/>
      <c r="AH18" s="800"/>
      <c r="AL18" s="65"/>
      <c r="AM18" s="65"/>
      <c r="AN18" s="65"/>
      <c r="AO18" s="65"/>
      <c r="AP18" s="65"/>
    </row>
    <row r="19" spans="1:42" s="60" customFormat="1" ht="14.25" hidden="1" customHeight="1">
      <c r="L19" s="312"/>
      <c r="M19" s="522"/>
      <c r="N19" s="522"/>
      <c r="O19" s="522"/>
      <c r="P19" s="522"/>
      <c r="Q19" s="801"/>
      <c r="R19" s="801"/>
      <c r="S19" s="435"/>
      <c r="AL19" s="65"/>
      <c r="AM19" s="65"/>
      <c r="AN19" s="65"/>
      <c r="AO19" s="65"/>
      <c r="AP19" s="65"/>
    </row>
    <row r="20" spans="1:42" s="60" customFormat="1" ht="12" hidden="1" customHeight="1">
      <c r="L20" s="312"/>
      <c r="M20" s="522"/>
      <c r="N20" s="522"/>
      <c r="O20" s="799" t="s">
        <v>476</v>
      </c>
      <c r="P20" s="522"/>
      <c r="Q20" s="844"/>
      <c r="R20" s="844"/>
      <c r="S20" s="435"/>
      <c r="T20" s="60" t="s">
        <v>477</v>
      </c>
      <c r="Z20" s="79" t="s">
        <v>478</v>
      </c>
      <c r="AB20" s="79" t="s">
        <v>479</v>
      </c>
      <c r="AC20" s="60" t="s">
        <v>477</v>
      </c>
      <c r="AG20" s="79" t="s">
        <v>480</v>
      </c>
      <c r="AI20" s="79" t="s">
        <v>479</v>
      </c>
    </row>
    <row r="21" spans="1:42" ht="14.25" hidden="1" customHeight="1">
      <c r="O21" s="799"/>
    </row>
    <row r="22" spans="1:42" ht="14.25" hidden="1" customHeight="1">
      <c r="O22" s="799"/>
    </row>
    <row r="23" spans="1:42" ht="14.25" customHeight="1">
      <c r="Q23" s="27"/>
      <c r="R23" s="27"/>
      <c r="S23" s="769"/>
      <c r="T23" s="8"/>
      <c r="U23" s="8"/>
    </row>
    <row r="24" spans="1:42" ht="32.25" customHeight="1">
      <c r="Q24" s="27"/>
      <c r="R24" s="27"/>
      <c r="S24" s="1310"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1310"/>
      <c r="U24" s="1310"/>
      <c r="V24" s="1310"/>
      <c r="W24" s="1310"/>
      <c r="X24" s="1310"/>
      <c r="Y24" s="1310"/>
      <c r="Z24" s="1310"/>
      <c r="AA24" s="1310"/>
      <c r="AB24" s="1310"/>
      <c r="AC24" s="1310"/>
      <c r="AD24" s="1310"/>
      <c r="AE24" s="1310"/>
      <c r="AF24" s="1310"/>
      <c r="AG24" s="1310"/>
      <c r="AH24" s="1310"/>
      <c r="AI24" s="57"/>
    </row>
    <row r="25" spans="1:42" ht="14.25" customHeight="1">
      <c r="Q25" s="27"/>
      <c r="R25" s="27"/>
      <c r="S25" s="1170" t="str">
        <f>IF(org=0,"Не определено",org)</f>
        <v>ИМУП «ПОСЖИЛКОМСЕРВИС»</v>
      </c>
      <c r="T25" s="1170"/>
      <c r="U25" s="1170"/>
      <c r="V25" s="1170"/>
      <c r="W25" s="1170"/>
      <c r="X25" s="1170"/>
      <c r="Y25" s="1170"/>
      <c r="Z25" s="1170"/>
      <c r="AA25" s="1170"/>
      <c r="AB25" s="1170"/>
      <c r="AC25" s="1170"/>
      <c r="AD25" s="1170"/>
      <c r="AE25" s="1170"/>
      <c r="AF25" s="1170"/>
      <c r="AG25" s="1170"/>
      <c r="AH25" s="1170"/>
      <c r="AI25" s="57"/>
    </row>
    <row r="26" spans="1:42" ht="14.25" hidden="1" customHeight="1">
      <c r="Q26" s="27"/>
      <c r="R26" s="27"/>
      <c r="S26" s="769"/>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9"/>
      <c r="M27" s="79"/>
      <c r="N27" s="79"/>
      <c r="O27" s="79"/>
      <c r="S27" s="1276" t="s">
        <v>40</v>
      </c>
      <c r="T27" s="1276"/>
      <c r="U27" s="802"/>
      <c r="V27" s="1278" t="str">
        <f>IF(TITLE_NAME_OR_PR_CHANGE="",IF(TITLE_NAME_OR_PR="","",TITLE_NAME_OR_PR),TITLE_NAME_OR_PR_CHANGE)</f>
        <v/>
      </c>
      <c r="W27" s="1278"/>
      <c r="X27" s="1278"/>
      <c r="Y27" s="1278"/>
      <c r="Z27" s="1278"/>
      <c r="AA27" s="1278"/>
      <c r="AB27" s="9"/>
      <c r="AC27" s="1278" t="str">
        <f>IF(TITLE_NAME_OR_PR_CHANGE="",IF(TITLE_NAME_OR_PR="","",TITLE_NAME_OR_PR),TITLE_NAME_OR_PR_CHANGE)</f>
        <v/>
      </c>
      <c r="AD27" s="1278"/>
      <c r="AE27" s="1278"/>
      <c r="AF27" s="1278"/>
      <c r="AG27" s="1278"/>
      <c r="AH27" s="1278"/>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9"/>
      <c r="M28" s="79"/>
      <c r="N28" s="79"/>
      <c r="O28" s="79"/>
      <c r="S28" s="1276" t="s">
        <v>481</v>
      </c>
      <c r="T28" s="1276"/>
      <c r="U28" s="802"/>
      <c r="V28" s="1277" t="str">
        <f>IF(TITLE_DATE_CHANGE_PERIOD="",IF(TITLE_DATE_PR="","",TITLE_DATE_PR),TITLE_DATE_CHANGE_PERIOD)</f>
        <v/>
      </c>
      <c r="W28" s="1277"/>
      <c r="X28" s="1277"/>
      <c r="Y28" s="1277"/>
      <c r="Z28" s="1277"/>
      <c r="AA28" s="1277"/>
      <c r="AB28" s="9"/>
      <c r="AC28" s="1277" t="str">
        <f>IF(TITLE_DATE_CHANGE_PERIOD="",IF(TITLE_DATE_PR="","",TITLE_DATE_PR),TITLE_DATE_CHANGE_PERIOD)</f>
        <v/>
      </c>
      <c r="AD28" s="1277"/>
      <c r="AE28" s="1277"/>
      <c r="AF28" s="1277"/>
      <c r="AG28" s="1277"/>
      <c r="AH28" s="1277"/>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9"/>
      <c r="M29" s="79"/>
      <c r="N29" s="79"/>
      <c r="O29" s="79"/>
      <c r="S29" s="1276" t="s">
        <v>482</v>
      </c>
      <c r="T29" s="1276"/>
      <c r="U29" s="802"/>
      <c r="V29" s="1278" t="str">
        <f>IF(TITLE_NUMBER_PR_CHANGE="",IF(TITLE_NUMBER_PR="","",TITLE_NUMBER_PR),TITLE_NUMBER_PR_CHANGE)</f>
        <v/>
      </c>
      <c r="W29" s="1278"/>
      <c r="X29" s="1278"/>
      <c r="Y29" s="1278"/>
      <c r="Z29" s="1278"/>
      <c r="AA29" s="1278"/>
      <c r="AB29" s="9"/>
      <c r="AC29" s="1278" t="str">
        <f>IF(TITLE_NUMBER_PR_CHANGE="",IF(TITLE_NUMBER_PR="","",TITLE_NUMBER_PR),TITLE_NUMBER_PR_CHANGE)</f>
        <v/>
      </c>
      <c r="AD29" s="1278"/>
      <c r="AE29" s="1278"/>
      <c r="AF29" s="1278"/>
      <c r="AG29" s="1278"/>
      <c r="AH29" s="1278"/>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9"/>
      <c r="M30" s="79"/>
      <c r="N30" s="79"/>
      <c r="O30" s="79"/>
      <c r="S30" s="1276" t="s">
        <v>41</v>
      </c>
      <c r="T30" s="1276"/>
      <c r="U30" s="802"/>
      <c r="V30" s="1278" t="str">
        <f>IF(TITLE_IST_PUB_CHANGE="",IF(TITLE_IST_PUB="","",TITLE_IST_PUB),TITLE_IST_PUB_CHANGE)</f>
        <v/>
      </c>
      <c r="W30" s="1278"/>
      <c r="X30" s="1278"/>
      <c r="Y30" s="1278"/>
      <c r="Z30" s="1278"/>
      <c r="AA30" s="1278"/>
      <c r="AB30" s="9"/>
      <c r="AC30" s="1278" t="str">
        <f>IF(TITLE_IST_PUB_CHANGE="",IF(TITLE_IST_PUB="","",TITLE_IST_PUB),TITLE_IST_PUB_CHANGE)</f>
        <v/>
      </c>
      <c r="AD30" s="1278"/>
      <c r="AE30" s="1278"/>
      <c r="AF30" s="1278"/>
      <c r="AG30" s="1278"/>
      <c r="AH30" s="1278"/>
      <c r="AI30" s="9"/>
      <c r="AJ30" s="9"/>
      <c r="AK30" s="162"/>
      <c r="AL30" s="66"/>
      <c r="AM30" s="66"/>
      <c r="AN30" s="66"/>
      <c r="AO30" s="66"/>
      <c r="AP30" s="66"/>
    </row>
    <row r="31" spans="1:42" ht="14.25" hidden="1" customHeight="1">
      <c r="Q31" s="27"/>
      <c r="R31" s="27"/>
      <c r="S31" s="769"/>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9"/>
      <c r="M32" s="79"/>
      <c r="N32" s="79"/>
      <c r="O32" s="79"/>
      <c r="S32" s="1276" t="s">
        <v>483</v>
      </c>
      <c r="T32" s="1276"/>
      <c r="U32" s="802"/>
      <c r="V32" s="1277" t="str">
        <f>IF(TITLE_DATE_CHANGE_PERIOD="",IF(TITLE_DATE_PR="","",TITLE_DATE_PR),TITLE_DATE_CHANGE_PERIOD)</f>
        <v/>
      </c>
      <c r="W32" s="1277"/>
      <c r="X32" s="1277"/>
      <c r="Y32" s="1277"/>
      <c r="Z32" s="1277"/>
      <c r="AA32" s="1277"/>
      <c r="AB32" s="9"/>
      <c r="AC32" s="1277" t="str">
        <f>IF(TITLE_DATE_CHANGE_PERIOD="",IF(TITLE_DATE_PR="","",TITLE_DATE_PR),TITLE_DATE_CHANGE_PERIOD)</f>
        <v/>
      </c>
      <c r="AD32" s="1277"/>
      <c r="AE32" s="1277"/>
      <c r="AF32" s="1277"/>
      <c r="AG32" s="1277"/>
      <c r="AH32" s="1277"/>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9"/>
      <c r="M33" s="79"/>
      <c r="N33" s="79"/>
      <c r="O33" s="79"/>
      <c r="S33" s="1276" t="s">
        <v>484</v>
      </c>
      <c r="T33" s="1276"/>
      <c r="U33" s="802"/>
      <c r="V33" s="1278" t="str">
        <f>IF(TITLE_NUMBER_PR_CHANGE="",IF(TITLE_NUMBER_PR="","",TITLE_NUMBER_PR),TITLE_NUMBER_PR_CHANGE)</f>
        <v/>
      </c>
      <c r="W33" s="1278"/>
      <c r="X33" s="1278"/>
      <c r="Y33" s="1278"/>
      <c r="Z33" s="1278"/>
      <c r="AA33" s="1278"/>
      <c r="AB33" s="9"/>
      <c r="AC33" s="1278" t="str">
        <f>IF(TITLE_NUMBER_PR_CHANGE="",IF(TITLE_NUMBER_PR="","",TITLE_NUMBER_PR),TITLE_NUMBER_PR_CHANGE)</f>
        <v/>
      </c>
      <c r="AD33" s="1278"/>
      <c r="AE33" s="1278"/>
      <c r="AF33" s="1278"/>
      <c r="AG33" s="1278"/>
      <c r="AH33" s="1278"/>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9"/>
      <c r="M34" s="79"/>
      <c r="N34" s="79"/>
      <c r="O34" s="79"/>
      <c r="S34" s="9"/>
      <c r="T34" s="9"/>
      <c r="U34" s="75"/>
      <c r="V34" s="9"/>
      <c r="W34" s="9"/>
      <c r="X34" s="9"/>
      <c r="Y34" s="9"/>
      <c r="Z34" s="9"/>
      <c r="AA34" s="9"/>
      <c r="AB34" s="65" t="s">
        <v>485</v>
      </c>
      <c r="AC34" s="9"/>
      <c r="AD34" s="9"/>
      <c r="AE34" s="9"/>
      <c r="AF34" s="9"/>
      <c r="AG34" s="9"/>
      <c r="AH34" s="9"/>
      <c r="AI34" s="65" t="s">
        <v>485</v>
      </c>
      <c r="AL34" s="66"/>
      <c r="AM34" s="66"/>
      <c r="AN34" s="66"/>
      <c r="AO34" s="66"/>
      <c r="AP34" s="66"/>
    </row>
    <row r="35" spans="1:42" ht="14.25" customHeight="1">
      <c r="Q35" s="27"/>
      <c r="R35" s="27"/>
      <c r="S35" s="769"/>
      <c r="T35" s="8"/>
      <c r="U35" s="741"/>
      <c r="V35" s="1296"/>
      <c r="W35" s="1296"/>
      <c r="X35" s="1296"/>
      <c r="Y35" s="1296"/>
      <c r="Z35" s="1296"/>
      <c r="AA35" s="1296"/>
      <c r="AB35" s="1296"/>
      <c r="AC35" s="1296"/>
      <c r="AD35" s="1296"/>
      <c r="AE35" s="1296"/>
      <c r="AF35" s="1296"/>
      <c r="AG35" s="1296"/>
      <c r="AH35" s="1296"/>
      <c r="AI35" s="1296"/>
    </row>
    <row r="36" spans="1:42" ht="14.25" customHeight="1">
      <c r="Q36" s="27"/>
      <c r="R36" s="27"/>
      <c r="S36" s="1083" t="s">
        <v>288</v>
      </c>
      <c r="T36" s="1083"/>
      <c r="U36" s="1083"/>
      <c r="V36" s="1083"/>
      <c r="W36" s="1083"/>
      <c r="X36" s="1083"/>
      <c r="Y36" s="1083"/>
      <c r="Z36" s="1083"/>
      <c r="AA36" s="1083"/>
      <c r="AB36" s="1083"/>
      <c r="AC36" s="1083"/>
      <c r="AD36" s="1083"/>
      <c r="AE36" s="1083"/>
      <c r="AF36" s="1083"/>
      <c r="AG36" s="1083"/>
      <c r="AH36" s="1083"/>
      <c r="AI36" s="1083"/>
      <c r="AJ36" s="1083"/>
      <c r="AK36" s="1083" t="s">
        <v>289</v>
      </c>
    </row>
    <row r="37" spans="1:42" ht="14.25" customHeight="1">
      <c r="Q37" s="27"/>
      <c r="R37" s="27"/>
      <c r="S37" s="1297" t="s">
        <v>88</v>
      </c>
      <c r="T37" s="1168" t="s">
        <v>486</v>
      </c>
      <c r="U37" s="171"/>
      <c r="V37" s="1298" t="s">
        <v>487</v>
      </c>
      <c r="W37" s="1299"/>
      <c r="X37" s="1299"/>
      <c r="Y37" s="1299"/>
      <c r="Z37" s="1299"/>
      <c r="AA37" s="1300"/>
      <c r="AB37" s="1301" t="s">
        <v>488</v>
      </c>
      <c r="AC37" s="1298" t="s">
        <v>487</v>
      </c>
      <c r="AD37" s="1299"/>
      <c r="AE37" s="1299"/>
      <c r="AF37" s="1299"/>
      <c r="AG37" s="1299"/>
      <c r="AH37" s="1300"/>
      <c r="AI37" s="1301" t="s">
        <v>489</v>
      </c>
      <c r="AJ37" s="1304" t="s">
        <v>490</v>
      </c>
      <c r="AK37" s="1083"/>
    </row>
    <row r="38" spans="1:42" ht="33.75" customHeight="1">
      <c r="Q38" s="27"/>
      <c r="R38" s="27"/>
      <c r="S38" s="1297"/>
      <c r="T38" s="1168"/>
      <c r="U38" s="626"/>
      <c r="V38" s="351" t="s">
        <v>1681</v>
      </c>
      <c r="W38" s="1065" t="s">
        <v>493</v>
      </c>
      <c r="X38" s="1064"/>
      <c r="Y38" s="1065" t="s">
        <v>494</v>
      </c>
      <c r="Z38" s="1070"/>
      <c r="AA38" s="1064"/>
      <c r="AB38" s="1302"/>
      <c r="AC38" s="351" t="s">
        <v>1681</v>
      </c>
      <c r="AD38" s="1065" t="s">
        <v>493</v>
      </c>
      <c r="AE38" s="1064"/>
      <c r="AF38" s="1065" t="s">
        <v>494</v>
      </c>
      <c r="AG38" s="1070"/>
      <c r="AH38" s="1064"/>
      <c r="AI38" s="1302"/>
      <c r="AJ38" s="1305"/>
      <c r="AK38" s="1083"/>
    </row>
    <row r="39" spans="1:42" ht="86.25" customHeight="1">
      <c r="A39" s="79"/>
      <c r="B39" s="79" t="s">
        <v>137</v>
      </c>
      <c r="C39" s="79" t="s">
        <v>138</v>
      </c>
      <c r="D39" s="79" t="s">
        <v>139</v>
      </c>
      <c r="E39" s="799" t="s">
        <v>495</v>
      </c>
      <c r="F39" s="799" t="s">
        <v>496</v>
      </c>
      <c r="G39" s="799" t="s">
        <v>497</v>
      </c>
      <c r="H39" s="799"/>
      <c r="I39" s="799" t="s">
        <v>1682</v>
      </c>
      <c r="J39" s="799" t="s">
        <v>500</v>
      </c>
      <c r="K39" s="799" t="s">
        <v>1683</v>
      </c>
      <c r="L39" s="799" t="s">
        <v>476</v>
      </c>
      <c r="Q39" s="27"/>
      <c r="R39" s="27"/>
      <c r="S39" s="1297"/>
      <c r="T39" s="1168"/>
      <c r="U39" s="172"/>
      <c r="V39" s="351" t="s">
        <v>2097</v>
      </c>
      <c r="W39" s="37" t="s">
        <v>2098</v>
      </c>
      <c r="X39" s="37" t="s">
        <v>1686</v>
      </c>
      <c r="Y39" s="37" t="s">
        <v>504</v>
      </c>
      <c r="Z39" s="1174" t="s">
        <v>505</v>
      </c>
      <c r="AA39" s="1188"/>
      <c r="AB39" s="1303"/>
      <c r="AC39" s="351" t="s">
        <v>2097</v>
      </c>
      <c r="AD39" s="37" t="s">
        <v>2098</v>
      </c>
      <c r="AE39" s="37" t="s">
        <v>1686</v>
      </c>
      <c r="AF39" s="37" t="s">
        <v>504</v>
      </c>
      <c r="AG39" s="1174" t="s">
        <v>505</v>
      </c>
      <c r="AH39" s="1188"/>
      <c r="AI39" s="1303"/>
      <c r="AJ39" s="1306"/>
      <c r="AK39" s="1083"/>
    </row>
    <row r="40" spans="1:42" s="209" customFormat="1" ht="0" hidden="1" customHeight="1">
      <c r="A40" s="79"/>
      <c r="B40" s="79"/>
      <c r="C40" s="79"/>
      <c r="D40" s="79"/>
      <c r="E40" s="79"/>
      <c r="F40" s="79"/>
      <c r="G40" s="79"/>
      <c r="H40" s="79"/>
      <c r="I40" s="79"/>
      <c r="J40" s="79"/>
      <c r="K40" s="79"/>
      <c r="L40" s="799"/>
      <c r="M40" s="522"/>
      <c r="N40" s="522"/>
      <c r="O40" s="522"/>
      <c r="P40" s="743"/>
      <c r="Q40" s="744"/>
      <c r="R40" s="752">
        <v>1</v>
      </c>
      <c r="S40" s="771" t="s">
        <v>110</v>
      </c>
      <c r="T40" s="753" t="s">
        <v>111</v>
      </c>
      <c r="U40" s="742" t="str">
        <f ca="1">OFFSET(U40,0,-1)</f>
        <v>2</v>
      </c>
      <c r="V40" s="754">
        <f ca="1">OFFSET(V40,0,-1)+1</f>
        <v>3</v>
      </c>
      <c r="W40" s="754">
        <f ca="1">OFFSET(W40,0,-1)+1</f>
        <v>4</v>
      </c>
      <c r="X40" s="754">
        <f ca="1">OFFSET(X40,0,-1)+1</f>
        <v>5</v>
      </c>
      <c r="Y40" s="754">
        <f ca="1">OFFSET(Y40,0,-1)+1</f>
        <v>6</v>
      </c>
      <c r="Z40" s="1295">
        <f ca="1">OFFSET(Z40,0,-1)+1</f>
        <v>7</v>
      </c>
      <c r="AA40" s="1295"/>
      <c r="AB40" s="754">
        <f ca="1">OFFSET(AB40,0,-2)+1</f>
        <v>8</v>
      </c>
      <c r="AC40" s="754">
        <f ca="1">OFFSET(AC40,0,-1)+1</f>
        <v>9</v>
      </c>
      <c r="AD40" s="754">
        <f ca="1">OFFSET(AD40,0,-1)+1</f>
        <v>10</v>
      </c>
      <c r="AE40" s="754">
        <f ca="1">OFFSET(AE40,0,-1)+1</f>
        <v>11</v>
      </c>
      <c r="AF40" s="754">
        <f ca="1">OFFSET(AF40,0,-1)+1</f>
        <v>12</v>
      </c>
      <c r="AG40" s="1295">
        <f ca="1">OFFSET(AG40,0,-1)+1</f>
        <v>13</v>
      </c>
      <c r="AH40" s="1295"/>
      <c r="AI40" s="754">
        <f ca="1">OFFSET(AI40,0,-2)+1</f>
        <v>14</v>
      </c>
      <c r="AJ40" s="742">
        <f ca="1">OFFSET(AJ40,0,-1)</f>
        <v>14</v>
      </c>
      <c r="AK40" s="754">
        <f ca="1">OFFSET(AK40,0,-1)+1</f>
        <v>15</v>
      </c>
      <c r="AL40" s="65"/>
      <c r="AM40" s="65"/>
      <c r="AN40" s="65"/>
      <c r="AO40" s="65"/>
      <c r="AP40" s="65"/>
    </row>
    <row r="41" spans="1:42" ht="23.25" customHeight="1">
      <c r="A41" s="798" t="s">
        <v>259</v>
      </c>
      <c r="B41" s="798"/>
      <c r="C41" s="798"/>
      <c r="D41" s="798"/>
      <c r="E41" s="1285">
        <v>1</v>
      </c>
      <c r="F41" s="798"/>
      <c r="G41" s="798"/>
      <c r="H41" s="798"/>
      <c r="I41" s="798"/>
      <c r="J41" s="798"/>
      <c r="K41" s="798"/>
      <c r="L41" s="799"/>
      <c r="M41" s="435"/>
      <c r="N41" s="435"/>
      <c r="O41" s="435"/>
      <c r="Q41" s="2"/>
      <c r="R41" s="213"/>
      <c r="S41" s="730">
        <f>INDEX(PT_DIFFERENTIATION_NUM_NTAR,MATCH(A41,PT_DIFFERENTIATION_NTAR_ID,0))</f>
        <v>0</v>
      </c>
      <c r="T41" s="64" t="s">
        <v>125</v>
      </c>
      <c r="U41" s="170"/>
      <c r="V41" s="1279"/>
      <c r="W41" s="1280"/>
      <c r="X41" s="1280"/>
      <c r="Y41" s="1280"/>
      <c r="Z41" s="1280"/>
      <c r="AA41" s="1280"/>
      <c r="AB41" s="1281"/>
      <c r="AC41" s="1279" t="str">
        <f>INDEX(PT_DIFFERENTIATION_NTAR,MATCH(A41,PT_DIFFERENTIATION_NTAR_ID,0))</f>
        <v/>
      </c>
      <c r="AD41" s="1280"/>
      <c r="AE41" s="1280"/>
      <c r="AF41" s="1280"/>
      <c r="AG41" s="1280"/>
      <c r="AH41" s="1280"/>
      <c r="AI41" s="1280"/>
      <c r="AJ41" s="1281"/>
      <c r="AK41"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8" t="s">
        <v>259</v>
      </c>
      <c r="B42" s="798" t="s">
        <v>260</v>
      </c>
      <c r="C42" s="798"/>
      <c r="D42" s="798"/>
      <c r="E42" s="1286"/>
      <c r="F42" s="1285">
        <v>1</v>
      </c>
      <c r="G42" s="798"/>
      <c r="H42" s="798"/>
      <c r="I42" s="798"/>
      <c r="J42" s="798"/>
      <c r="K42" s="798"/>
      <c r="L42" s="799"/>
      <c r="M42" s="435"/>
      <c r="N42" s="435"/>
      <c r="O42" s="435"/>
      <c r="P42" s="56"/>
      <c r="Q42" s="210"/>
      <c r="R42" s="211"/>
      <c r="S42" s="730" t="str">
        <f>INDEX(PT_DIFFERENTIATION_NUM_TER,MATCH(B42,PT_DIFFERENTIATION_TER_ID,0))</f>
        <v>.</v>
      </c>
      <c r="T42" s="178" t="s">
        <v>458</v>
      </c>
      <c r="U42" s="170"/>
      <c r="V42" s="1279"/>
      <c r="W42" s="1280"/>
      <c r="X42" s="1280"/>
      <c r="Y42" s="1280"/>
      <c r="Z42" s="1280"/>
      <c r="AA42" s="1280"/>
      <c r="AB42" s="1281"/>
      <c r="AC42" s="1279" t="str">
        <f>INDEX(PT_DIFFERENTIATION_TER,MATCH(B42,PT_DIFFERENTIATION_TER_ID,0))</f>
        <v/>
      </c>
      <c r="AD42" s="1280"/>
      <c r="AE42" s="1280"/>
      <c r="AF42" s="1280"/>
      <c r="AG42" s="1280"/>
      <c r="AH42" s="1280"/>
      <c r="AI42" s="1280"/>
      <c r="AJ42" s="1281"/>
      <c r="AK42" s="758" t="s">
        <v>459</v>
      </c>
      <c r="AM42" s="66"/>
      <c r="AN42" s="66" t="str">
        <f t="shared" si="1"/>
        <v>Территория действия тарифа</v>
      </c>
      <c r="AO42" s="66"/>
      <c r="AP42" s="66"/>
    </row>
    <row r="43" spans="1:42" ht="23.25" customHeight="1">
      <c r="A43" s="798" t="s">
        <v>259</v>
      </c>
      <c r="B43" s="798" t="s">
        <v>260</v>
      </c>
      <c r="C43" s="798" t="s">
        <v>261</v>
      </c>
      <c r="D43" s="798"/>
      <c r="E43" s="1286"/>
      <c r="F43" s="1286"/>
      <c r="G43" s="1285">
        <v>1</v>
      </c>
      <c r="H43" s="798"/>
      <c r="I43" s="798"/>
      <c r="J43" s="798"/>
      <c r="K43" s="798"/>
      <c r="L43" s="799"/>
      <c r="M43" s="435"/>
      <c r="N43" s="435"/>
      <c r="O43" s="435"/>
      <c r="P43" s="212"/>
      <c r="Q43" s="210"/>
      <c r="R43" s="211"/>
      <c r="S43" s="730" t="str">
        <f>INDEX(PT_DIFFERENTIATION_NUM_CS,MATCH(C43,PT_DIFFERENTIATION_CS_ID,0))</f>
        <v>..</v>
      </c>
      <c r="T43" s="179" t="s">
        <v>2095</v>
      </c>
      <c r="U43" s="170"/>
      <c r="V43" s="1279"/>
      <c r="W43" s="1280"/>
      <c r="X43" s="1280"/>
      <c r="Y43" s="1280"/>
      <c r="Z43" s="1280"/>
      <c r="AA43" s="1280"/>
      <c r="AB43" s="1281"/>
      <c r="AC43" s="1279" t="str">
        <f>INDEX(PT_DIFFERENTIATION_CS,MATCH(C43,PT_DIFFERENTIATION_CS_ID,0))</f>
        <v/>
      </c>
      <c r="AD43" s="1280"/>
      <c r="AE43" s="1280"/>
      <c r="AF43" s="1280"/>
      <c r="AG43" s="1280"/>
      <c r="AH43" s="1280"/>
      <c r="AI43" s="1280"/>
      <c r="AJ43" s="1281"/>
      <c r="AK43" s="758" t="s">
        <v>2096</v>
      </c>
      <c r="AM43" s="66"/>
      <c r="AN43" s="66" t="str">
        <f t="shared" si="1"/>
        <v>Наименование централизованной системы водоотведения</v>
      </c>
      <c r="AO43" s="66"/>
      <c r="AP43" s="66"/>
    </row>
    <row r="44" spans="1:42" ht="23.25" customHeight="1">
      <c r="A44" s="798" t="s">
        <v>259</v>
      </c>
      <c r="B44" s="798" t="s">
        <v>260</v>
      </c>
      <c r="C44" s="798" t="s">
        <v>261</v>
      </c>
      <c r="D44" s="798" t="s">
        <v>2102</v>
      </c>
      <c r="E44" s="1286"/>
      <c r="F44" s="1286"/>
      <c r="G44" s="1286"/>
      <c r="H44" s="1286"/>
      <c r="I44" s="1287" t="str">
        <f>S43&amp;".1"</f>
        <v>...1</v>
      </c>
      <c r="J44" s="798"/>
      <c r="K44" s="798"/>
      <c r="L44" s="799"/>
      <c r="P44" s="1204">
        <v>1</v>
      </c>
      <c r="Q44" s="119"/>
      <c r="R44" s="214"/>
      <c r="S44" s="730" t="str">
        <f>$I44</f>
        <v>...1</v>
      </c>
      <c r="T44" s="163" t="s">
        <v>1675</v>
      </c>
      <c r="U44" s="170"/>
      <c r="V44" s="1385"/>
      <c r="W44" s="1386"/>
      <c r="X44" s="1386"/>
      <c r="Y44" s="1386"/>
      <c r="Z44" s="1386"/>
      <c r="AA44" s="1386"/>
      <c r="AB44" s="1387"/>
      <c r="AC44" s="1388"/>
      <c r="AD44" s="1389"/>
      <c r="AE44" s="1389"/>
      <c r="AF44" s="1389"/>
      <c r="AG44" s="1389"/>
      <c r="AH44" s="1389"/>
      <c r="AI44" s="1389"/>
      <c r="AJ44" s="1390"/>
      <c r="AK44" s="758" t="s">
        <v>1676</v>
      </c>
      <c r="AM44" s="66"/>
      <c r="AN44" s="66" t="str">
        <f t="shared" si="1"/>
        <v>Наименование признака дифференциации</v>
      </c>
      <c r="AO44" s="66"/>
      <c r="AP44" s="66"/>
    </row>
    <row r="45" spans="1:42" ht="23.25" customHeight="1">
      <c r="A45" s="798" t="s">
        <v>259</v>
      </c>
      <c r="B45" s="798" t="s">
        <v>260</v>
      </c>
      <c r="C45" s="798" t="s">
        <v>261</v>
      </c>
      <c r="D45" s="798" t="s">
        <v>2102</v>
      </c>
      <c r="E45" s="1286"/>
      <c r="F45" s="1286"/>
      <c r="G45" s="1286"/>
      <c r="H45" s="1286"/>
      <c r="I45" s="1288"/>
      <c r="J45" s="1287" t="str">
        <f>I44&amp;".1"</f>
        <v>...1.1</v>
      </c>
      <c r="K45" s="798"/>
      <c r="L45" s="799" t="s">
        <v>467</v>
      </c>
      <c r="P45" s="1204"/>
      <c r="Q45" s="1204">
        <v>1</v>
      </c>
      <c r="R45" s="215"/>
      <c r="S45" s="730" t="str">
        <f>$J45</f>
        <v>...1.1</v>
      </c>
      <c r="T45" s="164" t="s">
        <v>468</v>
      </c>
      <c r="U45" s="170"/>
      <c r="V45" s="1273"/>
      <c r="W45" s="1274"/>
      <c r="X45" s="1274"/>
      <c r="Y45" s="1274"/>
      <c r="Z45" s="1274"/>
      <c r="AA45" s="1274"/>
      <c r="AB45" s="1275"/>
      <c r="AC45" s="1273"/>
      <c r="AD45" s="1274"/>
      <c r="AE45" s="1274"/>
      <c r="AF45" s="1274"/>
      <c r="AG45" s="1274"/>
      <c r="AH45" s="1274"/>
      <c r="AI45" s="1274"/>
      <c r="AJ45" s="1275"/>
      <c r="AK45" s="783" t="s">
        <v>1677</v>
      </c>
      <c r="AM45" s="66"/>
      <c r="AN45" s="66" t="str">
        <f t="shared" si="1"/>
        <v>Группа потребителей</v>
      </c>
      <c r="AO45" s="66"/>
      <c r="AP45" s="66"/>
    </row>
    <row r="46" spans="1:42" ht="23.25" customHeight="1">
      <c r="A46" s="798" t="s">
        <v>259</v>
      </c>
      <c r="B46" s="798" t="s">
        <v>260</v>
      </c>
      <c r="C46" s="798" t="s">
        <v>261</v>
      </c>
      <c r="D46" s="798" t="s">
        <v>2102</v>
      </c>
      <c r="E46" s="1286"/>
      <c r="F46" s="1286"/>
      <c r="G46" s="1286"/>
      <c r="H46" s="1286"/>
      <c r="I46" s="1288"/>
      <c r="J46" s="1288"/>
      <c r="K46" s="1287" t="str">
        <f>J45&amp;".1"</f>
        <v>...1.1.1</v>
      </c>
      <c r="L46" s="799"/>
      <c r="P46" s="1204"/>
      <c r="Q46" s="1204"/>
      <c r="R46" s="215">
        <v>1</v>
      </c>
      <c r="S46" s="730" t="str">
        <f>$K46</f>
        <v>...1.1.1</v>
      </c>
      <c r="T46" s="841"/>
      <c r="U46" s="170"/>
      <c r="V46" s="378"/>
      <c r="W46" s="378"/>
      <c r="X46" s="797"/>
      <c r="Y46" s="1283"/>
      <c r="Z46" s="1282" t="s">
        <v>59</v>
      </c>
      <c r="AA46" s="1283"/>
      <c r="AB46" s="1282" t="s">
        <v>59</v>
      </c>
      <c r="AC46" s="317"/>
      <c r="AD46" s="317"/>
      <c r="AE46" s="757"/>
      <c r="AF46" s="1289"/>
      <c r="AG46" s="1093" t="s">
        <v>59</v>
      </c>
      <c r="AH46" s="1291"/>
      <c r="AI46" s="1093" t="s">
        <v>57</v>
      </c>
      <c r="AJ46" s="842"/>
      <c r="AK46" s="139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8" t="s">
        <v>259</v>
      </c>
      <c r="B47" s="798" t="s">
        <v>260</v>
      </c>
      <c r="C47" s="798" t="s">
        <v>261</v>
      </c>
      <c r="D47" s="798" t="s">
        <v>2102</v>
      </c>
      <c r="E47" s="1286"/>
      <c r="F47" s="1286"/>
      <c r="G47" s="1286"/>
      <c r="H47" s="1286"/>
      <c r="I47" s="1288"/>
      <c r="J47" s="1288"/>
      <c r="K47" s="1287"/>
      <c r="L47" s="799"/>
      <c r="P47" s="1204"/>
      <c r="Q47" s="1204"/>
      <c r="R47" s="215"/>
      <c r="S47" s="62"/>
      <c r="T47" s="170"/>
      <c r="U47" s="170"/>
      <c r="V47" s="378"/>
      <c r="W47" s="378"/>
      <c r="X47" s="198" t="str">
        <f>Y46&amp;"-"&amp;AA46</f>
        <v>-</v>
      </c>
      <c r="Y47" s="1282"/>
      <c r="Z47" s="1282"/>
      <c r="AA47" s="1282"/>
      <c r="AB47" s="1282"/>
      <c r="AC47" s="196"/>
      <c r="AD47" s="196"/>
      <c r="AE47" s="198" t="str">
        <f>AF46&amp;"-"&amp;AH46</f>
        <v>-</v>
      </c>
      <c r="AF47" s="1290"/>
      <c r="AG47" s="1093"/>
      <c r="AH47" s="1292"/>
      <c r="AI47" s="1093"/>
      <c r="AJ47" s="398"/>
      <c r="AK47" s="1391"/>
      <c r="AM47" s="66"/>
      <c r="AN47" s="66" t="str">
        <f t="shared" si="1"/>
        <v/>
      </c>
      <c r="AO47" s="66"/>
      <c r="AP47" s="66"/>
    </row>
    <row r="48" spans="1:42" ht="21" customHeight="1">
      <c r="A48" s="798" t="s">
        <v>259</v>
      </c>
      <c r="B48" s="798" t="s">
        <v>260</v>
      </c>
      <c r="C48" s="798" t="s">
        <v>261</v>
      </c>
      <c r="D48" s="798" t="s">
        <v>2102</v>
      </c>
      <c r="E48" s="1286"/>
      <c r="F48" s="1286"/>
      <c r="G48" s="1286"/>
      <c r="H48" s="1286"/>
      <c r="I48" s="1288"/>
      <c r="J48" s="1287"/>
      <c r="K48" s="798"/>
      <c r="L48" s="799"/>
      <c r="P48" s="1204"/>
      <c r="Q48" s="1204"/>
      <c r="R48" s="214"/>
      <c r="S48" s="772"/>
      <c r="T48" s="165" t="s">
        <v>1678</v>
      </c>
      <c r="U48" s="221"/>
      <c r="V48" s="221"/>
      <c r="W48" s="221"/>
      <c r="X48" s="221"/>
      <c r="Y48" s="221"/>
      <c r="Z48" s="221"/>
      <c r="AA48" s="221"/>
      <c r="AB48" s="221"/>
      <c r="AC48" s="221"/>
      <c r="AD48" s="221"/>
      <c r="AE48" s="221"/>
      <c r="AF48" s="221"/>
      <c r="AG48" s="221"/>
      <c r="AH48" s="221"/>
      <c r="AI48" s="221"/>
      <c r="AJ48" s="221"/>
      <c r="AK48" s="758" t="s">
        <v>1679</v>
      </c>
      <c r="AM48" s="66"/>
      <c r="AN48" s="66" t="str">
        <f t="shared" si="1"/>
        <v>Добавить значение признака дифференциации</v>
      </c>
      <c r="AO48" s="66"/>
      <c r="AP48" s="66"/>
    </row>
    <row r="49" spans="1:42" ht="21" customHeight="1">
      <c r="A49" s="798" t="s">
        <v>259</v>
      </c>
      <c r="B49" s="798" t="s">
        <v>260</v>
      </c>
      <c r="C49" s="798" t="s">
        <v>261</v>
      </c>
      <c r="D49" s="798" t="s">
        <v>2102</v>
      </c>
      <c r="E49" s="1286"/>
      <c r="F49" s="1286"/>
      <c r="G49" s="1286"/>
      <c r="H49" s="1286"/>
      <c r="I49" s="1287"/>
      <c r="J49" s="798"/>
      <c r="K49" s="798"/>
      <c r="L49" s="799"/>
      <c r="P49" s="1204"/>
      <c r="Q49" s="119"/>
      <c r="R49" s="214"/>
      <c r="S49" s="772"/>
      <c r="T49" s="219" t="s">
        <v>473</v>
      </c>
      <c r="U49" s="221"/>
      <c r="V49" s="221"/>
      <c r="W49" s="221"/>
      <c r="X49" s="221"/>
      <c r="Y49" s="221"/>
      <c r="Z49" s="221"/>
      <c r="AA49" s="221"/>
      <c r="AB49" s="197"/>
      <c r="AC49" s="221"/>
      <c r="AD49" s="221"/>
      <c r="AE49" s="221"/>
      <c r="AF49" s="221"/>
      <c r="AG49" s="221"/>
      <c r="AH49" s="221"/>
      <c r="AI49" s="197"/>
      <c r="AJ49" s="221"/>
      <c r="AK49" s="843"/>
      <c r="AM49" s="66"/>
      <c r="AN49" s="66" t="str">
        <f t="shared" si="1"/>
        <v>Добавить группу потребителей</v>
      </c>
      <c r="AO49" s="66"/>
      <c r="AP49" s="66"/>
    </row>
    <row r="50" spans="1:42" ht="21" customHeight="1">
      <c r="A50" s="798" t="s">
        <v>259</v>
      </c>
      <c r="B50" s="798" t="s">
        <v>260</v>
      </c>
      <c r="C50" s="798" t="s">
        <v>261</v>
      </c>
      <c r="D50" s="798" t="s">
        <v>2102</v>
      </c>
      <c r="E50" s="1286"/>
      <c r="F50" s="1286"/>
      <c r="G50" s="1286"/>
      <c r="H50" s="1285"/>
      <c r="I50" s="798"/>
      <c r="J50" s="798"/>
      <c r="K50" s="798"/>
      <c r="L50" s="799"/>
      <c r="M50" s="435"/>
      <c r="N50" s="435"/>
      <c r="O50" s="60"/>
      <c r="P50" s="2"/>
      <c r="Q50" s="224"/>
      <c r="R50" s="213"/>
      <c r="S50" s="772"/>
      <c r="T50" s="104" t="s">
        <v>1680</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259</v>
      </c>
      <c r="B51" s="142" t="s">
        <v>260</v>
      </c>
      <c r="C51" s="142"/>
      <c r="D51" s="142"/>
      <c r="E51" s="1286"/>
      <c r="F51" s="1285"/>
      <c r="G51" s="142"/>
      <c r="H51" s="142"/>
      <c r="I51" s="142"/>
      <c r="J51" s="142"/>
      <c r="K51" s="142"/>
      <c r="L51" s="357"/>
      <c r="M51" s="789"/>
      <c r="N51" s="789"/>
      <c r="P51" s="101"/>
      <c r="Q51" s="785"/>
      <c r="R51" s="101"/>
      <c r="S51" s="790"/>
      <c r="T51" s="792" t="s">
        <v>432</v>
      </c>
      <c r="U51" s="324"/>
      <c r="V51" s="324"/>
      <c r="W51" s="324"/>
      <c r="X51" s="324"/>
      <c r="Y51" s="324"/>
      <c r="Z51" s="324"/>
      <c r="AA51" s="324"/>
      <c r="AB51" s="324"/>
      <c r="AC51" s="324"/>
      <c r="AD51" s="324"/>
      <c r="AE51" s="324"/>
      <c r="AF51" s="324"/>
      <c r="AG51" s="324"/>
      <c r="AH51" s="324"/>
      <c r="AI51" s="324"/>
      <c r="AJ51" s="324"/>
      <c r="AK51" s="324"/>
      <c r="AM51" s="66"/>
      <c r="AN51" s="66" t="str">
        <f t="shared" si="1"/>
        <v>Добавить централизованную систему для дифференциации</v>
      </c>
      <c r="AO51" s="66"/>
      <c r="AP51" s="66"/>
    </row>
    <row r="52" spans="1:42" s="65" customFormat="1" ht="0" hidden="1" customHeight="1">
      <c r="A52" s="142" t="s">
        <v>259</v>
      </c>
      <c r="B52" s="142"/>
      <c r="C52" s="142"/>
      <c r="D52" s="142"/>
      <c r="E52" s="1285"/>
      <c r="F52" s="142"/>
      <c r="G52" s="142"/>
      <c r="H52" s="142"/>
      <c r="I52" s="142"/>
      <c r="J52" s="142"/>
      <c r="K52" s="142"/>
      <c r="L52" s="357"/>
      <c r="M52" s="789"/>
      <c r="N52" s="789"/>
      <c r="P52" s="101"/>
      <c r="Q52" s="785"/>
      <c r="R52" s="101"/>
      <c r="S52" s="790"/>
      <c r="T52" s="792" t="s">
        <v>433</v>
      </c>
      <c r="U52" s="324"/>
      <c r="V52" s="324"/>
      <c r="W52" s="324"/>
      <c r="X52" s="324"/>
      <c r="Y52" s="324"/>
      <c r="Z52" s="324"/>
      <c r="AA52" s="324"/>
      <c r="AB52" s="324"/>
      <c r="AC52" s="324"/>
      <c r="AD52" s="324"/>
      <c r="AE52" s="324"/>
      <c r="AF52" s="324"/>
      <c r="AG52" s="324"/>
      <c r="AH52" s="324"/>
      <c r="AI52" s="324"/>
      <c r="AJ52" s="324"/>
      <c r="AK52" s="324"/>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7"/>
      <c r="M53" s="789"/>
      <c r="N53" s="789"/>
      <c r="P53" s="101"/>
      <c r="Q53" s="785"/>
      <c r="R53" s="101"/>
      <c r="S53" s="790"/>
      <c r="T53" s="792" t="s">
        <v>434</v>
      </c>
      <c r="U53" s="324"/>
      <c r="V53" s="324"/>
      <c r="W53" s="324"/>
      <c r="X53" s="324"/>
      <c r="Y53" s="324"/>
      <c r="Z53" s="324"/>
      <c r="AA53" s="324"/>
      <c r="AB53" s="324"/>
      <c r="AC53" s="324"/>
      <c r="AD53" s="324"/>
      <c r="AE53" s="324"/>
      <c r="AF53" s="324"/>
      <c r="AG53" s="324"/>
      <c r="AH53" s="324"/>
      <c r="AI53" s="324"/>
      <c r="AJ53" s="324"/>
      <c r="AK53" s="324"/>
      <c r="AM53" s="66"/>
      <c r="AN53" s="66" t="str">
        <f t="shared" si="1"/>
        <v>Добавить наименование тарифа</v>
      </c>
      <c r="AO53" s="66"/>
      <c r="AP53" s="66"/>
    </row>
    <row r="54" spans="1:42" ht="11.25" hidden="1" customHeight="1">
      <c r="M54" s="60"/>
      <c r="N54" s="60"/>
      <c r="O54" s="60"/>
      <c r="P54" s="9"/>
      <c r="Q54" s="9"/>
      <c r="R54" s="9"/>
      <c r="S54" s="9"/>
      <c r="AL54" s="9"/>
      <c r="AM54" s="9"/>
      <c r="AN54" s="9"/>
      <c r="AO54" s="9"/>
      <c r="AP54" s="9"/>
    </row>
    <row r="55" spans="1:42" ht="14.25" hidden="1" customHeight="1">
      <c r="O55" s="60"/>
      <c r="S55" s="204" t="s">
        <v>506</v>
      </c>
      <c r="T55" s="1284" t="s">
        <v>2100</v>
      </c>
      <c r="U55" s="1284"/>
      <c r="V55" s="1284"/>
      <c r="W55" s="1284"/>
      <c r="X55" s="1284"/>
      <c r="Y55" s="1284"/>
      <c r="Z55" s="1284"/>
      <c r="AA55" s="1284"/>
      <c r="AB55" s="1284"/>
      <c r="AC55" s="1284"/>
      <c r="AD55" s="1284"/>
      <c r="AE55" s="1284"/>
      <c r="AF55" s="1284"/>
      <c r="AG55" s="1284"/>
      <c r="AH55" s="1284"/>
      <c r="AI55" s="1284"/>
      <c r="AJ55" s="1284"/>
      <c r="AK55" s="1284"/>
    </row>
    <row r="56" spans="1:42" ht="14.25" hidden="1" customHeight="1">
      <c r="O56" s="60"/>
    </row>
    <row r="57" spans="1:42" ht="14.25" hidden="1" customHeight="1">
      <c r="O57" s="60"/>
      <c r="S57" s="204" t="s">
        <v>506</v>
      </c>
      <c r="T57" s="1284" t="s">
        <v>2101</v>
      </c>
      <c r="U57" s="1284"/>
      <c r="V57" s="1284"/>
      <c r="W57" s="1284"/>
      <c r="X57" s="1284"/>
      <c r="Y57" s="1284"/>
      <c r="Z57" s="1284"/>
      <c r="AA57" s="1284"/>
      <c r="AB57" s="1284"/>
      <c r="AC57" s="1284"/>
      <c r="AD57" s="1284"/>
      <c r="AE57" s="1284"/>
      <c r="AF57" s="1284"/>
      <c r="AG57" s="1284"/>
      <c r="AH57" s="1284"/>
      <c r="AI57" s="1284"/>
      <c r="AJ57" s="1284"/>
      <c r="AK57" s="1284"/>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34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34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34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34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34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34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34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34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DF4C7-9C0D-A812-3556-5EFCD52EB12E}">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2" hidden="1" customWidth="1"/>
    <col min="13" max="14" width="12.28515625" style="522" hidden="1" customWidth="1"/>
    <col min="15" max="15" width="23.42578125" style="522" hidden="1" customWidth="1"/>
    <col min="16" max="16" width="3.7109375" style="522" hidden="1" customWidth="1"/>
    <col min="17" max="17" width="3.7109375" style="801" hidden="1" customWidth="1"/>
    <col min="18" max="18" width="3.7109375" style="28" customWidth="1"/>
    <col min="19" max="19" width="12.7109375" style="353"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8"/>
      <c r="B2" s="798"/>
      <c r="C2" s="798"/>
      <c r="D2" s="798"/>
      <c r="E2" s="1285">
        <v>1</v>
      </c>
      <c r="F2" s="798"/>
      <c r="G2" s="798"/>
      <c r="H2" s="798"/>
      <c r="I2" s="798"/>
      <c r="J2" s="798"/>
      <c r="K2" s="798"/>
      <c r="L2" s="799"/>
      <c r="M2" s="435"/>
      <c r="N2" s="435"/>
      <c r="O2" s="435"/>
      <c r="Q2" s="59"/>
      <c r="R2" s="213"/>
      <c r="S2" s="730" t="e">
        <f>INDEX(PT_DIFFERENTIATION_NUM_NTAR,MATCH(A2,PT_DIFFERENTIATION_NTAR_ID,0))</f>
        <v>#N/A</v>
      </c>
      <c r="T2" s="64" t="s">
        <v>125</v>
      </c>
      <c r="U2" s="170"/>
      <c r="V2" s="1280"/>
      <c r="W2" s="1280"/>
      <c r="X2" s="1280"/>
      <c r="Y2" s="1280"/>
      <c r="Z2" s="1280"/>
      <c r="AA2" s="1280"/>
      <c r="AB2" s="1280"/>
      <c r="AC2" s="1281"/>
      <c r="AD2" s="1279" t="e">
        <f>INDEX(PT_DIFFERENTIATION_NTAR,MATCH(A2,PT_DIFFERENTIATION_NTAR_ID,0))</f>
        <v>#N/A</v>
      </c>
      <c r="AE2" s="1280"/>
      <c r="AF2" s="1280"/>
      <c r="AG2" s="1280"/>
      <c r="AH2" s="1280"/>
      <c r="AI2" s="1280"/>
      <c r="AJ2" s="1280"/>
      <c r="AK2" s="1280"/>
      <c r="AL2" s="1280"/>
      <c r="AM2" s="1280"/>
      <c r="AN2" s="1280"/>
      <c r="AO2" s="1280"/>
      <c r="AP2" s="1280"/>
      <c r="AQ2" s="1280"/>
      <c r="AR2" s="1280"/>
      <c r="AS2" s="1280"/>
      <c r="AT2" s="1280"/>
      <c r="AU2" s="1280"/>
      <c r="AV2" s="1280"/>
      <c r="AW2" s="1280"/>
      <c r="AX2" s="1280"/>
      <c r="AY2" s="1280"/>
      <c r="AZ2" s="1280"/>
      <c r="BA2" s="1280"/>
      <c r="BB2" s="1281"/>
      <c r="BC2"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8"/>
      <c r="B3" s="798"/>
      <c r="C3" s="798"/>
      <c r="D3" s="798"/>
      <c r="E3" s="1286"/>
      <c r="F3" s="1285">
        <v>1</v>
      </c>
      <c r="G3" s="798"/>
      <c r="H3" s="798"/>
      <c r="I3" s="798"/>
      <c r="J3" s="798"/>
      <c r="K3" s="798"/>
      <c r="L3" s="799"/>
      <c r="M3" s="435"/>
      <c r="N3" s="435"/>
      <c r="O3" s="435"/>
      <c r="P3" s="312"/>
      <c r="Q3" s="831"/>
      <c r="R3" s="211"/>
      <c r="S3" s="730" t="e">
        <f>INDEX(PT_DIFFERENTIATION_NUM_TER,MATCH(B3,PT_DIFFERENTIATION_TER_ID,0))</f>
        <v>#N/A</v>
      </c>
      <c r="T3" s="178" t="s">
        <v>458</v>
      </c>
      <c r="U3" s="170"/>
      <c r="V3" s="1280"/>
      <c r="W3" s="1280"/>
      <c r="X3" s="1280"/>
      <c r="Y3" s="1280"/>
      <c r="Z3" s="1280"/>
      <c r="AA3" s="1280"/>
      <c r="AB3" s="1280"/>
      <c r="AC3" s="1281"/>
      <c r="AD3" s="1279" t="e">
        <f>INDEX(PT_DIFFERENTIATION_TER,MATCH(B3,PT_DIFFERENTIATION_TER_ID,0))</f>
        <v>#N/A</v>
      </c>
      <c r="AE3" s="1280"/>
      <c r="AF3" s="1280"/>
      <c r="AG3" s="1280"/>
      <c r="AH3" s="1280"/>
      <c r="AI3" s="1280"/>
      <c r="AJ3" s="1280"/>
      <c r="AK3" s="1280"/>
      <c r="AL3" s="1280"/>
      <c r="AM3" s="1280"/>
      <c r="AN3" s="1280"/>
      <c r="AO3" s="1280"/>
      <c r="AP3" s="1280"/>
      <c r="AQ3" s="1280"/>
      <c r="AR3" s="1280"/>
      <c r="AS3" s="1280"/>
      <c r="AT3" s="1280"/>
      <c r="AU3" s="1280"/>
      <c r="AV3" s="1280"/>
      <c r="AW3" s="1280"/>
      <c r="AX3" s="1280"/>
      <c r="AY3" s="1280"/>
      <c r="AZ3" s="1280"/>
      <c r="BA3" s="1280"/>
      <c r="BB3" s="1281"/>
      <c r="BC3" s="758" t="s">
        <v>459</v>
      </c>
      <c r="BE3" s="66"/>
      <c r="BF3" s="66" t="str">
        <f t="shared" si="0"/>
        <v>Территория действия тарифа</v>
      </c>
      <c r="BG3" s="66"/>
      <c r="BH3" s="66"/>
    </row>
    <row r="4" spans="1:60" ht="33.75" hidden="1" customHeight="1">
      <c r="A4" s="798"/>
      <c r="B4" s="798"/>
      <c r="C4" s="798"/>
      <c r="D4" s="798"/>
      <c r="E4" s="1286"/>
      <c r="F4" s="1286"/>
      <c r="G4" s="1285">
        <v>1</v>
      </c>
      <c r="H4" s="798"/>
      <c r="I4" s="798"/>
      <c r="J4" s="798"/>
      <c r="K4" s="798"/>
      <c r="L4" s="799"/>
      <c r="M4" s="435"/>
      <c r="N4" s="435"/>
      <c r="O4" s="435"/>
      <c r="P4" s="128"/>
      <c r="Q4" s="831"/>
      <c r="R4" s="211"/>
      <c r="S4" s="730" t="e">
        <f>INDEX(PT_DIFFERENTIATION_NUM_CS,MATCH(C4,PT_DIFFERENTIATION_CS_ID,0))</f>
        <v>#N/A</v>
      </c>
      <c r="T4" s="179" t="s">
        <v>2095</v>
      </c>
      <c r="U4" s="170"/>
      <c r="V4" s="1280"/>
      <c r="W4" s="1280"/>
      <c r="X4" s="1280"/>
      <c r="Y4" s="1280"/>
      <c r="Z4" s="1280"/>
      <c r="AA4" s="1280"/>
      <c r="AB4" s="1280"/>
      <c r="AC4" s="1281"/>
      <c r="AD4" s="1279" t="e">
        <f>INDEX(PT_DIFFERENTIATION_CS,MATCH(C4,PT_DIFFERENTIATION_CS_ID,0))</f>
        <v>#N/A</v>
      </c>
      <c r="AE4" s="1280"/>
      <c r="AF4" s="1280"/>
      <c r="AG4" s="1280"/>
      <c r="AH4" s="1280"/>
      <c r="AI4" s="1280"/>
      <c r="AJ4" s="1280"/>
      <c r="AK4" s="1280"/>
      <c r="AL4" s="1280"/>
      <c r="AM4" s="1280"/>
      <c r="AN4" s="1280"/>
      <c r="AO4" s="1280"/>
      <c r="AP4" s="1280"/>
      <c r="AQ4" s="1280"/>
      <c r="AR4" s="1280"/>
      <c r="AS4" s="1280"/>
      <c r="AT4" s="1280"/>
      <c r="AU4" s="1280"/>
      <c r="AV4" s="1280"/>
      <c r="AW4" s="1280"/>
      <c r="AX4" s="1280"/>
      <c r="AY4" s="1280"/>
      <c r="AZ4" s="1280"/>
      <c r="BA4" s="1280"/>
      <c r="BB4" s="1281"/>
      <c r="BC4" s="758" t="s">
        <v>2096</v>
      </c>
      <c r="BE4" s="66"/>
      <c r="BF4" s="66" t="str">
        <f t="shared" si="0"/>
        <v>Наименование централизованной системы водоотведения</v>
      </c>
      <c r="BG4" s="66"/>
      <c r="BH4" s="66"/>
    </row>
    <row r="5" spans="1:60" s="65" customFormat="1" ht="14.25" hidden="1" customHeight="1">
      <c r="A5" s="142"/>
      <c r="B5" s="142"/>
      <c r="C5" s="142"/>
      <c r="D5" s="142"/>
      <c r="E5" s="1286"/>
      <c r="F5" s="1286"/>
      <c r="G5" s="1286"/>
      <c r="H5" s="1285">
        <v>1</v>
      </c>
      <c r="I5" s="142"/>
      <c r="J5" s="142"/>
      <c r="K5" s="142"/>
      <c r="L5" s="357"/>
      <c r="M5" s="304"/>
      <c r="N5" s="304"/>
      <c r="O5" s="304"/>
      <c r="P5" s="849"/>
      <c r="Q5" s="850"/>
      <c r="R5" s="215"/>
      <c r="S5" s="373"/>
      <c r="T5" s="851"/>
      <c r="U5" s="809"/>
      <c r="V5" s="1315"/>
      <c r="W5" s="1315"/>
      <c r="X5" s="1315"/>
      <c r="Y5" s="1315"/>
      <c r="Z5" s="1315"/>
      <c r="AA5" s="1315"/>
      <c r="AB5" s="1315"/>
      <c r="AC5" s="1316"/>
      <c r="AD5" s="1314"/>
      <c r="AE5" s="1315"/>
      <c r="AF5" s="1315"/>
      <c r="AG5" s="1315"/>
      <c r="AH5" s="1315"/>
      <c r="AI5" s="1315"/>
      <c r="AJ5" s="1315"/>
      <c r="AK5" s="1315"/>
      <c r="AL5" s="1315"/>
      <c r="AM5" s="1315"/>
      <c r="AN5" s="1315"/>
      <c r="AO5" s="1315"/>
      <c r="AP5" s="1315"/>
      <c r="AQ5" s="1315"/>
      <c r="AR5" s="1315"/>
      <c r="AS5" s="1315"/>
      <c r="AT5" s="1315"/>
      <c r="AU5" s="1315"/>
      <c r="AV5" s="1315"/>
      <c r="AW5" s="1315"/>
      <c r="AX5" s="1315"/>
      <c r="AY5" s="1315"/>
      <c r="AZ5" s="1315"/>
      <c r="BA5" s="1315"/>
      <c r="BB5" s="1316"/>
      <c r="BC5" s="810" t="s">
        <v>463</v>
      </c>
      <c r="BE5" s="66"/>
      <c r="BF5" s="66" t="str">
        <f t="shared" si="0"/>
        <v/>
      </c>
      <c r="BG5" s="66"/>
      <c r="BH5" s="66"/>
    </row>
    <row r="6" spans="1:60" s="65" customFormat="1" ht="14.25" hidden="1" customHeight="1">
      <c r="A6" s="142"/>
      <c r="B6" s="142"/>
      <c r="C6" s="142"/>
      <c r="D6" s="142"/>
      <c r="E6" s="1286"/>
      <c r="F6" s="1286"/>
      <c r="G6" s="1286"/>
      <c r="H6" s="1286"/>
      <c r="I6" s="1287" t="str">
        <f>S5&amp;".1"</f>
        <v>.1</v>
      </c>
      <c r="J6" s="142"/>
      <c r="K6" s="142"/>
      <c r="L6" s="357" t="s">
        <v>464</v>
      </c>
      <c r="M6" s="228"/>
      <c r="N6" s="228"/>
      <c r="O6" s="228"/>
      <c r="P6" s="1204">
        <v>1</v>
      </c>
      <c r="Q6" s="119"/>
      <c r="R6" s="214"/>
      <c r="S6" s="373"/>
      <c r="T6" s="808"/>
      <c r="U6" s="809"/>
      <c r="V6" s="1315"/>
      <c r="W6" s="1315"/>
      <c r="X6" s="1315"/>
      <c r="Y6" s="1315"/>
      <c r="Z6" s="1315"/>
      <c r="AA6" s="1315"/>
      <c r="AB6" s="1315"/>
      <c r="AC6" s="1316"/>
      <c r="AD6" s="1314"/>
      <c r="AE6" s="1315"/>
      <c r="AF6" s="1315"/>
      <c r="AG6" s="1315"/>
      <c r="AH6" s="1315"/>
      <c r="AI6" s="1315"/>
      <c r="AJ6" s="1315"/>
      <c r="AK6" s="1315"/>
      <c r="AL6" s="1315"/>
      <c r="AM6" s="1315"/>
      <c r="AN6" s="1315"/>
      <c r="AO6" s="1315"/>
      <c r="AP6" s="1315"/>
      <c r="AQ6" s="1315"/>
      <c r="AR6" s="1315"/>
      <c r="AS6" s="1315"/>
      <c r="AT6" s="1315"/>
      <c r="AU6" s="1315"/>
      <c r="AV6" s="1315"/>
      <c r="AW6" s="1315"/>
      <c r="AX6" s="1315"/>
      <c r="AY6" s="1315"/>
      <c r="AZ6" s="1315"/>
      <c r="BA6" s="1315"/>
      <c r="BB6" s="1316"/>
      <c r="BC6" s="810"/>
      <c r="BE6" s="66"/>
      <c r="BF6" s="66" t="str">
        <f t="shared" si="0"/>
        <v/>
      </c>
      <c r="BG6" s="66"/>
      <c r="BH6" s="66"/>
    </row>
    <row r="7" spans="1:60" s="65" customFormat="1" ht="14.25" hidden="1" customHeight="1">
      <c r="A7" s="142"/>
      <c r="B7" s="142"/>
      <c r="C7" s="142"/>
      <c r="D7" s="142"/>
      <c r="E7" s="1286"/>
      <c r="F7" s="1286"/>
      <c r="G7" s="1286"/>
      <c r="H7" s="1286"/>
      <c r="I7" s="1288"/>
      <c r="J7" s="1287" t="str">
        <f>S5&amp;".1"</f>
        <v>.1</v>
      </c>
      <c r="K7" s="142"/>
      <c r="L7" s="357"/>
      <c r="M7" s="228"/>
      <c r="N7" s="228"/>
      <c r="O7" s="228"/>
      <c r="P7" s="1204"/>
      <c r="Q7" s="1204">
        <v>1</v>
      </c>
      <c r="R7" s="215"/>
      <c r="S7" s="373"/>
      <c r="T7" s="823"/>
      <c r="U7" s="809"/>
      <c r="V7" s="1315"/>
      <c r="W7" s="1315"/>
      <c r="X7" s="1315"/>
      <c r="Y7" s="1315"/>
      <c r="Z7" s="1315"/>
      <c r="AA7" s="1315"/>
      <c r="AB7" s="1315"/>
      <c r="AC7" s="1316"/>
      <c r="AD7" s="1314"/>
      <c r="AE7" s="1315"/>
      <c r="AF7" s="1315"/>
      <c r="AG7" s="1315"/>
      <c r="AH7" s="1315"/>
      <c r="AI7" s="1315"/>
      <c r="AJ7" s="1315"/>
      <c r="AK7" s="1315"/>
      <c r="AL7" s="1315"/>
      <c r="AM7" s="1315"/>
      <c r="AN7" s="1315"/>
      <c r="AO7" s="1315"/>
      <c r="AP7" s="1315"/>
      <c r="AQ7" s="1315"/>
      <c r="AR7" s="1315"/>
      <c r="AS7" s="1315"/>
      <c r="AT7" s="1315"/>
      <c r="AU7" s="1315"/>
      <c r="AV7" s="1315"/>
      <c r="AW7" s="1315"/>
      <c r="AX7" s="1315"/>
      <c r="AY7" s="1315"/>
      <c r="AZ7" s="1315"/>
      <c r="BA7" s="1315"/>
      <c r="BB7" s="1316"/>
      <c r="BC7" s="810"/>
      <c r="BE7" s="66"/>
      <c r="BF7" s="66" t="str">
        <f t="shared" si="0"/>
        <v/>
      </c>
      <c r="BG7" s="66"/>
      <c r="BH7" s="66"/>
    </row>
    <row r="8" spans="1:60" ht="11.25" hidden="1" customHeight="1">
      <c r="A8" s="798"/>
      <c r="B8" s="798"/>
      <c r="C8" s="798"/>
      <c r="D8" s="798"/>
      <c r="E8" s="1286"/>
      <c r="F8" s="1286"/>
      <c r="G8" s="1286"/>
      <c r="H8" s="1286"/>
      <c r="I8" s="1288"/>
      <c r="J8" s="1288"/>
      <c r="K8" s="1287" t="e">
        <f>S4&amp;".1"</f>
        <v>#N/A</v>
      </c>
      <c r="L8" s="799"/>
      <c r="P8" s="1204"/>
      <c r="Q8" s="1204"/>
      <c r="R8" s="1338">
        <v>1</v>
      </c>
      <c r="S8" s="1335" t="e">
        <f>$K8</f>
        <v>#N/A</v>
      </c>
      <c r="T8" s="1394"/>
      <c r="U8" s="170"/>
      <c r="V8" s="317"/>
      <c r="W8" s="757"/>
      <c r="X8" s="317"/>
      <c r="Y8" s="757"/>
      <c r="Z8" s="979"/>
      <c r="AA8" s="308" t="s">
        <v>59</v>
      </c>
      <c r="AB8" s="979"/>
      <c r="AC8" s="308" t="s">
        <v>59</v>
      </c>
      <c r="AD8" s="1150" t="s">
        <v>59</v>
      </c>
      <c r="AE8" s="1331"/>
      <c r="AF8" s="1163">
        <v>1</v>
      </c>
      <c r="AG8" s="1393"/>
      <c r="AH8" s="1093" t="s">
        <v>59</v>
      </c>
      <c r="AI8" s="1331"/>
      <c r="AJ8" s="1163">
        <v>1</v>
      </c>
      <c r="AK8" s="1392" t="s">
        <v>18</v>
      </c>
      <c r="AL8" s="1093" t="s">
        <v>59</v>
      </c>
      <c r="AM8" s="1138"/>
      <c r="AN8" s="1163">
        <v>1</v>
      </c>
      <c r="AO8" s="1397"/>
      <c r="AP8" s="1398" t="s">
        <v>59</v>
      </c>
      <c r="AQ8" s="181"/>
      <c r="AR8" s="280">
        <v>1</v>
      </c>
      <c r="AS8" s="116" t="s">
        <v>18</v>
      </c>
      <c r="AT8" s="317"/>
      <c r="AU8" s="757"/>
      <c r="AV8" s="317"/>
      <c r="AW8" s="757"/>
      <c r="AX8" s="979"/>
      <c r="AY8" s="308" t="s">
        <v>59</v>
      </c>
      <c r="AZ8" s="979"/>
      <c r="BA8" s="308" t="s">
        <v>59</v>
      </c>
      <c r="BB8" s="795"/>
      <c r="BC8" s="1307" t="s">
        <v>1693</v>
      </c>
      <c r="BE8" s="66"/>
      <c r="BF8" s="66" t="str">
        <f t="shared" si="0"/>
        <v/>
      </c>
      <c r="BG8" s="66"/>
      <c r="BH8" s="66"/>
    </row>
    <row r="9" spans="1:60" ht="11.25" hidden="1" customHeight="1">
      <c r="A9" s="798"/>
      <c r="B9" s="798"/>
      <c r="C9" s="798"/>
      <c r="D9" s="798"/>
      <c r="E9" s="1286"/>
      <c r="F9" s="1286"/>
      <c r="G9" s="1286"/>
      <c r="H9" s="1286"/>
      <c r="I9" s="1288"/>
      <c r="J9" s="1288"/>
      <c r="K9" s="1287"/>
      <c r="L9" s="799"/>
      <c r="P9" s="1204"/>
      <c r="Q9" s="1204"/>
      <c r="R9" s="1338"/>
      <c r="S9" s="1336"/>
      <c r="T9" s="1395"/>
      <c r="U9" s="170"/>
      <c r="V9" s="818"/>
      <c r="W9" s="848"/>
      <c r="X9" s="818"/>
      <c r="Y9" s="848"/>
      <c r="Z9" s="818"/>
      <c r="AA9" s="818"/>
      <c r="AB9" s="818"/>
      <c r="AC9" s="818"/>
      <c r="AD9" s="1151"/>
      <c r="AE9" s="1331"/>
      <c r="AF9" s="1163"/>
      <c r="AG9" s="1393"/>
      <c r="AH9" s="1093"/>
      <c r="AI9" s="1331"/>
      <c r="AJ9" s="1163"/>
      <c r="AK9" s="1392"/>
      <c r="AL9" s="1093"/>
      <c r="AM9" s="1143"/>
      <c r="AN9" s="1163"/>
      <c r="AO9" s="1397"/>
      <c r="AP9" s="1399"/>
      <c r="AQ9" s="186"/>
      <c r="AR9" s="50"/>
      <c r="AS9" s="50" t="s">
        <v>1694</v>
      </c>
      <c r="AT9" s="818"/>
      <c r="AU9" s="848"/>
      <c r="AV9" s="818"/>
      <c r="AW9" s="848"/>
      <c r="AX9" s="818"/>
      <c r="AY9" s="818"/>
      <c r="AZ9" s="818"/>
      <c r="BA9" s="818"/>
      <c r="BB9" s="822"/>
      <c r="BC9" s="1308"/>
      <c r="BE9" s="66"/>
      <c r="BF9" s="66"/>
      <c r="BG9" s="66"/>
      <c r="BH9" s="66"/>
    </row>
    <row r="10" spans="1:60" ht="11.25" hidden="1" customHeight="1">
      <c r="A10" s="798"/>
      <c r="B10" s="798"/>
      <c r="C10" s="798"/>
      <c r="D10" s="798"/>
      <c r="E10" s="1286"/>
      <c r="F10" s="1286"/>
      <c r="G10" s="1286"/>
      <c r="H10" s="1286"/>
      <c r="I10" s="1288"/>
      <c r="J10" s="1288"/>
      <c r="K10" s="1287"/>
      <c r="L10" s="799"/>
      <c r="P10" s="1204"/>
      <c r="Q10" s="1204"/>
      <c r="R10" s="1338"/>
      <c r="S10" s="1336"/>
      <c r="T10" s="1395"/>
      <c r="U10" s="170"/>
      <c r="V10" s="818"/>
      <c r="W10" s="848"/>
      <c r="X10" s="818"/>
      <c r="Y10" s="848"/>
      <c r="Z10" s="818"/>
      <c r="AA10" s="818"/>
      <c r="AB10" s="818"/>
      <c r="AC10" s="818"/>
      <c r="AD10" s="1151"/>
      <c r="AE10" s="1331"/>
      <c r="AF10" s="1163"/>
      <c r="AG10" s="1393"/>
      <c r="AH10" s="1093"/>
      <c r="AI10" s="1331"/>
      <c r="AJ10" s="1163"/>
      <c r="AK10" s="1392"/>
      <c r="AL10" s="1093"/>
      <c r="AM10" s="186"/>
      <c r="AN10" s="852"/>
      <c r="AO10" s="852" t="s">
        <v>2103</v>
      </c>
      <c r="AP10" s="50"/>
      <c r="AQ10" s="50"/>
      <c r="AR10" s="50"/>
      <c r="AS10" s="818"/>
      <c r="AT10" s="818"/>
      <c r="AU10" s="848"/>
      <c r="AV10" s="818"/>
      <c r="AW10" s="848"/>
      <c r="AX10" s="818"/>
      <c r="AY10" s="818"/>
      <c r="AZ10" s="818"/>
      <c r="BA10" s="818"/>
      <c r="BB10" s="822"/>
      <c r="BC10" s="1308"/>
      <c r="BE10" s="66"/>
      <c r="BF10" s="66"/>
      <c r="BG10" s="66"/>
      <c r="BH10" s="66"/>
    </row>
    <row r="11" spans="1:60" ht="11.25" hidden="1" customHeight="1">
      <c r="A11" s="798"/>
      <c r="B11" s="798"/>
      <c r="C11" s="798"/>
      <c r="D11" s="798"/>
      <c r="E11" s="1286"/>
      <c r="F11" s="1286"/>
      <c r="G11" s="1286"/>
      <c r="H11" s="1286"/>
      <c r="I11" s="1288"/>
      <c r="J11" s="1288"/>
      <c r="K11" s="1287"/>
      <c r="L11" s="799"/>
      <c r="P11" s="1204"/>
      <c r="Q11" s="1204"/>
      <c r="R11" s="1338"/>
      <c r="S11" s="1336"/>
      <c r="T11" s="1395"/>
      <c r="U11" s="170"/>
      <c r="V11" s="818"/>
      <c r="W11" s="848"/>
      <c r="X11" s="818"/>
      <c r="Y11" s="848"/>
      <c r="Z11" s="818"/>
      <c r="AA11" s="818"/>
      <c r="AB11" s="818"/>
      <c r="AC11" s="818"/>
      <c r="AD11" s="1151"/>
      <c r="AE11" s="1331"/>
      <c r="AF11" s="1163"/>
      <c r="AG11" s="1393"/>
      <c r="AH11" s="1093"/>
      <c r="AI11" s="168"/>
      <c r="AJ11" s="107"/>
      <c r="AK11" s="183" t="s">
        <v>2104</v>
      </c>
      <c r="AL11" s="818"/>
      <c r="AM11" s="818"/>
      <c r="AN11" s="818"/>
      <c r="AO11" s="818"/>
      <c r="AP11" s="818"/>
      <c r="AQ11" s="818"/>
      <c r="AR11" s="818"/>
      <c r="AS11" s="818"/>
      <c r="AT11" s="818"/>
      <c r="AU11" s="848"/>
      <c r="AV11" s="818"/>
      <c r="AW11" s="848"/>
      <c r="AX11" s="818"/>
      <c r="AY11" s="818"/>
      <c r="AZ11" s="818"/>
      <c r="BA11" s="818"/>
      <c r="BB11" s="822"/>
      <c r="BC11" s="1308"/>
      <c r="BE11" s="66"/>
      <c r="BF11" s="66"/>
      <c r="BG11" s="66"/>
      <c r="BH11" s="66"/>
    </row>
    <row r="12" spans="1:60" ht="11.25" hidden="1" customHeight="1">
      <c r="A12" s="798"/>
      <c r="B12" s="798"/>
      <c r="C12" s="798"/>
      <c r="D12" s="798"/>
      <c r="E12" s="1286"/>
      <c r="F12" s="1286"/>
      <c r="G12" s="1286"/>
      <c r="H12" s="1286"/>
      <c r="I12" s="1288"/>
      <c r="J12" s="1288"/>
      <c r="K12" s="1287"/>
      <c r="L12" s="799"/>
      <c r="P12" s="1204"/>
      <c r="Q12" s="1204"/>
      <c r="R12" s="1338"/>
      <c r="S12" s="1337"/>
      <c r="T12" s="1396"/>
      <c r="U12" s="170"/>
      <c r="V12" s="818"/>
      <c r="W12" s="819" t="str">
        <f>Z8&amp;"-"&amp;AB8</f>
        <v>-</v>
      </c>
      <c r="X12" s="818"/>
      <c r="Y12" s="819" t="str">
        <f>AB8&amp;"-"&amp;AD8</f>
        <v>-да</v>
      </c>
      <c r="Z12" s="818"/>
      <c r="AA12" s="818"/>
      <c r="AB12" s="818"/>
      <c r="AC12" s="818"/>
      <c r="AD12" s="1098"/>
      <c r="AE12" s="182"/>
      <c r="AF12" s="184"/>
      <c r="AG12" s="50" t="s">
        <v>1697</v>
      </c>
      <c r="AH12" s="818"/>
      <c r="AI12" s="818"/>
      <c r="AJ12" s="818"/>
      <c r="AK12" s="818"/>
      <c r="AL12" s="818"/>
      <c r="AM12" s="818"/>
      <c r="AN12" s="818"/>
      <c r="AO12" s="818"/>
      <c r="AP12" s="818"/>
      <c r="AQ12" s="818"/>
      <c r="AR12" s="818"/>
      <c r="AS12" s="818"/>
      <c r="AT12" s="818"/>
      <c r="AU12" s="819" t="str">
        <f>AX8&amp;"-"&amp;AZ8</f>
        <v>-</v>
      </c>
      <c r="AV12" s="818"/>
      <c r="AW12" s="819" t="str">
        <f>AZ8&amp;"-"&amp;BB8</f>
        <v>-</v>
      </c>
      <c r="AX12" s="818"/>
      <c r="AY12" s="818"/>
      <c r="AZ12" s="818"/>
      <c r="BA12" s="818"/>
      <c r="BB12" s="821" t="str">
        <f>BE8&amp;"-"&amp;BG8</f>
        <v>-</v>
      </c>
      <c r="BC12" s="1308"/>
      <c r="BE12" s="66"/>
      <c r="BF12" s="66" t="str">
        <f t="shared" ref="BF12:BF18" si="1">IF(T12="","",T12)</f>
        <v/>
      </c>
      <c r="BG12" s="66"/>
      <c r="BH12" s="66"/>
    </row>
    <row r="13" spans="1:60" ht="11.25" hidden="1" customHeight="1">
      <c r="A13" s="798"/>
      <c r="B13" s="798"/>
      <c r="C13" s="798"/>
      <c r="D13" s="798"/>
      <c r="E13" s="1286"/>
      <c r="F13" s="1286"/>
      <c r="G13" s="1286"/>
      <c r="H13" s="1286"/>
      <c r="I13" s="1288"/>
      <c r="J13" s="1287"/>
      <c r="K13" s="798"/>
      <c r="L13" s="799"/>
      <c r="P13" s="1204"/>
      <c r="Q13" s="1204"/>
      <c r="R13" s="214"/>
      <c r="S13" s="772"/>
      <c r="T13" s="165" t="s">
        <v>538</v>
      </c>
      <c r="U13" s="221"/>
      <c r="V13" s="221"/>
      <c r="W13" s="221"/>
      <c r="X13" s="221"/>
      <c r="Y13" s="221"/>
      <c r="Z13" s="221"/>
      <c r="AA13" s="221"/>
      <c r="AB13" s="221"/>
      <c r="AC13" s="221"/>
      <c r="AD13" s="856"/>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309"/>
      <c r="BE13" s="66"/>
      <c r="BF13" s="66" t="str">
        <f t="shared" si="1"/>
        <v>Добавить строку</v>
      </c>
      <c r="BG13" s="66"/>
      <c r="BH13" s="66"/>
    </row>
    <row r="14" spans="1:60" s="65" customFormat="1" ht="14.25" hidden="1" customHeight="1">
      <c r="A14" s="142"/>
      <c r="B14" s="142"/>
      <c r="C14" s="142"/>
      <c r="D14" s="142"/>
      <c r="E14" s="1286"/>
      <c r="F14" s="1286"/>
      <c r="G14" s="1286"/>
      <c r="H14" s="1286"/>
      <c r="I14" s="1287"/>
      <c r="J14" s="142"/>
      <c r="K14" s="142"/>
      <c r="L14" s="357"/>
      <c r="M14" s="228"/>
      <c r="N14" s="228"/>
      <c r="O14" s="228"/>
      <c r="P14" s="1204"/>
      <c r="Q14" s="119"/>
      <c r="R14" s="214"/>
      <c r="S14" s="811"/>
      <c r="T14" s="812"/>
      <c r="U14" s="813"/>
      <c r="V14" s="813"/>
      <c r="W14" s="813"/>
      <c r="X14" s="813"/>
      <c r="Y14" s="813"/>
      <c r="Z14" s="813"/>
      <c r="AA14" s="813"/>
      <c r="AB14" s="813"/>
      <c r="AC14" s="813"/>
      <c r="AD14" s="813"/>
      <c r="AE14" s="813"/>
      <c r="AF14" s="813"/>
      <c r="AG14" s="813"/>
      <c r="AH14" s="813"/>
      <c r="AI14" s="813"/>
      <c r="AJ14" s="813"/>
      <c r="AK14" s="813"/>
      <c r="AL14" s="813"/>
      <c r="AM14" s="813"/>
      <c r="AN14" s="813"/>
      <c r="AO14" s="813"/>
      <c r="AP14" s="813"/>
      <c r="AQ14" s="813"/>
      <c r="AR14" s="813"/>
      <c r="AS14" s="813"/>
      <c r="AT14" s="813"/>
      <c r="AU14" s="813"/>
      <c r="AV14" s="813"/>
      <c r="AW14" s="813"/>
      <c r="AX14" s="813"/>
      <c r="AY14" s="813"/>
      <c r="AZ14" s="813"/>
      <c r="BA14" s="813"/>
      <c r="BB14" s="813"/>
      <c r="BC14" s="814"/>
      <c r="BE14" s="66"/>
      <c r="BF14" s="66" t="str">
        <f t="shared" si="1"/>
        <v/>
      </c>
      <c r="BG14" s="66"/>
      <c r="BH14" s="66"/>
    </row>
    <row r="15" spans="1:60" s="65" customFormat="1" ht="14.25" hidden="1" customHeight="1">
      <c r="A15" s="142"/>
      <c r="B15" s="142"/>
      <c r="C15" s="142"/>
      <c r="D15" s="142"/>
      <c r="E15" s="1286"/>
      <c r="F15" s="1286"/>
      <c r="G15" s="1286"/>
      <c r="H15" s="1285"/>
      <c r="I15" s="142"/>
      <c r="J15" s="142"/>
      <c r="K15" s="142"/>
      <c r="L15" s="357"/>
      <c r="M15" s="304"/>
      <c r="N15" s="304"/>
      <c r="P15" s="101"/>
      <c r="Q15" s="785"/>
      <c r="R15" s="825"/>
      <c r="S15" s="811"/>
      <c r="T15" s="812"/>
      <c r="U15" s="813"/>
      <c r="V15" s="813"/>
      <c r="W15" s="813"/>
      <c r="X15" s="813"/>
      <c r="Y15" s="813"/>
      <c r="Z15" s="813"/>
      <c r="AA15" s="813"/>
      <c r="AB15" s="813"/>
      <c r="AC15" s="813"/>
      <c r="AD15" s="813"/>
      <c r="AE15" s="813"/>
      <c r="AF15" s="813"/>
      <c r="AG15" s="813"/>
      <c r="AH15" s="813"/>
      <c r="AI15" s="813"/>
      <c r="AJ15" s="813"/>
      <c r="AK15" s="813"/>
      <c r="AL15" s="813"/>
      <c r="AM15" s="813"/>
      <c r="AN15" s="813"/>
      <c r="AO15" s="813"/>
      <c r="AP15" s="813"/>
      <c r="AQ15" s="813"/>
      <c r="AR15" s="813"/>
      <c r="AS15" s="813"/>
      <c r="AT15" s="813"/>
      <c r="AU15" s="813"/>
      <c r="AV15" s="813"/>
      <c r="AW15" s="813"/>
      <c r="AX15" s="813"/>
      <c r="AY15" s="813"/>
      <c r="AZ15" s="813"/>
      <c r="BA15" s="813"/>
      <c r="BB15" s="813"/>
      <c r="BC15" s="814"/>
      <c r="BE15" s="66"/>
      <c r="BF15" s="66" t="str">
        <f t="shared" si="1"/>
        <v/>
      </c>
      <c r="BG15" s="66"/>
      <c r="BH15" s="66"/>
    </row>
    <row r="16" spans="1:60" s="65" customFormat="1" ht="14.25" hidden="1" customHeight="1">
      <c r="A16" s="142"/>
      <c r="B16" s="142"/>
      <c r="C16" s="142"/>
      <c r="D16" s="142"/>
      <c r="E16" s="1286"/>
      <c r="F16" s="1286"/>
      <c r="G16" s="1285"/>
      <c r="H16" s="142"/>
      <c r="I16" s="142"/>
      <c r="J16" s="142"/>
      <c r="K16" s="142"/>
      <c r="L16" s="357"/>
      <c r="M16" s="304"/>
      <c r="N16" s="304"/>
      <c r="P16" s="101"/>
      <c r="Q16" s="785"/>
      <c r="R16" s="101"/>
      <c r="S16" s="790"/>
      <c r="T16" s="792"/>
      <c r="U16" s="324"/>
      <c r="V16" s="324"/>
      <c r="W16" s="324"/>
      <c r="X16" s="324"/>
      <c r="Y16" s="324"/>
      <c r="Z16" s="324"/>
      <c r="AA16" s="324"/>
      <c r="AB16" s="324"/>
      <c r="AC16" s="324"/>
      <c r="AD16" s="324"/>
      <c r="AE16" s="324"/>
      <c r="AF16" s="324"/>
      <c r="AG16" s="324"/>
      <c r="AH16" s="324"/>
      <c r="AI16" s="324"/>
      <c r="AJ16" s="324"/>
      <c r="AK16" s="324"/>
      <c r="AL16" s="324"/>
      <c r="AM16" s="324"/>
      <c r="AN16" s="324"/>
      <c r="AO16" s="324"/>
      <c r="AP16" s="324"/>
      <c r="AQ16" s="324"/>
      <c r="AR16" s="324"/>
      <c r="AS16" s="324"/>
      <c r="AT16" s="324"/>
      <c r="AU16" s="324"/>
      <c r="AV16" s="324"/>
      <c r="AW16" s="324"/>
      <c r="AX16" s="324"/>
      <c r="AY16" s="324"/>
      <c r="AZ16" s="324"/>
      <c r="BA16" s="324"/>
      <c r="BB16" s="324"/>
      <c r="BC16" s="324"/>
      <c r="BE16" s="66"/>
      <c r="BF16" s="66" t="str">
        <f t="shared" si="1"/>
        <v/>
      </c>
      <c r="BG16" s="66"/>
      <c r="BH16" s="66"/>
    </row>
    <row r="17" spans="1:60" s="65" customFormat="1" ht="14.25" hidden="1" customHeight="1">
      <c r="A17" s="142"/>
      <c r="B17" s="142"/>
      <c r="C17" s="142"/>
      <c r="D17" s="142"/>
      <c r="E17" s="1286"/>
      <c r="F17" s="1285"/>
      <c r="G17" s="142"/>
      <c r="H17" s="142"/>
      <c r="I17" s="142"/>
      <c r="J17" s="142"/>
      <c r="K17" s="142"/>
      <c r="L17" s="357"/>
      <c r="M17" s="789"/>
      <c r="N17" s="789"/>
      <c r="P17" s="101"/>
      <c r="Q17" s="785"/>
      <c r="R17" s="101"/>
      <c r="S17" s="790"/>
      <c r="T17" s="792" t="s">
        <v>432</v>
      </c>
      <c r="U17" s="324"/>
      <c r="V17" s="324"/>
      <c r="W17" s="324"/>
      <c r="X17" s="324"/>
      <c r="Y17" s="324"/>
      <c r="Z17" s="324"/>
      <c r="AA17" s="324"/>
      <c r="AB17" s="324"/>
      <c r="AC17" s="324"/>
      <c r="AD17" s="324"/>
      <c r="AE17" s="324"/>
      <c r="AF17" s="324"/>
      <c r="AG17" s="324"/>
      <c r="AH17" s="324"/>
      <c r="AI17" s="324"/>
      <c r="AJ17" s="324"/>
      <c r="AK17" s="324"/>
      <c r="AL17" s="324"/>
      <c r="AM17" s="324"/>
      <c r="AN17" s="324"/>
      <c r="AO17" s="324"/>
      <c r="AP17" s="324"/>
      <c r="AQ17" s="324"/>
      <c r="AR17" s="324"/>
      <c r="AS17" s="324"/>
      <c r="AT17" s="324"/>
      <c r="AU17" s="324"/>
      <c r="AV17" s="324"/>
      <c r="AW17" s="324"/>
      <c r="AX17" s="324"/>
      <c r="AY17" s="324"/>
      <c r="AZ17" s="324"/>
      <c r="BA17" s="324"/>
      <c r="BB17" s="324"/>
      <c r="BC17" s="324"/>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85"/>
      <c r="F18" s="142"/>
      <c r="G18" s="142"/>
      <c r="H18" s="142"/>
      <c r="I18" s="142"/>
      <c r="J18" s="142"/>
      <c r="K18" s="142"/>
      <c r="L18" s="357"/>
      <c r="M18" s="789"/>
      <c r="N18" s="789"/>
      <c r="P18" s="101"/>
      <c r="Q18" s="785"/>
      <c r="R18" s="101"/>
      <c r="S18" s="790"/>
      <c r="T18" s="792" t="s">
        <v>433</v>
      </c>
      <c r="U18" s="324"/>
      <c r="V18" s="324"/>
      <c r="W18" s="324"/>
      <c r="X18" s="324"/>
      <c r="Y18" s="324"/>
      <c r="Z18" s="324"/>
      <c r="AA18" s="324"/>
      <c r="AB18" s="324"/>
      <c r="AC18" s="324"/>
      <c r="AD18" s="324"/>
      <c r="AE18" s="324"/>
      <c r="AF18" s="324"/>
      <c r="AG18" s="324"/>
      <c r="AH18" s="324"/>
      <c r="AI18" s="324"/>
      <c r="AJ18" s="324"/>
      <c r="AK18" s="324"/>
      <c r="AL18" s="324"/>
      <c r="AM18" s="324"/>
      <c r="AN18" s="324"/>
      <c r="AO18" s="324"/>
      <c r="AP18" s="324"/>
      <c r="AQ18" s="324"/>
      <c r="AR18" s="324"/>
      <c r="AS18" s="324"/>
      <c r="AT18" s="324"/>
      <c r="AU18" s="324"/>
      <c r="AV18" s="324"/>
      <c r="AW18" s="324"/>
      <c r="AX18" s="324"/>
      <c r="AY18" s="324"/>
      <c r="AZ18" s="324"/>
      <c r="BA18" s="324"/>
      <c r="BB18" s="324"/>
      <c r="BC18" s="324"/>
      <c r="BE18" s="66"/>
      <c r="BF18" s="66" t="str">
        <f t="shared" si="1"/>
        <v>Добавить территорию для дифференциации</v>
      </c>
      <c r="BG18" s="66"/>
      <c r="BH18" s="66"/>
    </row>
    <row r="19" spans="1:60" ht="14.25" hidden="1" customHeight="1"/>
    <row r="20" spans="1:60" ht="14.25" hidden="1" customHeight="1">
      <c r="AD20" s="324" t="s">
        <v>57</v>
      </c>
      <c r="AE20" s="853"/>
      <c r="AF20" s="324">
        <v>1</v>
      </c>
      <c r="AG20" s="854"/>
      <c r="AH20" s="324" t="s">
        <v>57</v>
      </c>
      <c r="AI20" s="853"/>
      <c r="AJ20" s="324">
        <v>1</v>
      </c>
      <c r="AK20" s="854"/>
      <c r="AL20" s="324" t="s">
        <v>57</v>
      </c>
      <c r="AM20" s="855"/>
      <c r="AN20" s="324">
        <v>1</v>
      </c>
      <c r="AO20" s="124"/>
      <c r="AP20" s="324" t="s">
        <v>57</v>
      </c>
      <c r="AQ20" s="855"/>
      <c r="AR20" s="324">
        <v>1</v>
      </c>
      <c r="AS20" s="124"/>
      <c r="AT20" s="196"/>
      <c r="AU20" s="231"/>
      <c r="AV20" s="196"/>
      <c r="AW20" s="231"/>
      <c r="AX20" s="981"/>
      <c r="AY20" s="845" t="s">
        <v>59</v>
      </c>
      <c r="AZ20" s="981"/>
      <c r="BA20" s="845" t="s">
        <v>59</v>
      </c>
    </row>
    <row r="21" spans="1:60" ht="14.25" hidden="1" customHeight="1">
      <c r="BD21" s="209"/>
      <c r="BE21" s="209"/>
      <c r="BF21" s="209"/>
      <c r="BG21" s="209"/>
      <c r="BH21" s="209"/>
    </row>
    <row r="22" spans="1:60" ht="14.25" hidden="1" customHeight="1">
      <c r="O22" s="800" t="s">
        <v>475</v>
      </c>
      <c r="Z22" s="185"/>
      <c r="AB22" s="185"/>
      <c r="AX22" s="185"/>
      <c r="AZ22" s="185"/>
      <c r="BD22" s="209"/>
      <c r="BE22" s="209"/>
      <c r="BF22" s="209"/>
      <c r="BG22" s="209"/>
      <c r="BH22" s="209"/>
    </row>
    <row r="23" spans="1:60" ht="14.25" hidden="1" customHeight="1">
      <c r="BD23" s="209"/>
      <c r="BE23" s="209"/>
      <c r="BF23" s="209"/>
      <c r="BG23" s="209"/>
      <c r="BH23" s="209"/>
    </row>
    <row r="24" spans="1:60" s="858" customFormat="1" ht="14.25" hidden="1" customHeight="1">
      <c r="M24" s="859"/>
      <c r="N24" s="859"/>
      <c r="O24" s="858" t="s">
        <v>476</v>
      </c>
      <c r="P24" s="859"/>
      <c r="Q24" s="860"/>
      <c r="R24" s="860"/>
      <c r="AA24" s="858" t="s">
        <v>478</v>
      </c>
      <c r="AC24" s="858" t="s">
        <v>479</v>
      </c>
      <c r="AD24" s="858" t="s">
        <v>539</v>
      </c>
      <c r="AH24" s="858" t="s">
        <v>539</v>
      </c>
      <c r="AK24" s="858" t="s">
        <v>1698</v>
      </c>
      <c r="AL24" s="858" t="s">
        <v>539</v>
      </c>
      <c r="AP24" s="858" t="s">
        <v>539</v>
      </c>
      <c r="AY24" s="858" t="s">
        <v>478</v>
      </c>
      <c r="BA24" s="858" t="s">
        <v>479</v>
      </c>
      <c r="BD24" s="861"/>
      <c r="BE24" s="861"/>
      <c r="BF24" s="861"/>
      <c r="BG24" s="861"/>
      <c r="BH24" s="861"/>
    </row>
    <row r="25" spans="1:60" ht="14.25" hidden="1" customHeight="1">
      <c r="O25" s="799"/>
      <c r="BD25" s="209"/>
      <c r="BE25" s="209"/>
      <c r="BF25" s="209"/>
      <c r="BG25" s="209"/>
      <c r="BH25" s="209"/>
    </row>
    <row r="26" spans="1:60" ht="14.25" hidden="1" customHeight="1">
      <c r="O26" s="799"/>
      <c r="BD26" s="209"/>
      <c r="BE26" s="209"/>
      <c r="BF26" s="209"/>
      <c r="BG26" s="209"/>
      <c r="BH26" s="209"/>
    </row>
    <row r="27" spans="1:60" ht="14.25" customHeight="1">
      <c r="Q27" s="167"/>
      <c r="R27" s="27"/>
      <c r="S27" s="769"/>
      <c r="T27" s="8"/>
      <c r="U27" s="8"/>
    </row>
    <row r="28" spans="1:60" ht="33.75" customHeight="1">
      <c r="Q28" s="167"/>
      <c r="R28" s="27"/>
      <c r="S28" s="1310"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1310"/>
      <c r="U28" s="1310"/>
      <c r="V28" s="1310"/>
      <c r="W28" s="1310"/>
      <c r="X28" s="1310"/>
      <c r="Y28" s="1310"/>
      <c r="Z28" s="1310"/>
      <c r="AA28" s="1310"/>
      <c r="AB28" s="1310"/>
      <c r="AC28" s="1310"/>
      <c r="AD28" s="1310"/>
      <c r="AE28" s="1310"/>
      <c r="AF28" s="1310"/>
      <c r="AG28" s="1310"/>
      <c r="AH28" s="1310"/>
      <c r="AI28" s="1310"/>
      <c r="AJ28" s="1310"/>
      <c r="AK28" s="1310"/>
      <c r="AL28" s="1310"/>
      <c r="AM28" s="1310"/>
      <c r="AN28" s="1310"/>
      <c r="AO28" s="1310"/>
      <c r="AP28" s="1310"/>
      <c r="AQ28" s="1310"/>
      <c r="AR28" s="1310"/>
      <c r="AS28" s="1310"/>
      <c r="AT28" s="1310"/>
      <c r="AU28" s="1310"/>
      <c r="AV28" s="1310"/>
      <c r="AW28" s="1310"/>
      <c r="AX28" s="1310"/>
      <c r="AY28" s="1310"/>
      <c r="AZ28" s="1310"/>
      <c r="BA28" s="57"/>
    </row>
    <row r="29" spans="1:60" ht="14.25" customHeight="1">
      <c r="Q29" s="167"/>
      <c r="R29" s="27"/>
      <c r="S29" s="1170" t="str">
        <f>IF(org=0,"Не определено",org)</f>
        <v>ИМУП «ПОСЖИЛКОМСЕРВИС»</v>
      </c>
      <c r="T29" s="1170"/>
      <c r="U29" s="1170"/>
      <c r="V29" s="1170"/>
      <c r="W29" s="1170"/>
      <c r="X29" s="1170"/>
      <c r="Y29" s="1170"/>
      <c r="Z29" s="1170"/>
      <c r="AA29" s="1170"/>
      <c r="AB29" s="1170"/>
      <c r="AC29" s="1170"/>
      <c r="AD29" s="1170"/>
      <c r="AE29" s="1170"/>
      <c r="AF29" s="1170"/>
      <c r="AG29" s="1170"/>
      <c r="AH29" s="1170"/>
      <c r="AI29" s="1170"/>
      <c r="AJ29" s="1170"/>
      <c r="AK29" s="1170"/>
      <c r="AL29" s="1170"/>
      <c r="AM29" s="1170"/>
      <c r="AN29" s="1170"/>
      <c r="AO29" s="1170"/>
      <c r="AP29" s="1170"/>
      <c r="AQ29" s="1170"/>
      <c r="AR29" s="1170"/>
      <c r="AS29" s="1170"/>
      <c r="AT29" s="1170"/>
      <c r="AU29" s="1170"/>
      <c r="AV29" s="1170"/>
      <c r="AW29" s="1170"/>
      <c r="AX29" s="1170"/>
      <c r="AY29" s="1170"/>
      <c r="AZ29" s="1170"/>
      <c r="BA29" s="57"/>
    </row>
    <row r="30" spans="1:60" ht="14.25" hidden="1" customHeight="1">
      <c r="Q30" s="167"/>
      <c r="R30" s="27"/>
      <c r="S30" s="769"/>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9"/>
      <c r="M31" s="79"/>
      <c r="N31" s="79"/>
      <c r="O31" s="79"/>
      <c r="P31" s="79"/>
      <c r="Q31" s="79"/>
      <c r="S31" s="1276" t="s">
        <v>40</v>
      </c>
      <c r="T31" s="1276"/>
      <c r="U31" s="802"/>
      <c r="V31" s="1278"/>
      <c r="W31" s="1278"/>
      <c r="X31" s="1278"/>
      <c r="Y31" s="1278"/>
      <c r="Z31" s="1278"/>
      <c r="AA31" s="1278"/>
      <c r="AB31" s="1278"/>
      <c r="AC31" s="9"/>
      <c r="AD31" s="1278" t="str">
        <f>IF(TITLE_NAME_OR_PR_CHANGE="",IF(TITLE_NAME_OR_PR="","",TITLE_NAME_OR_PR),TITLE_NAME_OR_PR_CHANGE)</f>
        <v/>
      </c>
      <c r="AE31" s="1278"/>
      <c r="AF31" s="1278"/>
      <c r="AG31" s="1278"/>
      <c r="AH31" s="1278"/>
      <c r="AI31" s="1278"/>
      <c r="AJ31" s="1278"/>
      <c r="AK31" s="1278"/>
      <c r="AL31" s="1278"/>
      <c r="AM31" s="1278"/>
      <c r="AN31" s="1278"/>
      <c r="AO31" s="1278"/>
      <c r="AP31" s="1278"/>
      <c r="AQ31" s="1278"/>
      <c r="AR31" s="1278"/>
      <c r="AS31" s="1278"/>
      <c r="AT31" s="1278"/>
      <c r="AU31" s="1278"/>
      <c r="AV31" s="1278"/>
      <c r="AW31" s="1278"/>
      <c r="AX31" s="1278"/>
      <c r="AY31" s="1278"/>
      <c r="AZ31" s="1278"/>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9"/>
      <c r="M32" s="79"/>
      <c r="N32" s="79"/>
      <c r="O32" s="79"/>
      <c r="P32" s="79"/>
      <c r="Q32" s="79"/>
      <c r="S32" s="1276" t="s">
        <v>481</v>
      </c>
      <c r="T32" s="1276"/>
      <c r="U32" s="802"/>
      <c r="V32" s="1277"/>
      <c r="W32" s="1277"/>
      <c r="X32" s="1277"/>
      <c r="Y32" s="1277"/>
      <c r="Z32" s="1277"/>
      <c r="AA32" s="1277"/>
      <c r="AB32" s="1277"/>
      <c r="AC32" s="9"/>
      <c r="AD32" s="1277" t="str">
        <f>IF(TITLE_DATE_CHANGE_PERIOD="",IF(TITLE_DATE_PR="","",TITLE_DATE_PR),TITLE_DATE_CHANGE_PERIOD)</f>
        <v/>
      </c>
      <c r="AE32" s="1277"/>
      <c r="AF32" s="1277"/>
      <c r="AG32" s="1277"/>
      <c r="AH32" s="1277"/>
      <c r="AI32" s="1277"/>
      <c r="AJ32" s="1277"/>
      <c r="AK32" s="1277"/>
      <c r="AL32" s="1277"/>
      <c r="AM32" s="1277"/>
      <c r="AN32" s="1277"/>
      <c r="AO32" s="1277"/>
      <c r="AP32" s="1277"/>
      <c r="AQ32" s="1277"/>
      <c r="AR32" s="1277"/>
      <c r="AS32" s="1277"/>
      <c r="AT32" s="1277"/>
      <c r="AU32" s="1277"/>
      <c r="AV32" s="1277"/>
      <c r="AW32" s="1277"/>
      <c r="AX32" s="1277"/>
      <c r="AY32" s="1277"/>
      <c r="AZ32" s="1277"/>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9"/>
      <c r="M33" s="79"/>
      <c r="N33" s="79"/>
      <c r="O33" s="79"/>
      <c r="P33" s="79"/>
      <c r="Q33" s="79"/>
      <c r="S33" s="1276" t="s">
        <v>482</v>
      </c>
      <c r="T33" s="1276"/>
      <c r="U33" s="802"/>
      <c r="V33" s="1278"/>
      <c r="W33" s="1278"/>
      <c r="X33" s="1278"/>
      <c r="Y33" s="1278"/>
      <c r="Z33" s="1278"/>
      <c r="AA33" s="1278"/>
      <c r="AB33" s="1278"/>
      <c r="AC33" s="9"/>
      <c r="AD33" s="1278" t="str">
        <f>IF(TITLE_NUMBER_PR_CHANGE="",IF(TITLE_NUMBER_PR="","",TITLE_NUMBER_PR),TITLE_NUMBER_PR_CHANGE)</f>
        <v/>
      </c>
      <c r="AE33" s="1278"/>
      <c r="AF33" s="1278"/>
      <c r="AG33" s="1278"/>
      <c r="AH33" s="1278"/>
      <c r="AI33" s="1278"/>
      <c r="AJ33" s="1278"/>
      <c r="AK33" s="1278"/>
      <c r="AL33" s="1278"/>
      <c r="AM33" s="1278"/>
      <c r="AN33" s="1278"/>
      <c r="AO33" s="1278"/>
      <c r="AP33" s="1278"/>
      <c r="AQ33" s="1278"/>
      <c r="AR33" s="1278"/>
      <c r="AS33" s="1278"/>
      <c r="AT33" s="1278"/>
      <c r="AU33" s="1278"/>
      <c r="AV33" s="1278"/>
      <c r="AW33" s="1278"/>
      <c r="AX33" s="1278"/>
      <c r="AY33" s="1278"/>
      <c r="AZ33" s="1278"/>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9"/>
      <c r="M34" s="79"/>
      <c r="N34" s="79"/>
      <c r="O34" s="79"/>
      <c r="P34" s="79"/>
      <c r="Q34" s="79"/>
      <c r="S34" s="1276" t="s">
        <v>41</v>
      </c>
      <c r="T34" s="1276"/>
      <c r="U34" s="802"/>
      <c r="V34" s="1278"/>
      <c r="W34" s="1278"/>
      <c r="X34" s="1278"/>
      <c r="Y34" s="1278"/>
      <c r="Z34" s="1278"/>
      <c r="AA34" s="1278"/>
      <c r="AB34" s="1278"/>
      <c r="AC34" s="9"/>
      <c r="AD34" s="1278" t="str">
        <f>IF(TITLE_IST_PUB_CHANGE="",IF(TITLE_IST_PUB="","",TITLE_IST_PUB),TITLE_IST_PUB_CHANGE)</f>
        <v/>
      </c>
      <c r="AE34" s="1278"/>
      <c r="AF34" s="1278"/>
      <c r="AG34" s="1278"/>
      <c r="AH34" s="1278"/>
      <c r="AI34" s="1278"/>
      <c r="AJ34" s="1278"/>
      <c r="AK34" s="1278"/>
      <c r="AL34" s="1278"/>
      <c r="AM34" s="1278"/>
      <c r="AN34" s="1278"/>
      <c r="AO34" s="1278"/>
      <c r="AP34" s="1278"/>
      <c r="AQ34" s="1278"/>
      <c r="AR34" s="1278"/>
      <c r="AS34" s="1278"/>
      <c r="AT34" s="1278"/>
      <c r="AU34" s="1278"/>
      <c r="AV34" s="1278"/>
      <c r="AW34" s="1278"/>
      <c r="AX34" s="1278"/>
      <c r="AY34" s="1278"/>
      <c r="AZ34" s="1278"/>
      <c r="BA34" s="9"/>
      <c r="BB34" s="9"/>
      <c r="BC34" s="162"/>
      <c r="BD34" s="66"/>
      <c r="BE34" s="66"/>
      <c r="BF34" s="66"/>
      <c r="BG34" s="66"/>
      <c r="BH34" s="66"/>
    </row>
    <row r="35" spans="1:60" ht="14.25" hidden="1" customHeight="1">
      <c r="Q35" s="167"/>
      <c r="R35" s="27"/>
      <c r="S35" s="769"/>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9"/>
      <c r="M36" s="79"/>
      <c r="N36" s="79"/>
      <c r="O36" s="79"/>
      <c r="P36" s="79"/>
      <c r="Q36" s="79"/>
      <c r="S36" s="1276" t="s">
        <v>481</v>
      </c>
      <c r="T36" s="1276"/>
      <c r="U36" s="802"/>
      <c r="V36" s="1277"/>
      <c r="W36" s="1277"/>
      <c r="X36" s="1277"/>
      <c r="Y36" s="1277"/>
      <c r="Z36" s="1277"/>
      <c r="AA36" s="1277"/>
      <c r="AB36" s="1277"/>
      <c r="AC36" s="9"/>
      <c r="AD36" s="1277" t="str">
        <f>IF(TITLE_DATE_CHANGE_PERIOD="",IF(TITLE_DATE_PR="","",TITLE_DATE_PR),TITLE_DATE_CHANGE_PERIOD)</f>
        <v/>
      </c>
      <c r="AE36" s="1277"/>
      <c r="AF36" s="1277"/>
      <c r="AG36" s="1277"/>
      <c r="AH36" s="1277"/>
      <c r="AI36" s="1277"/>
      <c r="AJ36" s="1277"/>
      <c r="AK36" s="1277"/>
      <c r="AL36" s="1277"/>
      <c r="AM36" s="1277"/>
      <c r="AN36" s="1277"/>
      <c r="AO36" s="1277"/>
      <c r="AP36" s="1277"/>
      <c r="AQ36" s="1277"/>
      <c r="AR36" s="1277"/>
      <c r="AS36" s="1277"/>
      <c r="AT36" s="1277"/>
      <c r="AU36" s="1277"/>
      <c r="AV36" s="1277"/>
      <c r="AW36" s="1277"/>
      <c r="AX36" s="1277"/>
      <c r="AY36" s="1277"/>
      <c r="AZ36" s="1277"/>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9"/>
      <c r="M37" s="79"/>
      <c r="N37" s="79"/>
      <c r="O37" s="79"/>
      <c r="P37" s="79"/>
      <c r="Q37" s="79"/>
      <c r="S37" s="1276" t="s">
        <v>482</v>
      </c>
      <c r="T37" s="1276"/>
      <c r="U37" s="802"/>
      <c r="V37" s="1278"/>
      <c r="W37" s="1278"/>
      <c r="X37" s="1278"/>
      <c r="Y37" s="1278"/>
      <c r="Z37" s="1278"/>
      <c r="AA37" s="1278"/>
      <c r="AB37" s="1278"/>
      <c r="AC37" s="9"/>
      <c r="AD37" s="1278" t="str">
        <f>IF(TITLE_NUMBER_PR_CHANGE="",IF(TITLE_NUMBER_PR="","",TITLE_NUMBER_PR),TITLE_NUMBER_PR_CHANGE)</f>
        <v/>
      </c>
      <c r="AE37" s="1278"/>
      <c r="AF37" s="1278"/>
      <c r="AG37" s="1278"/>
      <c r="AH37" s="1278"/>
      <c r="AI37" s="1278"/>
      <c r="AJ37" s="1278"/>
      <c r="AK37" s="1278"/>
      <c r="AL37" s="1278"/>
      <c r="AM37" s="1278"/>
      <c r="AN37" s="1278"/>
      <c r="AO37" s="1278"/>
      <c r="AP37" s="1278"/>
      <c r="AQ37" s="1278"/>
      <c r="AR37" s="1278"/>
      <c r="AS37" s="1278"/>
      <c r="AT37" s="1278"/>
      <c r="AU37" s="1278"/>
      <c r="AV37" s="1278"/>
      <c r="AW37" s="1278"/>
      <c r="AX37" s="1278"/>
      <c r="AY37" s="1278"/>
      <c r="AZ37" s="1278"/>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9"/>
      <c r="M38" s="79"/>
      <c r="N38" s="79"/>
      <c r="O38" s="79"/>
      <c r="P38" s="79"/>
      <c r="Q38" s="79"/>
      <c r="S38" s="9"/>
      <c r="T38" s="9"/>
      <c r="U38" s="75"/>
      <c r="V38" s="9"/>
      <c r="W38" s="9"/>
      <c r="X38" s="9"/>
      <c r="Y38" s="9"/>
      <c r="Z38" s="9"/>
      <c r="AA38" s="9"/>
      <c r="AB38" s="9"/>
      <c r="AC38" s="65" t="s">
        <v>485</v>
      </c>
      <c r="AD38" s="9"/>
      <c r="AE38" s="9"/>
      <c r="AF38" s="9"/>
      <c r="AG38" s="9"/>
      <c r="AH38" s="9"/>
      <c r="AI38" s="9"/>
      <c r="AJ38" s="9"/>
      <c r="AK38" s="9"/>
      <c r="AL38" s="9"/>
      <c r="AM38" s="9"/>
      <c r="AN38" s="9"/>
      <c r="AO38" s="9"/>
      <c r="AP38" s="9"/>
      <c r="AQ38" s="9"/>
      <c r="AR38" s="9"/>
      <c r="AS38" s="9"/>
      <c r="AT38" s="9"/>
      <c r="AU38" s="9"/>
      <c r="AV38" s="9"/>
      <c r="AW38" s="9"/>
      <c r="AX38" s="9"/>
      <c r="AY38" s="9"/>
      <c r="AZ38" s="9"/>
      <c r="BA38" s="65" t="s">
        <v>485</v>
      </c>
      <c r="BD38" s="66"/>
      <c r="BE38" s="66"/>
      <c r="BF38" s="66"/>
      <c r="BG38" s="66"/>
      <c r="BH38" s="66"/>
    </row>
    <row r="39" spans="1:60" ht="14.25" customHeight="1">
      <c r="Q39" s="167"/>
      <c r="R39" s="27"/>
      <c r="S39" s="769"/>
      <c r="T39" s="8"/>
      <c r="U39" s="741"/>
      <c r="V39" s="1296"/>
      <c r="W39" s="1296"/>
      <c r="X39" s="1296"/>
      <c r="Y39" s="1296"/>
      <c r="Z39" s="1296"/>
      <c r="AA39" s="1296"/>
      <c r="AB39" s="1296"/>
      <c r="AC39" s="1296"/>
      <c r="AD39" s="1296"/>
      <c r="AE39" s="1296"/>
      <c r="AF39" s="1296"/>
      <c r="AG39" s="1296"/>
      <c r="AH39" s="1296"/>
      <c r="AI39" s="1296"/>
      <c r="AJ39" s="1296"/>
      <c r="AK39" s="1296"/>
      <c r="AL39" s="1296"/>
      <c r="AM39" s="1296"/>
      <c r="AN39" s="1296"/>
      <c r="AO39" s="1296"/>
      <c r="AP39" s="1296"/>
      <c r="AQ39" s="1296"/>
      <c r="AR39" s="1296"/>
      <c r="AS39" s="1296"/>
      <c r="AT39" s="1296"/>
      <c r="AU39" s="1296"/>
      <c r="AV39" s="1296"/>
      <c r="AW39" s="1296"/>
      <c r="AX39" s="1296"/>
      <c r="AY39" s="1296"/>
      <c r="AZ39" s="1296"/>
      <c r="BA39" s="1296"/>
    </row>
    <row r="40" spans="1:60" ht="14.25" customHeight="1">
      <c r="Q40" s="167"/>
      <c r="R40" s="27"/>
      <c r="S40" s="1083" t="s">
        <v>288</v>
      </c>
      <c r="T40" s="1083"/>
      <c r="U40" s="1083"/>
      <c r="V40" s="1083"/>
      <c r="W40" s="1083"/>
      <c r="X40" s="1083"/>
      <c r="Y40" s="1083"/>
      <c r="Z40" s="1083"/>
      <c r="AA40" s="1083"/>
      <c r="AB40" s="1083"/>
      <c r="AC40" s="1083"/>
      <c r="AD40" s="1083"/>
      <c r="AE40" s="1083"/>
      <c r="AF40" s="1083"/>
      <c r="AG40" s="1083"/>
      <c r="AH40" s="1083"/>
      <c r="AI40" s="1083"/>
      <c r="AJ40" s="1083"/>
      <c r="AK40" s="1083"/>
      <c r="AL40" s="1083"/>
      <c r="AM40" s="1083"/>
      <c r="AN40" s="1083"/>
      <c r="AO40" s="1083"/>
      <c r="AP40" s="1083"/>
      <c r="AQ40" s="1083"/>
      <c r="AR40" s="1083"/>
      <c r="AS40" s="1083"/>
      <c r="AT40" s="1083"/>
      <c r="AU40" s="1083"/>
      <c r="AV40" s="1083"/>
      <c r="AW40" s="1083"/>
      <c r="AX40" s="1083"/>
      <c r="AY40" s="1083"/>
      <c r="AZ40" s="1083"/>
      <c r="BA40" s="1083"/>
      <c r="BB40" s="1083"/>
      <c r="BC40" s="1083" t="s">
        <v>289</v>
      </c>
    </row>
    <row r="41" spans="1:60" ht="14.25" customHeight="1">
      <c r="Q41" s="167"/>
      <c r="R41" s="27"/>
      <c r="S41" s="1297" t="s">
        <v>88</v>
      </c>
      <c r="T41" s="1168" t="s">
        <v>1699</v>
      </c>
      <c r="U41" s="171"/>
      <c r="V41" s="1298" t="s">
        <v>487</v>
      </c>
      <c r="W41" s="1299"/>
      <c r="X41" s="1299"/>
      <c r="Y41" s="1299"/>
      <c r="Z41" s="1299"/>
      <c r="AA41" s="1299"/>
      <c r="AB41" s="1300"/>
      <c r="AC41" s="1301" t="s">
        <v>488</v>
      </c>
      <c r="AD41" s="1324" t="s">
        <v>2105</v>
      </c>
      <c r="AE41" s="1313"/>
      <c r="AF41" s="1313"/>
      <c r="AG41" s="1325"/>
      <c r="AH41" s="1324" t="s">
        <v>2106</v>
      </c>
      <c r="AI41" s="1313"/>
      <c r="AJ41" s="1313"/>
      <c r="AK41" s="1325"/>
      <c r="AL41" s="1324" t="s">
        <v>2107</v>
      </c>
      <c r="AM41" s="1313"/>
      <c r="AN41" s="1313"/>
      <c r="AO41" s="1325"/>
      <c r="AP41" s="1324" t="s">
        <v>1703</v>
      </c>
      <c r="AQ41" s="1313"/>
      <c r="AR41" s="1313"/>
      <c r="AS41" s="1325"/>
      <c r="AT41" s="1298" t="s">
        <v>487</v>
      </c>
      <c r="AU41" s="1299"/>
      <c r="AV41" s="1299"/>
      <c r="AW41" s="1299"/>
      <c r="AX41" s="1299"/>
      <c r="AY41" s="1299"/>
      <c r="AZ41" s="1300"/>
      <c r="BA41" s="1301" t="s">
        <v>488</v>
      </c>
      <c r="BB41" s="1304" t="s">
        <v>490</v>
      </c>
      <c r="BC41" s="1083"/>
    </row>
    <row r="42" spans="1:60" ht="33.75" customHeight="1">
      <c r="Q42" s="167"/>
      <c r="R42" s="27"/>
      <c r="S42" s="1297"/>
      <c r="T42" s="1168"/>
      <c r="U42" s="626"/>
      <c r="V42" s="1138" t="s">
        <v>1704</v>
      </c>
      <c r="W42" s="1139"/>
      <c r="X42" s="1138" t="s">
        <v>1705</v>
      </c>
      <c r="Y42" s="1139"/>
      <c r="Z42" s="1138" t="s">
        <v>1706</v>
      </c>
      <c r="AA42" s="1318"/>
      <c r="AB42" s="1139"/>
      <c r="AC42" s="1302"/>
      <c r="AD42" s="1326"/>
      <c r="AE42" s="1327"/>
      <c r="AF42" s="1327"/>
      <c r="AG42" s="1339"/>
      <c r="AH42" s="1326"/>
      <c r="AI42" s="1327"/>
      <c r="AJ42" s="1327"/>
      <c r="AK42" s="1339"/>
      <c r="AL42" s="1326"/>
      <c r="AM42" s="1327"/>
      <c r="AN42" s="1327"/>
      <c r="AO42" s="1339"/>
      <c r="AP42" s="1326"/>
      <c r="AQ42" s="1327"/>
      <c r="AR42" s="1327"/>
      <c r="AS42" s="1339"/>
      <c r="AT42" s="1138" t="s">
        <v>2108</v>
      </c>
      <c r="AU42" s="1139"/>
      <c r="AV42" s="1138" t="s">
        <v>2109</v>
      </c>
      <c r="AW42" s="1139"/>
      <c r="AX42" s="1138" t="s">
        <v>1706</v>
      </c>
      <c r="AY42" s="1318"/>
      <c r="AZ42" s="1139"/>
      <c r="BA42" s="1302"/>
      <c r="BB42" s="1305"/>
      <c r="BC42" s="1083"/>
    </row>
    <row r="43" spans="1:60" ht="14.25" customHeight="1">
      <c r="Q43" s="167"/>
      <c r="R43" s="27"/>
      <c r="S43" s="1297"/>
      <c r="T43" s="1168"/>
      <c r="U43" s="626"/>
      <c r="V43" s="1143"/>
      <c r="W43" s="1144"/>
      <c r="X43" s="1143"/>
      <c r="Y43" s="1144"/>
      <c r="Z43" s="1143"/>
      <c r="AA43" s="1319"/>
      <c r="AB43" s="1144"/>
      <c r="AC43" s="1302"/>
      <c r="AD43" s="1326"/>
      <c r="AE43" s="1327"/>
      <c r="AF43" s="1327"/>
      <c r="AG43" s="1339"/>
      <c r="AH43" s="1326"/>
      <c r="AI43" s="1327"/>
      <c r="AJ43" s="1327"/>
      <c r="AK43" s="1339"/>
      <c r="AL43" s="1326"/>
      <c r="AM43" s="1327"/>
      <c r="AN43" s="1327"/>
      <c r="AO43" s="1339"/>
      <c r="AP43" s="1326"/>
      <c r="AQ43" s="1327"/>
      <c r="AR43" s="1327"/>
      <c r="AS43" s="1339"/>
      <c r="AT43" s="1143"/>
      <c r="AU43" s="1144"/>
      <c r="AV43" s="1143"/>
      <c r="AW43" s="1144"/>
      <c r="AX43" s="1143"/>
      <c r="AY43" s="1319"/>
      <c r="AZ43" s="1144"/>
      <c r="BA43" s="1302"/>
      <c r="BB43" s="1305"/>
      <c r="BC43" s="1083"/>
    </row>
    <row r="44" spans="1:60" ht="14.25" customHeight="1">
      <c r="A44" s="79"/>
      <c r="B44" s="79" t="s">
        <v>137</v>
      </c>
      <c r="C44" s="79" t="s">
        <v>138</v>
      </c>
      <c r="D44" s="79" t="s">
        <v>139</v>
      </c>
      <c r="E44" s="799" t="s">
        <v>495</v>
      </c>
      <c r="F44" s="799" t="s">
        <v>496</v>
      </c>
      <c r="G44" s="799" t="s">
        <v>497</v>
      </c>
      <c r="H44" s="799" t="s">
        <v>498</v>
      </c>
      <c r="I44" s="799" t="s">
        <v>499</v>
      </c>
      <c r="J44" s="799" t="s">
        <v>500</v>
      </c>
      <c r="K44" s="799" t="s">
        <v>501</v>
      </c>
      <c r="L44" s="799" t="s">
        <v>476</v>
      </c>
      <c r="Q44" s="167"/>
      <c r="R44" s="27"/>
      <c r="S44" s="1297"/>
      <c r="T44" s="1168"/>
      <c r="U44" s="172"/>
      <c r="V44" s="34" t="s">
        <v>549</v>
      </c>
      <c r="W44" s="34" t="s">
        <v>550</v>
      </c>
      <c r="X44" s="34" t="s">
        <v>549</v>
      </c>
      <c r="Y44" s="34" t="s">
        <v>550</v>
      </c>
      <c r="Z44" s="37" t="s">
        <v>504</v>
      </c>
      <c r="AA44" s="1174" t="s">
        <v>505</v>
      </c>
      <c r="AB44" s="1188"/>
      <c r="AC44" s="1303"/>
      <c r="AD44" s="1328"/>
      <c r="AE44" s="1329"/>
      <c r="AF44" s="1329"/>
      <c r="AG44" s="1330"/>
      <c r="AH44" s="1328"/>
      <c r="AI44" s="1329"/>
      <c r="AJ44" s="1329"/>
      <c r="AK44" s="1330"/>
      <c r="AL44" s="1328"/>
      <c r="AM44" s="1329"/>
      <c r="AN44" s="1329"/>
      <c r="AO44" s="1330"/>
      <c r="AP44" s="1328"/>
      <c r="AQ44" s="1329"/>
      <c r="AR44" s="1329"/>
      <c r="AS44" s="1330"/>
      <c r="AT44" s="34" t="s">
        <v>549</v>
      </c>
      <c r="AU44" s="34" t="s">
        <v>550</v>
      </c>
      <c r="AV44" s="34" t="s">
        <v>549</v>
      </c>
      <c r="AW44" s="34" t="s">
        <v>550</v>
      </c>
      <c r="AX44" s="37" t="s">
        <v>504</v>
      </c>
      <c r="AY44" s="1174" t="s">
        <v>505</v>
      </c>
      <c r="AZ44" s="1188"/>
      <c r="BA44" s="1303"/>
      <c r="BB44" s="1306"/>
      <c r="BC44" s="1083"/>
    </row>
    <row r="45" spans="1:60" s="209" customFormat="1" ht="11.25" hidden="1" customHeight="1">
      <c r="A45" s="79"/>
      <c r="B45" s="79"/>
      <c r="C45" s="79"/>
      <c r="D45" s="79"/>
      <c r="E45" s="79"/>
      <c r="F45" s="79"/>
      <c r="G45" s="79"/>
      <c r="H45" s="79"/>
      <c r="I45" s="79"/>
      <c r="J45" s="79"/>
      <c r="K45" s="79"/>
      <c r="L45" s="799"/>
      <c r="M45" s="522"/>
      <c r="N45" s="522"/>
      <c r="O45" s="522"/>
      <c r="P45" s="228"/>
      <c r="Q45" s="752"/>
      <c r="R45" s="752">
        <v>1</v>
      </c>
      <c r="S45" s="771" t="s">
        <v>110</v>
      </c>
      <c r="T45" s="753" t="s">
        <v>111</v>
      </c>
      <c r="U45" s="742" t="str">
        <f ca="1">OFFSET(U45,0,-1)</f>
        <v>2</v>
      </c>
      <c r="V45" s="754">
        <f t="shared" ref="V45:AA45" ca="1" si="2">OFFSET(V45,0,-1)+1</f>
        <v>3</v>
      </c>
      <c r="W45" s="754">
        <f t="shared" ca="1" si="2"/>
        <v>4</v>
      </c>
      <c r="X45" s="754">
        <f t="shared" ca="1" si="2"/>
        <v>5</v>
      </c>
      <c r="Y45" s="754">
        <f t="shared" ca="1" si="2"/>
        <v>6</v>
      </c>
      <c r="Z45" s="754">
        <f t="shared" ca="1" si="2"/>
        <v>7</v>
      </c>
      <c r="AA45" s="1295">
        <f t="shared" ca="1" si="2"/>
        <v>8</v>
      </c>
      <c r="AB45" s="1295"/>
      <c r="AC45" s="754">
        <f ca="1">OFFSET(AC45,0,-2)+1</f>
        <v>9</v>
      </c>
      <c r="AD45" s="754">
        <f ca="1">OFFSET(AD45,0,-1)+1</f>
        <v>10</v>
      </c>
      <c r="AE45" s="754"/>
      <c r="AF45" s="754"/>
      <c r="AG45" s="754"/>
      <c r="AH45" s="754"/>
      <c r="AI45" s="754"/>
      <c r="AJ45" s="754"/>
      <c r="AK45" s="754"/>
      <c r="AL45" s="754"/>
      <c r="AM45" s="754"/>
      <c r="AN45" s="754"/>
      <c r="AO45" s="754"/>
      <c r="AP45" s="754"/>
      <c r="AQ45" s="754"/>
      <c r="AR45" s="754"/>
      <c r="AS45" s="754"/>
      <c r="AT45" s="754"/>
      <c r="AU45" s="754"/>
      <c r="AV45" s="754"/>
      <c r="AW45" s="754">
        <f ca="1">OFFSET(AW45,0,-1)+1</f>
        <v>1</v>
      </c>
      <c r="AX45" s="754">
        <f ca="1">OFFSET(AX45,0,-1)+1</f>
        <v>2</v>
      </c>
      <c r="AY45" s="1295">
        <f ca="1">OFFSET(AY45,0,-1)+1</f>
        <v>3</v>
      </c>
      <c r="AZ45" s="1295"/>
      <c r="BA45" s="754">
        <f ca="1">OFFSET(BA45,0,-2)+1</f>
        <v>4</v>
      </c>
      <c r="BB45" s="742">
        <f ca="1">OFFSET(BB45,0,-1)</f>
        <v>4</v>
      </c>
      <c r="BC45" s="754">
        <f ca="1">OFFSET(BC45,0,-1)+1</f>
        <v>5</v>
      </c>
      <c r="BD45" s="65"/>
      <c r="BE45" s="65"/>
      <c r="BF45" s="65"/>
      <c r="BG45" s="65"/>
      <c r="BH45" s="65"/>
    </row>
    <row r="46" spans="1:60" ht="21" customHeight="1">
      <c r="A46" s="798" t="s">
        <v>264</v>
      </c>
      <c r="B46" s="798"/>
      <c r="C46" s="798"/>
      <c r="D46" s="798"/>
      <c r="E46" s="1285">
        <v>1</v>
      </c>
      <c r="F46" s="798"/>
      <c r="G46" s="798"/>
      <c r="H46" s="798"/>
      <c r="I46" s="798"/>
      <c r="J46" s="798"/>
      <c r="K46" s="798"/>
      <c r="L46" s="799"/>
      <c r="M46" s="435"/>
      <c r="N46" s="435"/>
      <c r="O46" s="435"/>
      <c r="Q46" s="59"/>
      <c r="R46" s="213"/>
      <c r="S46" s="730">
        <f>INDEX(PT_DIFFERENTIATION_NUM_NTAR,MATCH(A46,PT_DIFFERENTIATION_NTAR_ID,0))</f>
        <v>0</v>
      </c>
      <c r="T46" s="64" t="s">
        <v>125</v>
      </c>
      <c r="U46" s="170"/>
      <c r="V46" s="1280"/>
      <c r="W46" s="1280"/>
      <c r="X46" s="1280"/>
      <c r="Y46" s="1280"/>
      <c r="Z46" s="1280"/>
      <c r="AA46" s="1280"/>
      <c r="AB46" s="1280"/>
      <c r="AC46" s="1281"/>
      <c r="AD46" s="1279" t="str">
        <f>INDEX(PT_DIFFERENTIATION_NTAR,MATCH(A46,PT_DIFFERENTIATION_NTAR_ID,0))</f>
        <v/>
      </c>
      <c r="AE46" s="1280"/>
      <c r="AF46" s="1280"/>
      <c r="AG46" s="1280"/>
      <c r="AH46" s="1280"/>
      <c r="AI46" s="1280"/>
      <c r="AJ46" s="1280"/>
      <c r="AK46" s="1280"/>
      <c r="AL46" s="1280"/>
      <c r="AM46" s="1280"/>
      <c r="AN46" s="1280"/>
      <c r="AO46" s="1280"/>
      <c r="AP46" s="1280"/>
      <c r="AQ46" s="1280"/>
      <c r="AR46" s="1280"/>
      <c r="AS46" s="1280"/>
      <c r="AT46" s="1280"/>
      <c r="AU46" s="1280"/>
      <c r="AV46" s="1280"/>
      <c r="AW46" s="1280"/>
      <c r="AX46" s="1280"/>
      <c r="AY46" s="1280"/>
      <c r="AZ46" s="1280"/>
      <c r="BA46" s="1280"/>
      <c r="BB46" s="1281"/>
      <c r="BC46" s="758"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8" t="s">
        <v>264</v>
      </c>
      <c r="B47" s="798" t="s">
        <v>265</v>
      </c>
      <c r="C47" s="798"/>
      <c r="D47" s="798"/>
      <c r="E47" s="1286"/>
      <c r="F47" s="1285">
        <v>1</v>
      </c>
      <c r="G47" s="798"/>
      <c r="H47" s="798"/>
      <c r="I47" s="798"/>
      <c r="J47" s="798"/>
      <c r="K47" s="798"/>
      <c r="L47" s="799"/>
      <c r="M47" s="435"/>
      <c r="N47" s="435"/>
      <c r="O47" s="435"/>
      <c r="P47" s="312"/>
      <c r="Q47" s="831"/>
      <c r="R47" s="211"/>
      <c r="S47" s="730" t="str">
        <f>INDEX(PT_DIFFERENTIATION_NUM_TER,MATCH(B47,PT_DIFFERENTIATION_TER_ID,0))</f>
        <v>.</v>
      </c>
      <c r="T47" s="178" t="s">
        <v>458</v>
      </c>
      <c r="U47" s="170"/>
      <c r="V47" s="1280"/>
      <c r="W47" s="1280"/>
      <c r="X47" s="1280"/>
      <c r="Y47" s="1280"/>
      <c r="Z47" s="1280"/>
      <c r="AA47" s="1280"/>
      <c r="AB47" s="1280"/>
      <c r="AC47" s="1281"/>
      <c r="AD47" s="1279" t="str">
        <f>INDEX(PT_DIFFERENTIATION_TER,MATCH(B47,PT_DIFFERENTIATION_TER_ID,0))</f>
        <v/>
      </c>
      <c r="AE47" s="1280"/>
      <c r="AF47" s="1280"/>
      <c r="AG47" s="1280"/>
      <c r="AH47" s="1280"/>
      <c r="AI47" s="1280"/>
      <c r="AJ47" s="1280"/>
      <c r="AK47" s="1280"/>
      <c r="AL47" s="1280"/>
      <c r="AM47" s="1280"/>
      <c r="AN47" s="1280"/>
      <c r="AO47" s="1280"/>
      <c r="AP47" s="1280"/>
      <c r="AQ47" s="1280"/>
      <c r="AR47" s="1280"/>
      <c r="AS47" s="1280"/>
      <c r="AT47" s="1280"/>
      <c r="AU47" s="1280"/>
      <c r="AV47" s="1280"/>
      <c r="AW47" s="1280"/>
      <c r="AX47" s="1280"/>
      <c r="AY47" s="1280"/>
      <c r="AZ47" s="1280"/>
      <c r="BA47" s="1280"/>
      <c r="BB47" s="1281"/>
      <c r="BC47" s="758" t="s">
        <v>459</v>
      </c>
      <c r="BE47" s="66"/>
      <c r="BF47" s="66" t="str">
        <f t="shared" si="3"/>
        <v>Территория действия тарифа</v>
      </c>
      <c r="BG47" s="66"/>
      <c r="BH47" s="66"/>
    </row>
    <row r="48" spans="1:60" ht="33.75" customHeight="1">
      <c r="A48" s="798" t="s">
        <v>264</v>
      </c>
      <c r="B48" s="798" t="s">
        <v>265</v>
      </c>
      <c r="C48" s="798" t="s">
        <v>266</v>
      </c>
      <c r="D48" s="798"/>
      <c r="E48" s="1286"/>
      <c r="F48" s="1286"/>
      <c r="G48" s="1285">
        <v>1</v>
      </c>
      <c r="H48" s="798"/>
      <c r="I48" s="798"/>
      <c r="J48" s="798"/>
      <c r="K48" s="798"/>
      <c r="L48" s="799"/>
      <c r="M48" s="435"/>
      <c r="N48" s="435"/>
      <c r="O48" s="435"/>
      <c r="P48" s="128"/>
      <c r="Q48" s="831"/>
      <c r="R48" s="211"/>
      <c r="S48" s="730" t="str">
        <f>INDEX(PT_DIFFERENTIATION_NUM_CS,MATCH(C48,PT_DIFFERENTIATION_CS_ID,0))</f>
        <v>..</v>
      </c>
      <c r="T48" s="179" t="s">
        <v>2095</v>
      </c>
      <c r="U48" s="170"/>
      <c r="V48" s="1280"/>
      <c r="W48" s="1280"/>
      <c r="X48" s="1280"/>
      <c r="Y48" s="1280"/>
      <c r="Z48" s="1280"/>
      <c r="AA48" s="1280"/>
      <c r="AB48" s="1280"/>
      <c r="AC48" s="1281"/>
      <c r="AD48" s="1279" t="str">
        <f>INDEX(PT_DIFFERENTIATION_CS,MATCH(C48,PT_DIFFERENTIATION_CS_ID,0))</f>
        <v/>
      </c>
      <c r="AE48" s="1280"/>
      <c r="AF48" s="1280"/>
      <c r="AG48" s="1280"/>
      <c r="AH48" s="1280"/>
      <c r="AI48" s="1280"/>
      <c r="AJ48" s="1280"/>
      <c r="AK48" s="1280"/>
      <c r="AL48" s="1280"/>
      <c r="AM48" s="1280"/>
      <c r="AN48" s="1280"/>
      <c r="AO48" s="1280"/>
      <c r="AP48" s="1280"/>
      <c r="AQ48" s="1280"/>
      <c r="AR48" s="1280"/>
      <c r="AS48" s="1280"/>
      <c r="AT48" s="1280"/>
      <c r="AU48" s="1280"/>
      <c r="AV48" s="1280"/>
      <c r="AW48" s="1280"/>
      <c r="AX48" s="1280"/>
      <c r="AY48" s="1280"/>
      <c r="AZ48" s="1280"/>
      <c r="BA48" s="1280"/>
      <c r="BB48" s="1281"/>
      <c r="BC48" s="758" t="s">
        <v>2096</v>
      </c>
      <c r="BE48" s="66"/>
      <c r="BF48" s="66" t="str">
        <f t="shared" si="3"/>
        <v>Наименование централизованной системы водоотведения</v>
      </c>
      <c r="BG48" s="66"/>
      <c r="BH48" s="66"/>
    </row>
    <row r="49" spans="1:60" s="65" customFormat="1" ht="0" hidden="1" customHeight="1">
      <c r="A49" s="142" t="s">
        <v>264</v>
      </c>
      <c r="B49" s="142" t="s">
        <v>265</v>
      </c>
      <c r="C49" s="142" t="s">
        <v>266</v>
      </c>
      <c r="D49" s="142" t="s">
        <v>2110</v>
      </c>
      <c r="E49" s="1286"/>
      <c r="F49" s="1286"/>
      <c r="G49" s="1286"/>
      <c r="H49" s="1285">
        <v>1</v>
      </c>
      <c r="I49" s="142"/>
      <c r="J49" s="142"/>
      <c r="K49" s="142"/>
      <c r="L49" s="357"/>
      <c r="M49" s="304"/>
      <c r="N49" s="304"/>
      <c r="O49" s="304"/>
      <c r="P49" s="849"/>
      <c r="Q49" s="850"/>
      <c r="R49" s="215"/>
      <c r="S49" s="373"/>
      <c r="T49" s="851"/>
      <c r="U49" s="809"/>
      <c r="V49" s="1315"/>
      <c r="W49" s="1315"/>
      <c r="X49" s="1315"/>
      <c r="Y49" s="1315"/>
      <c r="Z49" s="1315"/>
      <c r="AA49" s="1315"/>
      <c r="AB49" s="1315"/>
      <c r="AC49" s="1316"/>
      <c r="AD49" s="1314"/>
      <c r="AE49" s="1315"/>
      <c r="AF49" s="1315"/>
      <c r="AG49" s="1315"/>
      <c r="AH49" s="1315"/>
      <c r="AI49" s="1315"/>
      <c r="AJ49" s="1315"/>
      <c r="AK49" s="1315"/>
      <c r="AL49" s="1315"/>
      <c r="AM49" s="1315"/>
      <c r="AN49" s="1315"/>
      <c r="AO49" s="1315"/>
      <c r="AP49" s="1315"/>
      <c r="AQ49" s="1315"/>
      <c r="AR49" s="1315"/>
      <c r="AS49" s="1315"/>
      <c r="AT49" s="1315"/>
      <c r="AU49" s="1315"/>
      <c r="AV49" s="1315"/>
      <c r="AW49" s="1315"/>
      <c r="AX49" s="1315"/>
      <c r="AY49" s="1315"/>
      <c r="AZ49" s="1315"/>
      <c r="BA49" s="1315"/>
      <c r="BB49" s="1316"/>
      <c r="BC49" s="810" t="s">
        <v>463</v>
      </c>
      <c r="BE49" s="66"/>
      <c r="BF49" s="66" t="str">
        <f t="shared" si="3"/>
        <v/>
      </c>
      <c r="BG49" s="66"/>
      <c r="BH49" s="66"/>
    </row>
    <row r="50" spans="1:60" s="65" customFormat="1" ht="0" hidden="1" customHeight="1">
      <c r="A50" s="142" t="s">
        <v>264</v>
      </c>
      <c r="B50" s="142" t="s">
        <v>265</v>
      </c>
      <c r="C50" s="142" t="s">
        <v>266</v>
      </c>
      <c r="D50" s="142" t="s">
        <v>2110</v>
      </c>
      <c r="E50" s="1286"/>
      <c r="F50" s="1286"/>
      <c r="G50" s="1286"/>
      <c r="H50" s="1286"/>
      <c r="I50" s="1287" t="str">
        <f>S49&amp;".1"</f>
        <v>.1</v>
      </c>
      <c r="J50" s="142"/>
      <c r="K50" s="142"/>
      <c r="L50" s="357" t="s">
        <v>464</v>
      </c>
      <c r="M50" s="228"/>
      <c r="N50" s="228"/>
      <c r="O50" s="228"/>
      <c r="P50" s="1204">
        <v>1</v>
      </c>
      <c r="Q50" s="119"/>
      <c r="R50" s="214"/>
      <c r="S50" s="373"/>
      <c r="T50" s="808"/>
      <c r="U50" s="809"/>
      <c r="V50" s="1315"/>
      <c r="W50" s="1315"/>
      <c r="X50" s="1315"/>
      <c r="Y50" s="1315"/>
      <c r="Z50" s="1315"/>
      <c r="AA50" s="1315"/>
      <c r="AB50" s="1315"/>
      <c r="AC50" s="1316"/>
      <c r="AD50" s="1314"/>
      <c r="AE50" s="1315"/>
      <c r="AF50" s="1315"/>
      <c r="AG50" s="1315"/>
      <c r="AH50" s="1315"/>
      <c r="AI50" s="1315"/>
      <c r="AJ50" s="1315"/>
      <c r="AK50" s="1315"/>
      <c r="AL50" s="1315"/>
      <c r="AM50" s="1315"/>
      <c r="AN50" s="1315"/>
      <c r="AO50" s="1315"/>
      <c r="AP50" s="1315"/>
      <c r="AQ50" s="1315"/>
      <c r="AR50" s="1315"/>
      <c r="AS50" s="1315"/>
      <c r="AT50" s="1315"/>
      <c r="AU50" s="1315"/>
      <c r="AV50" s="1315"/>
      <c r="AW50" s="1315"/>
      <c r="AX50" s="1315"/>
      <c r="AY50" s="1315"/>
      <c r="AZ50" s="1315"/>
      <c r="BA50" s="1315"/>
      <c r="BB50" s="1316"/>
      <c r="BC50" s="810"/>
      <c r="BE50" s="66"/>
      <c r="BF50" s="66" t="str">
        <f t="shared" si="3"/>
        <v/>
      </c>
      <c r="BG50" s="66"/>
      <c r="BH50" s="66"/>
    </row>
    <row r="51" spans="1:60" s="65" customFormat="1" ht="0" hidden="1" customHeight="1">
      <c r="A51" s="142" t="s">
        <v>264</v>
      </c>
      <c r="B51" s="142" t="s">
        <v>265</v>
      </c>
      <c r="C51" s="142" t="s">
        <v>266</v>
      </c>
      <c r="D51" s="142" t="s">
        <v>2110</v>
      </c>
      <c r="E51" s="1286"/>
      <c r="F51" s="1286"/>
      <c r="G51" s="1286"/>
      <c r="H51" s="1286"/>
      <c r="I51" s="1288"/>
      <c r="J51" s="1287" t="str">
        <f>S49&amp;".1"</f>
        <v>.1</v>
      </c>
      <c r="K51" s="142"/>
      <c r="L51" s="357"/>
      <c r="M51" s="228"/>
      <c r="N51" s="228"/>
      <c r="O51" s="228"/>
      <c r="P51" s="1204"/>
      <c r="Q51" s="1204">
        <v>1</v>
      </c>
      <c r="R51" s="215"/>
      <c r="S51" s="373"/>
      <c r="T51" s="823"/>
      <c r="U51" s="809"/>
      <c r="V51" s="1315"/>
      <c r="W51" s="1315"/>
      <c r="X51" s="1315"/>
      <c r="Y51" s="1315"/>
      <c r="Z51" s="1315"/>
      <c r="AA51" s="1315"/>
      <c r="AB51" s="1315"/>
      <c r="AC51" s="1316"/>
      <c r="AD51" s="1314"/>
      <c r="AE51" s="1315"/>
      <c r="AF51" s="1315"/>
      <c r="AG51" s="1315"/>
      <c r="AH51" s="1315"/>
      <c r="AI51" s="1315"/>
      <c r="AJ51" s="1315"/>
      <c r="AK51" s="1315"/>
      <c r="AL51" s="1315"/>
      <c r="AM51" s="1315"/>
      <c r="AN51" s="1400"/>
      <c r="AO51" s="1400"/>
      <c r="AP51" s="1315"/>
      <c r="AQ51" s="1315"/>
      <c r="AR51" s="1315"/>
      <c r="AS51" s="1315"/>
      <c r="AT51" s="1315"/>
      <c r="AU51" s="1315"/>
      <c r="AV51" s="1315"/>
      <c r="AW51" s="1315"/>
      <c r="AX51" s="1315"/>
      <c r="AY51" s="1315"/>
      <c r="AZ51" s="1315"/>
      <c r="BA51" s="1315"/>
      <c r="BB51" s="1316"/>
      <c r="BC51" s="810"/>
      <c r="BE51" s="66"/>
      <c r="BF51" s="66" t="str">
        <f t="shared" si="3"/>
        <v/>
      </c>
      <c r="BG51" s="66"/>
      <c r="BH51" s="66"/>
    </row>
    <row r="52" spans="1:60" ht="11.25" customHeight="1">
      <c r="A52" s="798" t="s">
        <v>264</v>
      </c>
      <c r="B52" s="798" t="s">
        <v>265</v>
      </c>
      <c r="C52" s="798" t="s">
        <v>266</v>
      </c>
      <c r="D52" s="798" t="s">
        <v>2110</v>
      </c>
      <c r="E52" s="1286"/>
      <c r="F52" s="1286"/>
      <c r="G52" s="1286"/>
      <c r="H52" s="1286"/>
      <c r="I52" s="1288"/>
      <c r="J52" s="1288"/>
      <c r="K52" s="1287" t="str">
        <f>S48&amp;".1"</f>
        <v>...1</v>
      </c>
      <c r="L52" s="799"/>
      <c r="P52" s="1204"/>
      <c r="Q52" s="1204"/>
      <c r="R52" s="215">
        <v>1</v>
      </c>
      <c r="S52" s="1335" t="str">
        <f>$K52</f>
        <v>...1</v>
      </c>
      <c r="T52" s="1394"/>
      <c r="U52" s="170"/>
      <c r="V52" s="317"/>
      <c r="W52" s="757"/>
      <c r="X52" s="317"/>
      <c r="Y52" s="757"/>
      <c r="Z52" s="979"/>
      <c r="AA52" s="308" t="s">
        <v>59</v>
      </c>
      <c r="AB52" s="979"/>
      <c r="AC52" s="308" t="s">
        <v>59</v>
      </c>
      <c r="AD52" s="1150" t="s">
        <v>59</v>
      </c>
      <c r="AE52" s="1331"/>
      <c r="AF52" s="1163">
        <v>1</v>
      </c>
      <c r="AG52" s="1393"/>
      <c r="AH52" s="1093" t="s">
        <v>59</v>
      </c>
      <c r="AI52" s="1331"/>
      <c r="AJ52" s="1163">
        <v>1</v>
      </c>
      <c r="AK52" s="1392" t="s">
        <v>18</v>
      </c>
      <c r="AL52" s="1093" t="s">
        <v>59</v>
      </c>
      <c r="AM52" s="1138"/>
      <c r="AN52" s="1163">
        <v>1</v>
      </c>
      <c r="AO52" s="1397"/>
      <c r="AP52" s="1398" t="s">
        <v>59</v>
      </c>
      <c r="AQ52" s="181"/>
      <c r="AR52" s="280">
        <v>1</v>
      </c>
      <c r="AS52" s="116" t="s">
        <v>18</v>
      </c>
      <c r="AT52" s="317"/>
      <c r="AU52" s="757"/>
      <c r="AV52" s="317"/>
      <c r="AW52" s="757"/>
      <c r="AX52" s="979"/>
      <c r="AY52" s="308" t="s">
        <v>59</v>
      </c>
      <c r="AZ52" s="979"/>
      <c r="BA52" s="308" t="s">
        <v>59</v>
      </c>
      <c r="BB52" s="795"/>
      <c r="BC52" s="1307" t="s">
        <v>1693</v>
      </c>
      <c r="BE52" s="66"/>
      <c r="BF52" s="66" t="str">
        <f t="shared" si="3"/>
        <v/>
      </c>
      <c r="BG52" s="66"/>
      <c r="BH52" s="66"/>
    </row>
    <row r="53" spans="1:60" ht="11.25" customHeight="1">
      <c r="A53" s="798"/>
      <c r="B53" s="798"/>
      <c r="C53" s="798"/>
      <c r="D53" s="798"/>
      <c r="E53" s="1286"/>
      <c r="F53" s="1286"/>
      <c r="G53" s="1286"/>
      <c r="H53" s="1286"/>
      <c r="I53" s="1288"/>
      <c r="J53" s="1288"/>
      <c r="K53" s="1287"/>
      <c r="L53" s="799"/>
      <c r="P53" s="1204"/>
      <c r="Q53" s="1204"/>
      <c r="R53" s="215"/>
      <c r="S53" s="1336"/>
      <c r="T53" s="1395"/>
      <c r="U53" s="170"/>
      <c r="V53" s="818"/>
      <c r="W53" s="848"/>
      <c r="X53" s="818"/>
      <c r="Y53" s="848"/>
      <c r="Z53" s="818"/>
      <c r="AA53" s="818"/>
      <c r="AB53" s="818"/>
      <c r="AC53" s="818"/>
      <c r="AD53" s="1151"/>
      <c r="AE53" s="1331"/>
      <c r="AF53" s="1163"/>
      <c r="AG53" s="1393"/>
      <c r="AH53" s="1093"/>
      <c r="AI53" s="1331"/>
      <c r="AJ53" s="1163"/>
      <c r="AK53" s="1392"/>
      <c r="AL53" s="1093"/>
      <c r="AM53" s="1143"/>
      <c r="AN53" s="1163"/>
      <c r="AO53" s="1397"/>
      <c r="AP53" s="1399"/>
      <c r="AQ53" s="186"/>
      <c r="AR53" s="50"/>
      <c r="AS53" s="50" t="s">
        <v>1694</v>
      </c>
      <c r="AT53" s="818"/>
      <c r="AU53" s="848"/>
      <c r="AV53" s="818"/>
      <c r="AW53" s="848"/>
      <c r="AX53" s="818"/>
      <c r="AY53" s="818"/>
      <c r="AZ53" s="818"/>
      <c r="BA53" s="818"/>
      <c r="BB53" s="822"/>
      <c r="BC53" s="1308"/>
      <c r="BE53" s="66"/>
      <c r="BF53" s="66"/>
      <c r="BG53" s="66"/>
      <c r="BH53" s="66"/>
    </row>
    <row r="54" spans="1:60" ht="11.25" customHeight="1">
      <c r="A54" s="798" t="s">
        <v>264</v>
      </c>
      <c r="B54" s="798"/>
      <c r="C54" s="798"/>
      <c r="D54" s="798"/>
      <c r="E54" s="1286"/>
      <c r="F54" s="1286"/>
      <c r="G54" s="1286"/>
      <c r="H54" s="1286"/>
      <c r="I54" s="1288"/>
      <c r="J54" s="1288"/>
      <c r="K54" s="1287"/>
      <c r="L54" s="799"/>
      <c r="P54" s="1204"/>
      <c r="Q54" s="1204"/>
      <c r="R54" s="215"/>
      <c r="S54" s="1336"/>
      <c r="T54" s="1395"/>
      <c r="U54" s="170"/>
      <c r="V54" s="818"/>
      <c r="W54" s="848"/>
      <c r="X54" s="818"/>
      <c r="Y54" s="848"/>
      <c r="Z54" s="818"/>
      <c r="AA54" s="818"/>
      <c r="AB54" s="818"/>
      <c r="AC54" s="818"/>
      <c r="AD54" s="1151"/>
      <c r="AE54" s="1331"/>
      <c r="AF54" s="1163"/>
      <c r="AG54" s="1393"/>
      <c r="AH54" s="1093"/>
      <c r="AI54" s="1331"/>
      <c r="AJ54" s="1163"/>
      <c r="AK54" s="1392"/>
      <c r="AL54" s="1093"/>
      <c r="AM54" s="186"/>
      <c r="AN54" s="852"/>
      <c r="AO54" s="852" t="s">
        <v>2103</v>
      </c>
      <c r="AP54" s="50"/>
      <c r="AQ54" s="50"/>
      <c r="AR54" s="50"/>
      <c r="AS54" s="818"/>
      <c r="AT54" s="818"/>
      <c r="AU54" s="848"/>
      <c r="AV54" s="818"/>
      <c r="AW54" s="848"/>
      <c r="AX54" s="818"/>
      <c r="AY54" s="818"/>
      <c r="AZ54" s="818"/>
      <c r="BA54" s="818"/>
      <c r="BB54" s="822"/>
      <c r="BC54" s="1308"/>
      <c r="BE54" s="66"/>
      <c r="BF54" s="66"/>
      <c r="BG54" s="66"/>
      <c r="BH54" s="66"/>
    </row>
    <row r="55" spans="1:60" ht="11.25" customHeight="1">
      <c r="A55" s="798" t="s">
        <v>264</v>
      </c>
      <c r="B55" s="798"/>
      <c r="C55" s="798"/>
      <c r="D55" s="798"/>
      <c r="E55" s="1286"/>
      <c r="F55" s="1286"/>
      <c r="G55" s="1286"/>
      <c r="H55" s="1286"/>
      <c r="I55" s="1288"/>
      <c r="J55" s="1288"/>
      <c r="K55" s="1287"/>
      <c r="L55" s="799"/>
      <c r="P55" s="1204"/>
      <c r="Q55" s="1204"/>
      <c r="R55" s="215"/>
      <c r="S55" s="1336"/>
      <c r="T55" s="1395"/>
      <c r="U55" s="170"/>
      <c r="V55" s="818"/>
      <c r="W55" s="848"/>
      <c r="X55" s="818"/>
      <c r="Y55" s="848"/>
      <c r="Z55" s="818"/>
      <c r="AA55" s="818"/>
      <c r="AB55" s="818"/>
      <c r="AC55" s="818"/>
      <c r="AD55" s="1151"/>
      <c r="AE55" s="1331"/>
      <c r="AF55" s="1163"/>
      <c r="AG55" s="1393"/>
      <c r="AH55" s="1093"/>
      <c r="AI55" s="168"/>
      <c r="AJ55" s="107"/>
      <c r="AK55" s="183" t="s">
        <v>2104</v>
      </c>
      <c r="AL55" s="818"/>
      <c r="AM55" s="818"/>
      <c r="AN55" s="818"/>
      <c r="AO55" s="818"/>
      <c r="AP55" s="818"/>
      <c r="AQ55" s="818"/>
      <c r="AR55" s="818"/>
      <c r="AS55" s="818"/>
      <c r="AT55" s="818"/>
      <c r="AU55" s="848"/>
      <c r="AV55" s="818"/>
      <c r="AW55" s="848"/>
      <c r="AX55" s="818"/>
      <c r="AY55" s="818"/>
      <c r="AZ55" s="818"/>
      <c r="BA55" s="818"/>
      <c r="BB55" s="822"/>
      <c r="BC55" s="1308"/>
      <c r="BE55" s="66"/>
      <c r="BF55" s="66"/>
      <c r="BG55" s="66"/>
      <c r="BH55" s="66"/>
    </row>
    <row r="56" spans="1:60" ht="11.25" customHeight="1">
      <c r="A56" s="798" t="s">
        <v>264</v>
      </c>
      <c r="B56" s="798" t="s">
        <v>265</v>
      </c>
      <c r="C56" s="798" t="s">
        <v>266</v>
      </c>
      <c r="D56" s="798" t="s">
        <v>2110</v>
      </c>
      <c r="E56" s="1286"/>
      <c r="F56" s="1286"/>
      <c r="G56" s="1286"/>
      <c r="H56" s="1286"/>
      <c r="I56" s="1288"/>
      <c r="J56" s="1288"/>
      <c r="K56" s="1287"/>
      <c r="L56" s="799"/>
      <c r="P56" s="1204"/>
      <c r="Q56" s="1204"/>
      <c r="R56" s="215"/>
      <c r="S56" s="1337"/>
      <c r="T56" s="1396"/>
      <c r="U56" s="170"/>
      <c r="V56" s="818"/>
      <c r="W56" s="819" t="str">
        <f>Z52&amp;"-"&amp;AB52</f>
        <v>-</v>
      </c>
      <c r="X56" s="818"/>
      <c r="Y56" s="819" t="str">
        <f>AB52&amp;"-"&amp;AD52</f>
        <v>-да</v>
      </c>
      <c r="Z56" s="818"/>
      <c r="AA56" s="818"/>
      <c r="AB56" s="818"/>
      <c r="AC56" s="818"/>
      <c r="AD56" s="1098"/>
      <c r="AE56" s="182"/>
      <c r="AF56" s="184"/>
      <c r="AG56" s="50" t="s">
        <v>1697</v>
      </c>
      <c r="AH56" s="818"/>
      <c r="AI56" s="818"/>
      <c r="AJ56" s="818"/>
      <c r="AK56" s="818"/>
      <c r="AL56" s="818"/>
      <c r="AM56" s="818"/>
      <c r="AN56" s="818"/>
      <c r="AO56" s="818"/>
      <c r="AP56" s="818"/>
      <c r="AQ56" s="818"/>
      <c r="AR56" s="818"/>
      <c r="AS56" s="818"/>
      <c r="AT56" s="818"/>
      <c r="AU56" s="819" t="str">
        <f>AX52&amp;"-"&amp;AZ52</f>
        <v>-</v>
      </c>
      <c r="AV56" s="818"/>
      <c r="AW56" s="819" t="str">
        <f>AZ52&amp;"-"&amp;BB52</f>
        <v>-</v>
      </c>
      <c r="AX56" s="818"/>
      <c r="AY56" s="818"/>
      <c r="AZ56" s="818"/>
      <c r="BA56" s="818"/>
      <c r="BB56" s="821" t="str">
        <f>BE52&amp;"-"&amp;BG52</f>
        <v>-</v>
      </c>
      <c r="BC56" s="1308"/>
      <c r="BE56" s="66"/>
      <c r="BF56" s="66" t="str">
        <f t="shared" ref="BF56:BF63" si="4">IF(T56="","",T56)</f>
        <v/>
      </c>
      <c r="BG56" s="66"/>
      <c r="BH56" s="66"/>
    </row>
    <row r="57" spans="1:60" ht="11.25" customHeight="1">
      <c r="A57" s="798" t="s">
        <v>264</v>
      </c>
      <c r="B57" s="798" t="s">
        <v>265</v>
      </c>
      <c r="C57" s="798" t="s">
        <v>266</v>
      </c>
      <c r="D57" s="798" t="s">
        <v>2110</v>
      </c>
      <c r="E57" s="1286"/>
      <c r="F57" s="1286"/>
      <c r="G57" s="1286"/>
      <c r="H57" s="1286"/>
      <c r="I57" s="1288"/>
      <c r="J57" s="1287"/>
      <c r="K57" s="798"/>
      <c r="L57" s="799"/>
      <c r="P57" s="1204"/>
      <c r="Q57" s="1204"/>
      <c r="R57" s="214"/>
      <c r="S57" s="772"/>
      <c r="T57" s="165" t="s">
        <v>538</v>
      </c>
      <c r="U57" s="221"/>
      <c r="V57" s="221"/>
      <c r="W57" s="221"/>
      <c r="X57" s="221"/>
      <c r="Y57" s="221"/>
      <c r="Z57" s="221"/>
      <c r="AA57" s="221"/>
      <c r="AB57" s="221"/>
      <c r="AC57" s="195"/>
      <c r="AD57" s="856"/>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309"/>
      <c r="BE57" s="66"/>
      <c r="BF57" s="66" t="str">
        <f t="shared" si="4"/>
        <v>Добавить строку</v>
      </c>
      <c r="BG57" s="66"/>
      <c r="BH57" s="66"/>
    </row>
    <row r="58" spans="1:60" s="65" customFormat="1" ht="0" hidden="1" customHeight="1">
      <c r="A58" s="142" t="s">
        <v>264</v>
      </c>
      <c r="B58" s="142" t="s">
        <v>265</v>
      </c>
      <c r="C58" s="142" t="s">
        <v>266</v>
      </c>
      <c r="D58" s="142" t="s">
        <v>2110</v>
      </c>
      <c r="E58" s="1286"/>
      <c r="F58" s="1286"/>
      <c r="G58" s="1286"/>
      <c r="H58" s="1286"/>
      <c r="I58" s="1287"/>
      <c r="J58" s="142"/>
      <c r="K58" s="142"/>
      <c r="L58" s="357"/>
      <c r="M58" s="228"/>
      <c r="N58" s="228"/>
      <c r="O58" s="228"/>
      <c r="P58" s="1204"/>
      <c r="Q58" s="119"/>
      <c r="R58" s="214"/>
      <c r="S58" s="811"/>
      <c r="T58" s="812"/>
      <c r="U58" s="813"/>
      <c r="V58" s="813"/>
      <c r="W58" s="813"/>
      <c r="X58" s="813"/>
      <c r="Y58" s="813"/>
      <c r="Z58" s="813"/>
      <c r="AA58" s="813"/>
      <c r="AB58" s="813"/>
      <c r="AC58" s="813"/>
      <c r="AD58" s="813"/>
      <c r="AE58" s="813"/>
      <c r="AF58" s="813"/>
      <c r="AG58" s="813"/>
      <c r="AH58" s="813"/>
      <c r="AI58" s="813"/>
      <c r="AJ58" s="813"/>
      <c r="AK58" s="813"/>
      <c r="AL58" s="813"/>
      <c r="AM58" s="813"/>
      <c r="AN58" s="813"/>
      <c r="AO58" s="813"/>
      <c r="AP58" s="813"/>
      <c r="AQ58" s="813"/>
      <c r="AR58" s="813"/>
      <c r="AS58" s="813"/>
      <c r="AT58" s="813"/>
      <c r="AU58" s="813"/>
      <c r="AV58" s="813"/>
      <c r="AW58" s="813"/>
      <c r="AX58" s="813"/>
      <c r="AY58" s="813"/>
      <c r="AZ58" s="813"/>
      <c r="BA58" s="813"/>
      <c r="BB58" s="813"/>
      <c r="BC58" s="814"/>
      <c r="BE58" s="66"/>
      <c r="BF58" s="66" t="str">
        <f t="shared" si="4"/>
        <v/>
      </c>
      <c r="BG58" s="66"/>
      <c r="BH58" s="66"/>
    </row>
    <row r="59" spans="1:60" s="65" customFormat="1" ht="0" hidden="1" customHeight="1">
      <c r="A59" s="142" t="s">
        <v>264</v>
      </c>
      <c r="B59" s="142" t="s">
        <v>265</v>
      </c>
      <c r="C59" s="142" t="s">
        <v>266</v>
      </c>
      <c r="D59" s="142" t="s">
        <v>2110</v>
      </c>
      <c r="E59" s="1286"/>
      <c r="F59" s="1286"/>
      <c r="G59" s="1286"/>
      <c r="H59" s="1285"/>
      <c r="I59" s="142"/>
      <c r="J59" s="142"/>
      <c r="K59" s="142"/>
      <c r="L59" s="357"/>
      <c r="M59" s="304"/>
      <c r="N59" s="304"/>
      <c r="P59" s="101"/>
      <c r="Q59" s="785"/>
      <c r="R59" s="825"/>
      <c r="S59" s="811"/>
      <c r="T59" s="812"/>
      <c r="U59" s="813"/>
      <c r="V59" s="813"/>
      <c r="W59" s="813"/>
      <c r="X59" s="813"/>
      <c r="Y59" s="813"/>
      <c r="Z59" s="813"/>
      <c r="AA59" s="813"/>
      <c r="AB59" s="813"/>
      <c r="AC59" s="813"/>
      <c r="AD59" s="813"/>
      <c r="AE59" s="813"/>
      <c r="AF59" s="813"/>
      <c r="AG59" s="813"/>
      <c r="AH59" s="813"/>
      <c r="AI59" s="813"/>
      <c r="AJ59" s="813"/>
      <c r="AK59" s="813"/>
      <c r="AL59" s="813"/>
      <c r="AM59" s="813"/>
      <c r="AN59" s="813"/>
      <c r="AO59" s="813"/>
      <c r="AP59" s="813"/>
      <c r="AQ59" s="813"/>
      <c r="AR59" s="813"/>
      <c r="AS59" s="813"/>
      <c r="AT59" s="813"/>
      <c r="AU59" s="813"/>
      <c r="AV59" s="813"/>
      <c r="AW59" s="813"/>
      <c r="AX59" s="813"/>
      <c r="AY59" s="813"/>
      <c r="AZ59" s="813"/>
      <c r="BA59" s="813"/>
      <c r="BB59" s="813"/>
      <c r="BC59" s="814"/>
      <c r="BE59" s="66"/>
      <c r="BF59" s="66" t="str">
        <f t="shared" si="4"/>
        <v/>
      </c>
      <c r="BG59" s="66"/>
      <c r="BH59" s="66"/>
    </row>
    <row r="60" spans="1:60" s="65" customFormat="1" ht="0" hidden="1" customHeight="1">
      <c r="A60" s="142" t="s">
        <v>264</v>
      </c>
      <c r="B60" s="142" t="s">
        <v>265</v>
      </c>
      <c r="C60" s="142" t="s">
        <v>266</v>
      </c>
      <c r="D60" s="142"/>
      <c r="E60" s="1286"/>
      <c r="F60" s="1286"/>
      <c r="G60" s="1285"/>
      <c r="H60" s="142"/>
      <c r="I60" s="142"/>
      <c r="J60" s="142"/>
      <c r="K60" s="142"/>
      <c r="L60" s="357"/>
      <c r="M60" s="304"/>
      <c r="N60" s="304"/>
      <c r="P60" s="101"/>
      <c r="Q60" s="785"/>
      <c r="R60" s="101"/>
      <c r="S60" s="790"/>
      <c r="T60" s="792"/>
      <c r="U60" s="324"/>
      <c r="V60" s="324"/>
      <c r="W60" s="324"/>
      <c r="X60" s="324"/>
      <c r="Y60" s="324"/>
      <c r="Z60" s="324"/>
      <c r="AA60" s="324"/>
      <c r="AB60" s="324"/>
      <c r="AC60" s="324"/>
      <c r="AD60" s="324"/>
      <c r="AE60" s="324"/>
      <c r="AF60" s="324"/>
      <c r="AG60" s="324"/>
      <c r="AH60" s="324"/>
      <c r="AI60" s="324"/>
      <c r="AJ60" s="324"/>
      <c r="AK60" s="324"/>
      <c r="AL60" s="324"/>
      <c r="AM60" s="324"/>
      <c r="AN60" s="324"/>
      <c r="AO60" s="324"/>
      <c r="AP60" s="324"/>
      <c r="AQ60" s="324"/>
      <c r="AR60" s="324"/>
      <c r="AS60" s="324"/>
      <c r="AT60" s="324"/>
      <c r="AU60" s="324"/>
      <c r="AV60" s="324"/>
      <c r="AW60" s="324"/>
      <c r="AX60" s="324"/>
      <c r="AY60" s="324"/>
      <c r="AZ60" s="324"/>
      <c r="BA60" s="324"/>
      <c r="BB60" s="324"/>
      <c r="BC60" s="324"/>
      <c r="BE60" s="66"/>
      <c r="BF60" s="66" t="str">
        <f t="shared" si="4"/>
        <v/>
      </c>
      <c r="BG60" s="66"/>
      <c r="BH60" s="66"/>
    </row>
    <row r="61" spans="1:60" s="65" customFormat="1" ht="0" hidden="1" customHeight="1">
      <c r="A61" s="142" t="s">
        <v>264</v>
      </c>
      <c r="B61" s="142" t="s">
        <v>265</v>
      </c>
      <c r="C61" s="142"/>
      <c r="D61" s="142"/>
      <c r="E61" s="1286"/>
      <c r="F61" s="1285"/>
      <c r="G61" s="142"/>
      <c r="H61" s="142"/>
      <c r="I61" s="142"/>
      <c r="J61" s="142"/>
      <c r="K61" s="142"/>
      <c r="L61" s="357"/>
      <c r="M61" s="789"/>
      <c r="N61" s="789"/>
      <c r="P61" s="101"/>
      <c r="Q61" s="785"/>
      <c r="R61" s="101"/>
      <c r="S61" s="790"/>
      <c r="T61" s="792" t="s">
        <v>432</v>
      </c>
      <c r="U61" s="324"/>
      <c r="V61" s="324"/>
      <c r="W61" s="324"/>
      <c r="X61" s="324"/>
      <c r="Y61" s="324"/>
      <c r="Z61" s="324"/>
      <c r="AA61" s="324"/>
      <c r="AB61" s="324"/>
      <c r="AC61" s="324"/>
      <c r="AD61" s="324"/>
      <c r="AE61" s="324"/>
      <c r="AF61" s="324"/>
      <c r="AG61" s="324"/>
      <c r="AH61" s="324"/>
      <c r="AI61" s="324"/>
      <c r="AJ61" s="324"/>
      <c r="AK61" s="324"/>
      <c r="AL61" s="324"/>
      <c r="AM61" s="324"/>
      <c r="AN61" s="324"/>
      <c r="AO61" s="324"/>
      <c r="AP61" s="324"/>
      <c r="AQ61" s="324"/>
      <c r="AR61" s="324"/>
      <c r="AS61" s="324"/>
      <c r="AT61" s="324"/>
      <c r="AU61" s="324"/>
      <c r="AV61" s="324"/>
      <c r="AW61" s="324"/>
      <c r="AX61" s="324"/>
      <c r="AY61" s="324"/>
      <c r="AZ61" s="324"/>
      <c r="BA61" s="324"/>
      <c r="BB61" s="324"/>
      <c r="BC61" s="324"/>
      <c r="BE61" s="66"/>
      <c r="BF61" s="66" t="str">
        <f t="shared" si="4"/>
        <v>Добавить централизованную систему для дифференциации</v>
      </c>
      <c r="BG61" s="66"/>
      <c r="BH61" s="66"/>
    </row>
    <row r="62" spans="1:60" s="65" customFormat="1" ht="0" hidden="1" customHeight="1">
      <c r="A62" s="142" t="s">
        <v>264</v>
      </c>
      <c r="B62" s="142"/>
      <c r="C62" s="142"/>
      <c r="D62" s="142"/>
      <c r="E62" s="1285"/>
      <c r="F62" s="142"/>
      <c r="G62" s="142"/>
      <c r="H62" s="142"/>
      <c r="I62" s="142"/>
      <c r="J62" s="142"/>
      <c r="K62" s="142"/>
      <c r="L62" s="357"/>
      <c r="M62" s="789"/>
      <c r="N62" s="789"/>
      <c r="P62" s="101"/>
      <c r="Q62" s="785"/>
      <c r="R62" s="101"/>
      <c r="S62" s="790"/>
      <c r="T62" s="792" t="s">
        <v>433</v>
      </c>
      <c r="U62" s="324"/>
      <c r="V62" s="324"/>
      <c r="W62" s="324"/>
      <c r="X62" s="324"/>
      <c r="Y62" s="324"/>
      <c r="Z62" s="324"/>
      <c r="AA62" s="324"/>
      <c r="AB62" s="324"/>
      <c r="AC62" s="324"/>
      <c r="AD62" s="324"/>
      <c r="AE62" s="324"/>
      <c r="AF62" s="324"/>
      <c r="AG62" s="324"/>
      <c r="AH62" s="324"/>
      <c r="AI62" s="324"/>
      <c r="AJ62" s="324"/>
      <c r="AK62" s="324"/>
      <c r="AL62" s="324"/>
      <c r="AM62" s="324"/>
      <c r="AN62" s="324"/>
      <c r="AO62" s="324"/>
      <c r="AP62" s="324"/>
      <c r="AQ62" s="324"/>
      <c r="AR62" s="324"/>
      <c r="AS62" s="324"/>
      <c r="AT62" s="324"/>
      <c r="AU62" s="324"/>
      <c r="AV62" s="324"/>
      <c r="AW62" s="324"/>
      <c r="AX62" s="324"/>
      <c r="AY62" s="324"/>
      <c r="AZ62" s="324"/>
      <c r="BA62" s="324"/>
      <c r="BB62" s="324"/>
      <c r="BC62" s="324"/>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7"/>
      <c r="M63" s="789"/>
      <c r="N63" s="789"/>
      <c r="P63" s="101"/>
      <c r="Q63" s="785"/>
      <c r="R63" s="101"/>
      <c r="S63" s="790"/>
      <c r="T63" s="792" t="s">
        <v>434</v>
      </c>
      <c r="U63" s="324"/>
      <c r="V63" s="324"/>
      <c r="W63" s="324"/>
      <c r="X63" s="324"/>
      <c r="Y63" s="324"/>
      <c r="Z63" s="324"/>
      <c r="AA63" s="324"/>
      <c r="AB63" s="324"/>
      <c r="AC63" s="324"/>
      <c r="AD63" s="324"/>
      <c r="AE63" s="324"/>
      <c r="AF63" s="324"/>
      <c r="AG63" s="324"/>
      <c r="AH63" s="324"/>
      <c r="AI63" s="324"/>
      <c r="AJ63" s="324"/>
      <c r="AK63" s="324"/>
      <c r="AL63" s="324"/>
      <c r="AM63" s="324"/>
      <c r="AN63" s="324"/>
      <c r="AO63" s="324"/>
      <c r="AP63" s="324"/>
      <c r="AQ63" s="324"/>
      <c r="AR63" s="324"/>
      <c r="AS63" s="324"/>
      <c r="AT63" s="324"/>
      <c r="AU63" s="324"/>
      <c r="AV63" s="324"/>
      <c r="AW63" s="324"/>
      <c r="AX63" s="324"/>
      <c r="AY63" s="324"/>
      <c r="AZ63" s="324"/>
      <c r="BA63" s="324"/>
      <c r="BB63" s="324"/>
      <c r="BC63" s="324"/>
      <c r="BE63" s="66"/>
      <c r="BF63" s="66" t="str">
        <f t="shared" si="4"/>
        <v>Добавить наименование тарифа</v>
      </c>
      <c r="BG63" s="66"/>
      <c r="BH63" s="66"/>
    </row>
    <row r="64" spans="1:60" ht="11.25" hidden="1" customHeight="1">
      <c r="M64" s="60"/>
      <c r="N64" s="60"/>
      <c r="O64" s="60"/>
      <c r="P64" s="60"/>
      <c r="Q64" s="60"/>
      <c r="R64" s="9"/>
      <c r="S64" s="9"/>
      <c r="BD64" s="9"/>
      <c r="BE64" s="9"/>
      <c r="BF64" s="9"/>
      <c r="BG64" s="9"/>
      <c r="BH64" s="9"/>
    </row>
    <row r="65" spans="15:55" ht="14.25" hidden="1" customHeight="1">
      <c r="O65" s="60"/>
      <c r="S65" s="204" t="s">
        <v>506</v>
      </c>
      <c r="T65" s="1284" t="s">
        <v>1708</v>
      </c>
      <c r="U65" s="1284"/>
      <c r="V65" s="1284"/>
      <c r="W65" s="1284"/>
      <c r="X65" s="1284"/>
      <c r="Y65" s="1284"/>
      <c r="Z65" s="1284"/>
      <c r="AA65" s="1284"/>
      <c r="AB65" s="1284"/>
      <c r="AC65" s="1284"/>
      <c r="AD65" s="1284"/>
      <c r="AE65" s="1284"/>
      <c r="AF65" s="1284"/>
      <c r="AG65" s="1284"/>
      <c r="AH65" s="1284"/>
      <c r="AI65" s="1284"/>
      <c r="AJ65" s="1284"/>
      <c r="AK65" s="1284"/>
      <c r="AL65" s="1284"/>
      <c r="AM65" s="1284"/>
      <c r="AN65" s="1284"/>
      <c r="AO65" s="1284"/>
      <c r="AP65" s="1284"/>
      <c r="AQ65" s="1284"/>
      <c r="AR65" s="1284"/>
      <c r="AS65" s="1284"/>
      <c r="AT65" s="1284"/>
      <c r="AU65" s="1284"/>
      <c r="AV65" s="1284"/>
      <c r="AW65" s="1284"/>
      <c r="AX65" s="1284"/>
      <c r="AY65" s="1284"/>
      <c r="AZ65" s="1284"/>
      <c r="BA65" s="1284"/>
      <c r="BB65" s="1284"/>
      <c r="BC65" s="1284"/>
    </row>
    <row r="66" spans="15:55" ht="14.25" hidden="1" customHeight="1">
      <c r="O66" s="60"/>
      <c r="T66" s="383"/>
      <c r="U66" s="383"/>
      <c r="V66" s="383"/>
      <c r="W66" s="383"/>
      <c r="X66" s="383"/>
      <c r="Y66" s="383"/>
      <c r="Z66" s="383"/>
      <c r="AA66" s="383"/>
      <c r="AB66" s="383"/>
      <c r="AC66" s="383"/>
      <c r="AD66" s="383"/>
      <c r="AE66" s="383"/>
      <c r="AF66" s="383"/>
      <c r="AG66" s="383"/>
      <c r="AH66" s="383"/>
      <c r="AI66" s="383"/>
      <c r="AJ66" s="383"/>
      <c r="AK66" s="383"/>
      <c r="AL66" s="383"/>
      <c r="AM66" s="383"/>
      <c r="AN66" s="383"/>
      <c r="AO66" s="383"/>
      <c r="AP66" s="383"/>
      <c r="AQ66" s="383"/>
      <c r="AR66" s="383"/>
      <c r="AS66" s="383"/>
      <c r="AT66" s="383"/>
      <c r="AU66" s="383"/>
      <c r="AV66" s="383"/>
      <c r="AW66" s="383"/>
      <c r="AX66" s="383"/>
      <c r="AY66" s="383"/>
      <c r="AZ66" s="383"/>
      <c r="BA66" s="383"/>
      <c r="BB66" s="383"/>
      <c r="BC66" s="383"/>
    </row>
    <row r="67" spans="15:55" ht="14.25" hidden="1" customHeight="1">
      <c r="O67" s="60"/>
      <c r="S67" s="204" t="s">
        <v>506</v>
      </c>
      <c r="T67" s="1284" t="s">
        <v>1709</v>
      </c>
      <c r="U67" s="1284"/>
      <c r="V67" s="1284"/>
      <c r="W67" s="1284"/>
      <c r="X67" s="1284"/>
      <c r="Y67" s="1284"/>
      <c r="Z67" s="1284"/>
      <c r="AA67" s="1284"/>
      <c r="AB67" s="1284"/>
      <c r="AC67" s="1284"/>
      <c r="AD67" s="1284"/>
      <c r="AE67" s="1284"/>
      <c r="AF67" s="1284"/>
      <c r="AG67" s="1284"/>
      <c r="AH67" s="1284"/>
      <c r="AI67" s="1284"/>
      <c r="AJ67" s="1284"/>
      <c r="AK67" s="1284"/>
      <c r="AL67" s="1284"/>
      <c r="AM67" s="1284"/>
      <c r="AN67" s="1284"/>
      <c r="AO67" s="1284"/>
      <c r="AP67" s="1284"/>
      <c r="AQ67" s="1284"/>
      <c r="AR67" s="1284"/>
      <c r="AS67" s="1284"/>
      <c r="AT67" s="1284"/>
      <c r="AU67" s="1284"/>
      <c r="AV67" s="1284"/>
      <c r="AW67" s="1284"/>
      <c r="AX67" s="1284"/>
      <c r="AY67" s="1284"/>
      <c r="AZ67" s="1284"/>
      <c r="BA67" s="1284"/>
      <c r="BB67" s="1284"/>
      <c r="BC67" s="1284"/>
    </row>
    <row r="68" spans="15:55" ht="14.25" customHeight="1">
      <c r="O68" s="60"/>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35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35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35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35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35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35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35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35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3500-000008000000}">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57AFD-1DBB-E0B4-F8FF-3F8C787D2E97}">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A2399-20EC-70AC-5ECD-574F073DFA9B}">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F7EE9-9E1A-1522-2598-13C6E3DF17BE}">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2CD25-3062-EC99-595C-0AC0141CAAEA}">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41CCE-943F-C5D6-2D8B-569D69EB7DE4}">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604CF3-E178-5CDB-16AB-904007AD4E5A}">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FDC2DD-40CF-B7D8-57DE-94893BFF85B4}">
  <sheetPr>
    <tabColor rgb="FFEAEBEE"/>
    <pageSetUpPr fitToPage="1"/>
  </sheetPr>
  <dimension ref="A1:L15"/>
  <sheetViews>
    <sheetView showGridLines="0" topLeftCell="C4" zoomScale="90" workbookViewId="0"/>
  </sheetViews>
  <sheetFormatPr defaultColWidth="9.140625" defaultRowHeight="14.25" customHeight="1"/>
  <cols>
    <col min="1" max="1" width="9.140625" style="44" hidden="1"/>
    <col min="2" max="2" width="9.140625" style="2" hidden="1"/>
    <col min="3" max="3" width="3.7109375" style="45" customWidth="1"/>
    <col min="4" max="4" width="7" style="2" customWidth="1"/>
    <col min="5" max="5" width="23.140625" style="2" customWidth="1"/>
    <col min="6" max="6" width="16" style="2" customWidth="1"/>
    <col min="7" max="7" width="14.85546875" style="2" customWidth="1"/>
    <col min="8" max="8" width="47.85546875" style="2" customWidth="1"/>
    <col min="9" max="9" width="115.7109375" style="2" customWidth="1"/>
    <col min="10" max="10" width="3.7109375" style="2" customWidth="1"/>
    <col min="11" max="12" width="9.140625" style="2"/>
  </cols>
  <sheetData>
    <row r="1" spans="1:12" ht="14.25" hidden="1" customHeight="1"/>
    <row r="2" spans="1:12" ht="14.25" hidden="1" customHeight="1"/>
    <row r="3" spans="1:12" ht="14.25" hidden="1" customHeight="1"/>
    <row r="4" spans="1:12" ht="3" customHeight="1"/>
    <row r="5" spans="1:12" s="9" customFormat="1" ht="30" customHeight="1">
      <c r="A5" s="6"/>
      <c r="C5" s="21"/>
      <c r="D5" s="1069" t="s">
        <v>2111</v>
      </c>
      <c r="E5" s="1069"/>
      <c r="F5" s="1069"/>
      <c r="G5" s="1069"/>
      <c r="H5" s="1069"/>
      <c r="I5" s="153"/>
    </row>
    <row r="6" spans="1:12" ht="3" hidden="1" customHeight="1">
      <c r="D6" s="5"/>
      <c r="E6" s="5"/>
      <c r="F6" s="5"/>
      <c r="G6" s="5"/>
      <c r="H6" s="5"/>
      <c r="I6" s="5"/>
    </row>
    <row r="7" spans="1:12" s="44" customFormat="1" ht="14.25" customHeight="1">
      <c r="B7" s="2"/>
      <c r="C7" s="45"/>
      <c r="D7" s="46"/>
      <c r="E7" s="46"/>
      <c r="F7" s="46"/>
      <c r="G7" s="46"/>
      <c r="H7" s="445"/>
      <c r="I7" s="46"/>
      <c r="J7" s="47"/>
    </row>
    <row r="8" spans="1:12" ht="14.25" customHeight="1">
      <c r="D8" s="1168" t="s">
        <v>288</v>
      </c>
      <c r="E8" s="1168"/>
      <c r="F8" s="1168"/>
      <c r="G8" s="1168"/>
      <c r="H8" s="1168"/>
      <c r="I8" s="1168" t="s">
        <v>289</v>
      </c>
    </row>
    <row r="9" spans="1:12" ht="27.75" customHeight="1">
      <c r="D9" s="1168" t="s">
        <v>88</v>
      </c>
      <c r="E9" s="1168" t="s">
        <v>2112</v>
      </c>
      <c r="F9" s="1168"/>
      <c r="G9" s="1168"/>
      <c r="H9" s="1168"/>
      <c r="I9" s="1168"/>
    </row>
    <row r="10" spans="1:12" ht="22.5" customHeight="1">
      <c r="D10" s="1168"/>
      <c r="E10" s="34" t="s">
        <v>2113</v>
      </c>
      <c r="F10" s="34" t="s">
        <v>2114</v>
      </c>
      <c r="G10" s="34" t="s">
        <v>2115</v>
      </c>
      <c r="H10" s="34" t="s">
        <v>380</v>
      </c>
      <c r="I10" s="1168"/>
    </row>
    <row r="11" spans="1:12" ht="12" hidden="1" customHeight="1">
      <c r="D11" s="20" t="s">
        <v>110</v>
      </c>
      <c r="E11" s="20" t="s">
        <v>91</v>
      </c>
      <c r="F11" s="20" t="s">
        <v>112</v>
      </c>
      <c r="G11" s="20" t="s">
        <v>92</v>
      </c>
      <c r="H11" s="20" t="s">
        <v>93</v>
      </c>
      <c r="I11" s="20" t="s">
        <v>113</v>
      </c>
    </row>
    <row r="12" spans="1:12" s="2" customFormat="1" ht="24.75" customHeight="1">
      <c r="A12" s="59" t="s">
        <v>90</v>
      </c>
      <c r="B12" s="2" t="s">
        <v>18</v>
      </c>
      <c r="C12" s="48"/>
      <c r="D12" s="41" t="s">
        <v>110</v>
      </c>
      <c r="E12" s="226"/>
      <c r="F12" s="226"/>
      <c r="G12" s="979" t="s">
        <v>18</v>
      </c>
      <c r="H12" s="114"/>
      <c r="I12" s="1127" t="s">
        <v>2116</v>
      </c>
      <c r="K12" s="157"/>
      <c r="L12" s="101"/>
    </row>
    <row r="13" spans="1:12" ht="15" customHeight="1">
      <c r="A13" s="2"/>
      <c r="C13" s="2"/>
      <c r="D13" s="38"/>
      <c r="E13" s="50" t="s">
        <v>538</v>
      </c>
      <c r="F13" s="49"/>
      <c r="G13" s="49"/>
      <c r="H13" s="105"/>
      <c r="I13" s="1129"/>
    </row>
    <row r="14" spans="1:12" ht="3" customHeight="1">
      <c r="A14" s="2"/>
      <c r="C14" s="2"/>
    </row>
    <row r="15" spans="1:12" ht="27.75" customHeight="1">
      <c r="E15" s="1448" t="s">
        <v>2117</v>
      </c>
      <c r="F15" s="1448"/>
      <c r="G15" s="1448"/>
      <c r="H15" s="1448"/>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xr:uid="{00000000-0002-0000-3C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xr:uid="{00000000-0002-0000-3C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xr:uid="{00000000-0002-0000-3C00-000002000000}"/>
  </dataValidations>
  <printOptions horizontalCentered="1"/>
  <pageMargins left="0.24" right="0.24" top="0.24" bottom="0.24" header="0.24" footer="0.24"/>
  <pageSetup paperSize="9" scale="67" fitToHeight="0"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611FE-5FBF-7953-32F9-336126805815}">
  <sheetPr>
    <tabColor rgb="FFCCCCFF"/>
    <pageSetUpPr fitToPage="1"/>
  </sheetPr>
  <dimension ref="A1:I15"/>
  <sheetViews>
    <sheetView showGridLines="0" topLeftCell="C6" zoomScale="90" workbookViewId="0"/>
  </sheetViews>
  <sheetFormatPr defaultColWidth="9.140625" defaultRowHeight="14.25" customHeight="1"/>
  <cols>
    <col min="1" max="2" width="9.140625" style="4" hidden="1"/>
    <col min="3" max="3" width="3.7109375" style="22" customWidth="1"/>
    <col min="4" max="4" width="6.28515625" style="4" customWidth="1"/>
    <col min="5" max="5" width="94.85546875" style="4" customWidth="1"/>
    <col min="6" max="9" width="9.140625" style="4"/>
  </cols>
  <sheetData>
    <row r="1" spans="3:9" ht="14.25" hidden="1" customHeight="1"/>
    <row r="2" spans="3:9" ht="14.25" hidden="1" customHeight="1"/>
    <row r="3" spans="3:9" ht="14.25" hidden="1" customHeight="1"/>
    <row r="4" spans="3:9" ht="14.25" hidden="1" customHeight="1"/>
    <row r="5" spans="3:9" ht="14.25" hidden="1" customHeight="1"/>
    <row r="6" spans="3:9" ht="3" customHeight="1">
      <c r="C6" s="23"/>
      <c r="D6" s="5"/>
      <c r="E6" s="5"/>
    </row>
    <row r="7" spans="3:9" ht="22.5" customHeight="1">
      <c r="C7" s="23"/>
      <c r="D7" s="1449" t="s">
        <v>2118</v>
      </c>
      <c r="E7" s="1450"/>
      <c r="F7" s="154"/>
    </row>
    <row r="8" spans="3:9" ht="3" customHeight="1">
      <c r="C8" s="23"/>
      <c r="D8" s="5"/>
      <c r="E8" s="5"/>
    </row>
    <row r="9" spans="3:9" ht="15.75" customHeight="1">
      <c r="C9" s="23"/>
      <c r="D9" s="34" t="s">
        <v>88</v>
      </c>
      <c r="E9" s="39" t="s">
        <v>2119</v>
      </c>
    </row>
    <row r="10" spans="3:9" ht="12" customHeight="1">
      <c r="C10" s="23"/>
      <c r="D10" s="20" t="s">
        <v>110</v>
      </c>
      <c r="E10" s="20" t="s">
        <v>111</v>
      </c>
    </row>
    <row r="11" spans="3:9" ht="11.25" hidden="1" customHeight="1">
      <c r="C11" s="23"/>
      <c r="D11" s="63">
        <v>0</v>
      </c>
      <c r="E11" s="151"/>
    </row>
    <row r="12" spans="3:9" ht="15" customHeight="1">
      <c r="C12" s="21"/>
      <c r="D12" s="42">
        <v>1</v>
      </c>
      <c r="E12" s="226"/>
    </row>
    <row r="13" spans="3:9" ht="12" customHeight="1">
      <c r="C13" s="23"/>
      <c r="D13" s="152"/>
      <c r="E13" s="36" t="s">
        <v>2120</v>
      </c>
    </row>
    <row r="14" spans="3:9" ht="3" customHeight="1"/>
    <row r="15" spans="3:9" ht="22.5" customHeight="1">
      <c r="C15" s="54"/>
      <c r="D15" s="1448" t="s">
        <v>2121</v>
      </c>
      <c r="E15" s="1448"/>
      <c r="F15" s="55"/>
      <c r="G15" s="55"/>
      <c r="H15" s="55"/>
      <c r="I15" s="55"/>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xr:uid="{00000000-0002-0000-3D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D7C6C-43B2-7073-DCEF-6C0D652E2862}">
  <dimension ref="A1:I24"/>
  <sheetViews>
    <sheetView showGridLines="0" topLeftCell="C4" zoomScale="90" workbookViewId="0"/>
  </sheetViews>
  <sheetFormatPr defaultColWidth="9.140625" defaultRowHeight="11.25" customHeight="1"/>
  <cols>
    <col min="1" max="2" width="15" style="300" hidden="1" customWidth="1"/>
    <col min="3" max="3" width="3.7109375" style="266" customWidth="1"/>
    <col min="4" max="4" width="6.85546875" style="267" customWidth="1"/>
    <col min="5" max="5" width="52.28515625" style="266" customWidth="1"/>
    <col min="6" max="6" width="48.85546875" style="266" customWidth="1"/>
    <col min="7" max="7" width="93.42578125" style="266" customWidth="1"/>
    <col min="8" max="8" width="9.140625" style="266"/>
    <col min="9" max="9" width="65" style="266" customWidth="1"/>
  </cols>
  <sheetData>
    <row r="1" spans="1:9" ht="11.25" hidden="1" customHeight="1">
      <c r="A1" s="300" t="s">
        <v>287</v>
      </c>
    </row>
    <row r="2" spans="1:9" ht="22.5" hidden="1" customHeight="1">
      <c r="A2" s="301"/>
      <c r="B2" s="301"/>
      <c r="C2" s="8"/>
      <c r="D2" s="864"/>
      <c r="E2" s="226"/>
      <c r="F2" s="532"/>
      <c r="H2" s="282"/>
    </row>
    <row r="3" spans="1:9" ht="11.25" hidden="1" customHeight="1"/>
    <row r="4" spans="1:9" ht="11.25" customHeight="1">
      <c r="A4" s="891"/>
      <c r="B4" s="891"/>
    </row>
    <row r="5" spans="1:9" ht="36.75" customHeight="1">
      <c r="D5" s="1076"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холодного водоснабжения (далее – орган регулирования тарифов)</v>
      </c>
      <c r="E5" s="1077"/>
      <c r="F5" s="1078"/>
      <c r="I5" s="422"/>
    </row>
    <row r="6" spans="1:9" ht="17.25" customHeight="1">
      <c r="D6" s="1170" t="str">
        <f>IF(region_name=0,"Не определено",region_name)</f>
        <v>Ненецкий автономный округ</v>
      </c>
      <c r="E6" s="1170"/>
      <c r="F6" s="1170"/>
      <c r="I6" s="422"/>
    </row>
    <row r="7" spans="1:9" s="284" customFormat="1" ht="11.25" customHeight="1">
      <c r="A7" s="300"/>
      <c r="B7" s="300"/>
      <c r="D7" s="421"/>
      <c r="E7" s="421"/>
      <c r="F7" s="445"/>
      <c r="G7" s="421"/>
    </row>
    <row r="8" spans="1:9" ht="11.25" hidden="1" customHeight="1">
      <c r="A8" s="301"/>
      <c r="B8" s="301"/>
      <c r="C8" s="8"/>
      <c r="D8" s="12"/>
      <c r="E8" s="1166"/>
      <c r="F8" s="1166"/>
    </row>
    <row r="9" spans="1:9" ht="11.25" customHeight="1">
      <c r="A9" s="301"/>
      <c r="B9" s="301"/>
      <c r="C9" s="8"/>
      <c r="D9" s="1162" t="s">
        <v>288</v>
      </c>
      <c r="E9" s="1163"/>
      <c r="F9" s="1163"/>
      <c r="G9" s="1167" t="s">
        <v>289</v>
      </c>
    </row>
    <row r="10" spans="1:9" ht="11.25" customHeight="1">
      <c r="A10" s="301"/>
      <c r="B10" s="301"/>
      <c r="C10" s="8"/>
      <c r="D10" s="280" t="s">
        <v>88</v>
      </c>
      <c r="E10" s="265" t="s">
        <v>290</v>
      </c>
      <c r="F10" s="265" t="s">
        <v>291</v>
      </c>
      <c r="G10" s="1168"/>
    </row>
    <row r="11" spans="1:9" ht="12" customHeight="1">
      <c r="A11" s="301"/>
      <c r="B11" s="301"/>
      <c r="C11" s="8"/>
      <c r="D11" s="273"/>
      <c r="E11" s="273"/>
      <c r="F11" s="273"/>
      <c r="G11" s="273"/>
    </row>
    <row r="12" spans="1:9" ht="22.5" customHeight="1">
      <c r="A12" s="301"/>
      <c r="B12" s="301"/>
      <c r="C12" s="8"/>
      <c r="D12" s="864">
        <v>1</v>
      </c>
      <c r="E12" s="281" t="s">
        <v>2122</v>
      </c>
      <c r="F12" s="1043" t="str">
        <f>IF(org="","",org)</f>
        <v>ИМУП «ПОСЖИЛКОМСЕРВИС»</v>
      </c>
      <c r="G12" s="281" t="s">
        <v>2123</v>
      </c>
      <c r="H12" s="870"/>
    </row>
    <row r="13" spans="1:9" ht="18.75" customHeight="1">
      <c r="A13" s="301"/>
      <c r="B13" s="301"/>
      <c r="C13" s="8"/>
      <c r="D13" s="864">
        <v>2</v>
      </c>
      <c r="E13" s="730" t="s">
        <v>2124</v>
      </c>
      <c r="F13" s="39" t="s">
        <v>294</v>
      </c>
      <c r="G13" s="281"/>
      <c r="H13" s="870"/>
    </row>
    <row r="14" spans="1:9" ht="18.75" customHeight="1">
      <c r="A14" s="301"/>
      <c r="B14" s="301"/>
      <c r="C14" s="8"/>
      <c r="D14" s="865" t="s">
        <v>452</v>
      </c>
      <c r="E14" s="334" t="s">
        <v>2125</v>
      </c>
      <c r="F14" s="226"/>
      <c r="G14" s="64" t="s">
        <v>2126</v>
      </c>
      <c r="H14" s="870"/>
    </row>
    <row r="15" spans="1:9" ht="18.75" customHeight="1">
      <c r="A15" s="301"/>
      <c r="B15" s="301"/>
      <c r="C15" s="8"/>
      <c r="D15" s="865" t="s">
        <v>295</v>
      </c>
      <c r="E15" s="334" t="s">
        <v>2127</v>
      </c>
      <c r="F15" s="226"/>
      <c r="G15" s="64" t="s">
        <v>2128</v>
      </c>
      <c r="H15" s="870"/>
    </row>
    <row r="16" spans="1:9" ht="36.75" customHeight="1">
      <c r="A16" s="301"/>
      <c r="B16" s="301"/>
      <c r="C16" s="8"/>
      <c r="D16" s="865" t="s">
        <v>298</v>
      </c>
      <c r="E16" s="178" t="s">
        <v>2129</v>
      </c>
      <c r="F16" s="35"/>
      <c r="G16" s="281" t="s">
        <v>2130</v>
      </c>
      <c r="H16" s="870"/>
    </row>
    <row r="17" spans="1:9" ht="45" customHeight="1">
      <c r="A17" s="301"/>
      <c r="B17" s="301"/>
      <c r="C17" s="8"/>
      <c r="D17" s="864">
        <v>3</v>
      </c>
      <c r="E17" s="730" t="s">
        <v>2131</v>
      </c>
      <c r="F17" s="226"/>
      <c r="G17" s="281" t="s">
        <v>2132</v>
      </c>
      <c r="H17" s="870"/>
    </row>
    <row r="18" spans="1:9" ht="45" customHeight="1">
      <c r="A18" s="846">
        <v>1</v>
      </c>
      <c r="B18" s="301"/>
      <c r="C18" s="847"/>
      <c r="D18" s="864" t="s">
        <v>91</v>
      </c>
      <c r="E18" s="730" t="s">
        <v>2133</v>
      </c>
      <c r="F18" s="226"/>
      <c r="G18" s="281" t="s">
        <v>2132</v>
      </c>
      <c r="H18" s="870"/>
      <c r="I18" s="505"/>
    </row>
    <row r="19" spans="1:9" ht="22.5" customHeight="1">
      <c r="A19" s="301"/>
      <c r="B19" s="301"/>
      <c r="C19" s="8"/>
      <c r="D19" s="864" t="s">
        <v>112</v>
      </c>
      <c r="E19" s="730" t="s">
        <v>2134</v>
      </c>
      <c r="F19" s="39" t="s">
        <v>294</v>
      </c>
      <c r="G19" s="1451" t="s">
        <v>2135</v>
      </c>
      <c r="H19" s="282"/>
    </row>
    <row r="20" spans="1:9" s="868" customFormat="1" ht="5.25" hidden="1" customHeight="1">
      <c r="A20" s="301"/>
      <c r="B20" s="301"/>
      <c r="C20" s="867"/>
      <c r="D20" s="866" t="s">
        <v>1635</v>
      </c>
      <c r="E20" s="613"/>
      <c r="F20" s="327"/>
      <c r="G20" s="1452"/>
    </row>
    <row r="21" spans="1:9" ht="15" customHeight="1">
      <c r="A21" s="301"/>
      <c r="B21" s="301"/>
      <c r="C21" s="8"/>
      <c r="D21" s="275"/>
      <c r="E21" s="107" t="s">
        <v>329</v>
      </c>
      <c r="F21" s="277"/>
      <c r="G21" s="1453"/>
      <c r="H21" s="870"/>
    </row>
    <row r="22" spans="1:9" s="300" customFormat="1" ht="24.75" customHeight="1">
      <c r="A22" s="301"/>
      <c r="B22" s="301"/>
      <c r="C22" s="301"/>
      <c r="D22" s="864" t="s">
        <v>92</v>
      </c>
      <c r="E22" s="281" t="s">
        <v>2136</v>
      </c>
      <c r="F22" s="226"/>
      <c r="G22" s="281" t="s">
        <v>2137</v>
      </c>
      <c r="H22" s="869"/>
    </row>
    <row r="23" spans="1:9" s="300" customFormat="1" ht="18.75" customHeight="1">
      <c r="A23" s="301"/>
      <c r="B23" s="301"/>
      <c r="C23" s="301"/>
      <c r="D23" s="864" t="s">
        <v>93</v>
      </c>
      <c r="E23" s="730" t="s">
        <v>2138</v>
      </c>
      <c r="F23" s="35"/>
      <c r="G23" s="281" t="s">
        <v>2139</v>
      </c>
      <c r="H23" s="869"/>
    </row>
    <row r="24" spans="1:9" ht="11.25" customHeight="1">
      <c r="A24" s="301"/>
      <c r="B24" s="301"/>
      <c r="C24" s="8"/>
    </row>
  </sheetData>
  <sheetProtection formatColumns="0" formatRows="0" insertRows="0" deleteColumns="0" deleteRows="0" sort="0" autoFilter="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xr:uid="{00000000-0002-0000-3E00-000000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35484-E73F-0CE1-40D3-176B797AEF5F}">
  <dimension ref="A1:IT23"/>
  <sheetViews>
    <sheetView showGridLines="0" topLeftCell="D4"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6.28515625" style="9" customWidth="1"/>
    <col min="6" max="6" width="46.7109375" style="9" customWidth="1"/>
    <col min="7" max="8" width="16.7109375" style="9" customWidth="1"/>
    <col min="9" max="9" width="35.28515625" style="9" customWidth="1"/>
    <col min="10" max="10" width="89.5703125" style="9" customWidth="1"/>
    <col min="11" max="11" width="3.7109375" style="66" customWidth="1"/>
    <col min="12" max="14" width="9.140625" style="66"/>
    <col min="15" max="15" width="25.7109375" style="66" customWidth="1"/>
    <col min="16" max="16" width="14.42578125" style="66" customWidth="1"/>
    <col min="17" max="20" width="9.140625" style="123"/>
    <col min="21" max="254" width="9.140625" style="9"/>
  </cols>
  <sheetData>
    <row r="1" spans="1:254" ht="14.25" hidden="1" customHeight="1"/>
    <row r="2" spans="1:254" ht="22.5" hidden="1" customHeight="1">
      <c r="A2" s="77"/>
      <c r="B2" s="60">
        <v>1</v>
      </c>
      <c r="C2" s="60"/>
      <c r="D2" s="478"/>
      <c r="E2" s="39"/>
      <c r="F2" s="110"/>
      <c r="G2" s="110"/>
      <c r="H2" s="110"/>
      <c r="I2" s="875"/>
      <c r="J2" s="125"/>
      <c r="K2" s="872" t="e">
        <f ca="1">MERGEVALUE(F2)</f>
        <v>#NAME?</v>
      </c>
      <c r="L2" s="65"/>
      <c r="M2" s="65"/>
      <c r="N2" s="66" t="str">
        <f t="array" ref="N2">IF(ISERROR(MATCH(MID(O2,1,250),MID(note_ter,1,250),0)),"n","y")</f>
        <v>n</v>
      </c>
      <c r="O2" s="65"/>
      <c r="P2" s="66" t="str">
        <f>G2&amp;"("&amp;J2&amp;")"</f>
        <v>()</v>
      </c>
      <c r="Q2" s="60"/>
      <c r="R2" s="60"/>
      <c r="S2" s="248"/>
      <c r="T2" s="60"/>
      <c r="U2" s="60"/>
      <c r="V2" s="60"/>
      <c r="W2" s="59"/>
      <c r="X2" s="59"/>
      <c r="Y2" s="101"/>
      <c r="Z2" s="101"/>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59"/>
      <c r="BU2" s="59"/>
      <c r="BV2" s="59"/>
      <c r="BW2" s="59"/>
      <c r="BX2" s="59"/>
      <c r="BY2" s="59"/>
      <c r="BZ2" s="59"/>
      <c r="CA2" s="59"/>
      <c r="CB2" s="59"/>
      <c r="CC2" s="59"/>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row>
    <row r="3" spans="1:254" s="65" customFormat="1" ht="5.25" hidden="1" customHeight="1">
      <c r="A3" s="209"/>
      <c r="D3" s="119"/>
      <c r="F3" s="142" t="s">
        <v>83</v>
      </c>
      <c r="G3" s="119" t="s">
        <v>84</v>
      </c>
      <c r="H3" s="119"/>
      <c r="I3" s="119"/>
      <c r="J3" s="124" t="s">
        <v>85</v>
      </c>
      <c r="K3" s="142" t="s">
        <v>83</v>
      </c>
      <c r="L3" s="142"/>
      <c r="M3" s="142"/>
      <c r="N3" s="142"/>
      <c r="O3" s="142"/>
      <c r="P3" s="142"/>
      <c r="Q3" s="142"/>
      <c r="R3" s="142"/>
      <c r="S3" s="142"/>
      <c r="T3" s="142"/>
      <c r="U3" s="124"/>
      <c r="V3" s="124"/>
      <c r="W3" s="124"/>
      <c r="X3" s="124"/>
      <c r="Y3" s="124"/>
      <c r="Z3" s="124"/>
      <c r="AA3" s="124"/>
      <c r="AB3" s="124"/>
      <c r="AC3" s="124"/>
      <c r="AD3" s="124"/>
      <c r="AE3" s="124"/>
      <c r="AF3" s="124"/>
      <c r="AG3" s="124"/>
      <c r="AH3" s="124"/>
      <c r="AI3" s="124"/>
      <c r="AJ3" s="124"/>
      <c r="AK3" s="124"/>
      <c r="AL3" s="124"/>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c r="CY3" s="124"/>
      <c r="CZ3" s="124"/>
      <c r="DA3" s="124"/>
      <c r="DB3" s="124"/>
      <c r="DC3" s="124"/>
      <c r="DD3" s="124"/>
      <c r="DE3" s="124"/>
      <c r="DF3" s="124"/>
      <c r="DG3" s="124"/>
      <c r="DH3" s="124"/>
      <c r="DI3" s="124"/>
      <c r="DJ3" s="124"/>
      <c r="DK3" s="124"/>
      <c r="DL3" s="124"/>
      <c r="DM3" s="124"/>
      <c r="DN3" s="124"/>
      <c r="DO3" s="124"/>
      <c r="DP3" s="124"/>
      <c r="DQ3" s="124"/>
      <c r="DR3" s="124"/>
      <c r="DS3" s="124"/>
      <c r="DT3" s="124"/>
      <c r="DU3" s="124"/>
      <c r="DV3" s="124"/>
      <c r="DW3" s="124"/>
      <c r="DX3" s="124"/>
      <c r="DY3" s="124"/>
      <c r="DZ3" s="124"/>
      <c r="EA3" s="124"/>
      <c r="EB3" s="124"/>
      <c r="EC3" s="124"/>
      <c r="ED3" s="124"/>
      <c r="EE3" s="124"/>
      <c r="EF3" s="124"/>
      <c r="EG3" s="124"/>
      <c r="EH3" s="124"/>
      <c r="EI3" s="124"/>
      <c r="EJ3" s="124"/>
      <c r="EK3" s="124"/>
      <c r="EL3" s="124"/>
      <c r="EM3" s="124"/>
      <c r="EN3" s="124"/>
      <c r="EO3" s="124"/>
      <c r="EP3" s="124"/>
      <c r="EQ3" s="124"/>
      <c r="ER3" s="124"/>
      <c r="ES3" s="124"/>
      <c r="ET3" s="124"/>
      <c r="EU3" s="124"/>
      <c r="EV3" s="124"/>
      <c r="EW3" s="124"/>
      <c r="EX3" s="124"/>
      <c r="EY3" s="124"/>
      <c r="EZ3" s="124"/>
      <c r="FA3" s="124"/>
      <c r="FB3" s="124"/>
      <c r="FC3" s="124"/>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c r="IR3" s="124"/>
      <c r="IS3" s="124"/>
      <c r="IT3" s="124"/>
    </row>
    <row r="4" spans="1:254" s="43" customFormat="1" ht="14.25" customHeight="1">
      <c r="A4" s="9"/>
      <c r="B4" s="60"/>
      <c r="C4" s="9"/>
      <c r="D4" s="74"/>
      <c r="E4" s="9"/>
      <c r="F4" s="9"/>
      <c r="G4" s="9"/>
      <c r="H4" s="9"/>
      <c r="I4" s="9"/>
      <c r="J4" s="75"/>
      <c r="K4" s="142"/>
      <c r="L4" s="66"/>
      <c r="M4" s="66"/>
      <c r="N4" s="66"/>
      <c r="O4" s="66"/>
      <c r="P4" s="66"/>
      <c r="Q4" s="123"/>
      <c r="R4" s="123"/>
      <c r="S4" s="123"/>
      <c r="T4" s="123"/>
    </row>
    <row r="5" spans="1:254" s="43" customFormat="1" ht="25.5" customHeight="1">
      <c r="A5" s="9"/>
      <c r="B5" s="60"/>
      <c r="C5" s="9"/>
      <c r="D5" s="74"/>
      <c r="E5" s="1069"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холодного водоснабжения</v>
      </c>
      <c r="F5" s="1069"/>
      <c r="G5" s="1069"/>
      <c r="H5" s="1069"/>
      <c r="I5" s="1069"/>
      <c r="J5" s="1069"/>
      <c r="K5" s="142"/>
      <c r="L5" s="66"/>
      <c r="M5" s="66"/>
      <c r="N5" s="66"/>
      <c r="O5" s="66"/>
      <c r="P5" s="66"/>
      <c r="Q5" s="123"/>
      <c r="R5" s="123"/>
      <c r="S5" s="123"/>
      <c r="T5" s="123"/>
    </row>
    <row r="6" spans="1:254" s="43" customFormat="1" ht="14.25" customHeight="1">
      <c r="A6" s="9"/>
      <c r="B6" s="60"/>
      <c r="C6" s="9"/>
      <c r="D6" s="74"/>
      <c r="E6" s="9"/>
      <c r="F6" s="76"/>
      <c r="G6" s="76"/>
      <c r="H6" s="76"/>
      <c r="I6" s="76"/>
      <c r="J6" s="77"/>
      <c r="K6" s="66"/>
      <c r="L6" s="66"/>
      <c r="M6" s="66"/>
      <c r="N6" s="66"/>
      <c r="O6" s="66"/>
      <c r="P6" s="66"/>
      <c r="Q6" s="123"/>
      <c r="R6" s="123"/>
      <c r="S6" s="123"/>
      <c r="T6" s="123"/>
    </row>
    <row r="7" spans="1:254" s="43" customFormat="1" ht="14.25" customHeight="1">
      <c r="A7" s="9"/>
      <c r="B7" s="60"/>
      <c r="C7" s="9"/>
      <c r="D7" s="74"/>
      <c r="E7" s="1065" t="s">
        <v>288</v>
      </c>
      <c r="F7" s="1070"/>
      <c r="G7" s="1070"/>
      <c r="H7" s="1070"/>
      <c r="I7" s="1070"/>
      <c r="J7" s="1454" t="s">
        <v>289</v>
      </c>
      <c r="K7" s="66"/>
      <c r="L7" s="66"/>
      <c r="M7" s="66"/>
      <c r="N7" s="66"/>
      <c r="O7" s="66"/>
      <c r="P7" s="66"/>
      <c r="Q7" s="123"/>
      <c r="R7" s="123"/>
      <c r="S7" s="123"/>
      <c r="T7" s="123"/>
    </row>
    <row r="8" spans="1:254" s="43" customFormat="1" ht="20.25" customHeight="1">
      <c r="A8" s="9"/>
      <c r="B8" s="60"/>
      <c r="C8" s="9"/>
      <c r="D8" s="74"/>
      <c r="E8" s="890" t="s">
        <v>88</v>
      </c>
      <c r="F8" s="877" t="s">
        <v>2140</v>
      </c>
      <c r="G8" s="877" t="s">
        <v>49</v>
      </c>
      <c r="H8" s="877" t="s">
        <v>51</v>
      </c>
      <c r="I8" s="877" t="s">
        <v>2141</v>
      </c>
      <c r="J8" s="1455"/>
      <c r="K8" s="66"/>
      <c r="L8" s="66"/>
      <c r="M8" s="66"/>
      <c r="N8" s="66"/>
      <c r="O8" s="66"/>
      <c r="P8" s="66"/>
      <c r="Q8" s="123"/>
      <c r="R8" s="123"/>
      <c r="S8" s="123"/>
      <c r="T8" s="123"/>
    </row>
    <row r="9" spans="1:254" ht="22.5" customHeight="1">
      <c r="A9" s="1068"/>
      <c r="B9" s="60">
        <v>1</v>
      </c>
      <c r="C9" s="60"/>
      <c r="D9" s="478"/>
      <c r="E9" s="39">
        <v>1</v>
      </c>
      <c r="F9" s="889"/>
      <c r="G9" s="110"/>
      <c r="H9" s="110"/>
      <c r="I9" s="875"/>
      <c r="J9" s="1456" t="s">
        <v>2142</v>
      </c>
      <c r="K9" s="872" t="e">
        <f ca="1">MERGEVALUE(F9)</f>
        <v>#NAME?</v>
      </c>
      <c r="L9" s="65"/>
      <c r="M9" s="65"/>
      <c r="N9" s="66" t="str">
        <f t="array" ref="N9">IF(ISERROR(MATCH(MID(O9,1,250),MID(note_ter,1,250),0)),"n","y")</f>
        <v>n</v>
      </c>
      <c r="O9" s="65"/>
      <c r="P9" s="66" t="str">
        <f>G9&amp;"("&amp;J9&amp;")"</f>
        <v>(Значение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v>
      </c>
      <c r="Q9" s="60"/>
      <c r="R9" s="60"/>
      <c r="S9" s="248"/>
      <c r="T9" s="60"/>
      <c r="U9" s="60"/>
      <c r="V9" s="60"/>
      <c r="W9" s="59"/>
      <c r="X9" s="59"/>
      <c r="Y9" s="101"/>
      <c r="Z9" s="101"/>
      <c r="AA9" s="101"/>
      <c r="AB9" s="101"/>
      <c r="AC9" s="101"/>
      <c r="AD9" s="101"/>
      <c r="AE9" s="101"/>
      <c r="AF9" s="101"/>
      <c r="AG9" s="101"/>
      <c r="AH9" s="101"/>
      <c r="AI9" s="101"/>
      <c r="AJ9" s="101"/>
      <c r="AK9" s="101"/>
      <c r="AL9" s="101"/>
      <c r="AM9" s="101"/>
      <c r="AN9" s="101"/>
      <c r="AO9" s="101"/>
      <c r="AP9" s="101"/>
      <c r="AQ9" s="101"/>
      <c r="AR9" s="101"/>
      <c r="AS9" s="101"/>
      <c r="AT9" s="101"/>
      <c r="AU9" s="101"/>
      <c r="AV9" s="101"/>
      <c r="AW9" s="101"/>
      <c r="AX9" s="101"/>
      <c r="AY9" s="101"/>
      <c r="AZ9" s="101"/>
      <c r="BA9" s="101"/>
      <c r="BB9" s="101"/>
      <c r="BC9" s="101"/>
      <c r="BD9" s="101"/>
      <c r="BE9" s="101"/>
      <c r="BF9" s="101"/>
      <c r="BG9" s="101"/>
      <c r="BH9" s="101"/>
      <c r="BI9" s="101"/>
      <c r="BJ9" s="101"/>
      <c r="BK9" s="101"/>
      <c r="BL9" s="101"/>
      <c r="BM9" s="101"/>
      <c r="BN9" s="101"/>
      <c r="BO9" s="101"/>
      <c r="BP9" s="101"/>
      <c r="BQ9" s="101"/>
      <c r="BR9" s="101"/>
      <c r="BS9" s="101"/>
      <c r="BT9" s="59"/>
      <c r="BU9" s="59"/>
      <c r="BV9" s="59"/>
      <c r="BW9" s="59"/>
      <c r="BX9" s="59"/>
      <c r="BY9" s="59"/>
      <c r="BZ9" s="59"/>
      <c r="CA9" s="59"/>
      <c r="CB9" s="59"/>
      <c r="CC9" s="5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row>
    <row r="10" spans="1:254" ht="15" customHeight="1">
      <c r="A10" s="1068"/>
      <c r="C10" s="247"/>
      <c r="D10" s="478"/>
      <c r="E10" s="878"/>
      <c r="F10" s="852" t="s">
        <v>2143</v>
      </c>
      <c r="G10" s="879"/>
      <c r="H10" s="879"/>
      <c r="I10" s="879"/>
      <c r="J10" s="1457"/>
      <c r="K10" s="873"/>
      <c r="L10" s="65"/>
      <c r="M10" s="65"/>
      <c r="N10" s="65"/>
      <c r="P10" s="65"/>
      <c r="Q10" s="60"/>
      <c r="R10" s="60"/>
      <c r="S10" s="248"/>
      <c r="T10" s="60"/>
      <c r="U10" s="60"/>
      <c r="V10" s="60"/>
      <c r="W10" s="59"/>
      <c r="X10" s="59"/>
      <c r="Y10" s="101"/>
      <c r="Z10" s="101"/>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59"/>
      <c r="BU10" s="59"/>
      <c r="BV10" s="59"/>
      <c r="BW10" s="59"/>
      <c r="BX10" s="59"/>
      <c r="BY10" s="59"/>
      <c r="BZ10" s="59"/>
      <c r="CA10" s="59"/>
      <c r="CB10" s="59"/>
      <c r="CC10" s="59"/>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row>
    <row r="11" spans="1:254" s="43" customFormat="1" ht="21" customHeight="1">
      <c r="A11" s="9"/>
      <c r="B11" s="60"/>
      <c r="C11" s="9"/>
      <c r="D11" s="74"/>
      <c r="E11" s="88"/>
      <c r="F11" s="88"/>
      <c r="G11" s="88"/>
      <c r="H11" s="88"/>
      <c r="I11" s="88"/>
      <c r="J11" s="88"/>
      <c r="K11" s="66"/>
      <c r="L11" s="66"/>
      <c r="M11" s="66"/>
      <c r="N11" s="66"/>
      <c r="O11" s="66"/>
      <c r="P11" s="66"/>
      <c r="Q11" s="123"/>
      <c r="R11" s="123"/>
      <c r="S11" s="123"/>
      <c r="T11" s="123"/>
    </row>
    <row r="12" spans="1:254" s="43" customFormat="1" ht="14.25" customHeight="1">
      <c r="A12" s="9"/>
      <c r="B12" s="60"/>
      <c r="C12" s="9"/>
      <c r="D12" s="74"/>
      <c r="E12" s="9"/>
      <c r="F12" s="9"/>
      <c r="G12" s="9"/>
      <c r="H12" s="9"/>
      <c r="I12" s="9"/>
      <c r="J12" s="9"/>
      <c r="K12" s="66"/>
      <c r="L12" s="66"/>
      <c r="M12" s="66"/>
      <c r="N12" s="66"/>
      <c r="O12" s="66"/>
      <c r="P12" s="66"/>
      <c r="Q12" s="123"/>
      <c r="R12" s="123"/>
      <c r="S12" s="123"/>
      <c r="T12" s="123"/>
    </row>
    <row r="13" spans="1:254" s="43" customFormat="1" ht="0.75" customHeight="1">
      <c r="A13" s="9"/>
      <c r="B13" s="60"/>
      <c r="C13" s="9"/>
      <c r="D13" s="74"/>
      <c r="E13" s="9"/>
      <c r="F13" s="9"/>
      <c r="G13" s="9"/>
      <c r="H13" s="9"/>
      <c r="I13" s="9"/>
      <c r="J13" s="9"/>
      <c r="K13" s="66"/>
      <c r="L13" s="66"/>
      <c r="M13" s="66"/>
      <c r="N13" s="66"/>
      <c r="O13" s="66"/>
      <c r="P13" s="66"/>
      <c r="Q13" s="123"/>
      <c r="R13" s="123"/>
      <c r="S13" s="123"/>
      <c r="T13" s="123"/>
    </row>
    <row r="14" spans="1:254" s="89" customFormat="1" ht="10.5" customHeight="1">
      <c r="B14" s="491"/>
      <c r="D14" s="90"/>
      <c r="K14" s="66"/>
      <c r="L14" s="66"/>
      <c r="M14" s="66"/>
      <c r="N14" s="66"/>
      <c r="O14" s="66"/>
      <c r="P14" s="66"/>
      <c r="Q14" s="123"/>
      <c r="R14" s="123"/>
      <c r="S14" s="123"/>
      <c r="T14" s="123"/>
    </row>
    <row r="15" spans="1:254" s="89" customFormat="1" ht="10.5" customHeight="1">
      <c r="B15" s="491"/>
      <c r="D15" s="90"/>
      <c r="K15" s="66"/>
      <c r="L15" s="66"/>
      <c r="M15" s="66"/>
      <c r="N15" s="66"/>
      <c r="O15" s="66"/>
      <c r="P15" s="66"/>
      <c r="Q15" s="123"/>
      <c r="R15" s="123"/>
      <c r="S15" s="123"/>
      <c r="T15" s="123"/>
    </row>
    <row r="19" spans="7:13" ht="14.25" customHeight="1">
      <c r="G19"/>
      <c r="H19"/>
      <c r="I19"/>
    </row>
    <row r="23" spans="7:13" ht="14.25" customHeight="1">
      <c r="K23" s="9"/>
      <c r="L23" s="9"/>
      <c r="M23" s="9"/>
    </row>
  </sheetData>
  <sheetProtection formatColumns="0" formatRows="0" insertRows="0" deleteColumns="0" deleteRows="0" sort="0" autoFilter="0"/>
  <mergeCells count="5">
    <mergeCell ref="E5:J5"/>
    <mergeCell ref="A9:A10"/>
    <mergeCell ref="E7:I7"/>
    <mergeCell ref="J7:J8"/>
    <mergeCell ref="J9:J10"/>
  </mergeCells>
  <dataValidations count="1">
    <dataValidation type="textLength" allowBlank="1" showInputMessage="1" showErrorMessage="1" sqref="I2:I3 I9" xr:uid="{00000000-0002-0000-3F00-000000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1015C-BD2F-C87E-E587-270ADA7B8DEF}">
  <dimension ref="A1:IV14"/>
  <sheetViews>
    <sheetView showGridLines="0" topLeftCell="D4"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6.28515625" style="9" customWidth="1"/>
    <col min="6" max="6" width="27.28515625" style="9" customWidth="1"/>
    <col min="7" max="7" width="16.7109375" style="9" customWidth="1"/>
    <col min="8" max="8" width="12.7109375" style="9" customWidth="1"/>
    <col min="9" max="9" width="32.140625" style="9" customWidth="1"/>
    <col min="10" max="11" width="41.85546875" style="9" customWidth="1"/>
    <col min="12" max="12" width="89.5703125" style="9" customWidth="1"/>
    <col min="13" max="13" width="3.7109375" style="66" customWidth="1"/>
    <col min="14" max="16" width="9.140625" style="66"/>
    <col min="17" max="17" width="25.7109375" style="66" customWidth="1"/>
    <col min="18" max="18" width="14.42578125" style="66" customWidth="1"/>
    <col min="19" max="22" width="9.140625" style="123"/>
    <col min="23" max="256" width="9.140625" style="9"/>
  </cols>
  <sheetData>
    <row r="1" spans="1:256" ht="14.25" hidden="1" customHeight="1"/>
    <row r="2" spans="1:256" ht="22.5" hidden="1" customHeight="1">
      <c r="A2" s="77"/>
      <c r="B2" s="60">
        <v>1</v>
      </c>
      <c r="C2" s="60"/>
      <c r="D2" s="478"/>
      <c r="E2" s="39"/>
      <c r="F2" s="876" t="str">
        <f>IF(ROIV_INFO_NAME="","",ROIV_INFO_NAME)</f>
        <v>ИМУП «ПОСЖИЛКОМСЕРВИС»</v>
      </c>
      <c r="G2" s="977" t="s">
        <v>18</v>
      </c>
      <c r="H2" s="875"/>
      <c r="I2" s="875"/>
      <c r="J2" s="114"/>
      <c r="K2" s="114"/>
      <c r="L2" s="125"/>
      <c r="M2" s="872" t="e">
        <f ca="1">MERGEVALUE(F2)</f>
        <v>#NAME?</v>
      </c>
      <c r="N2" s="65"/>
      <c r="O2" s="65"/>
      <c r="P2" s="66" t="str">
        <f t="array" ref="P2">IF(ISERROR(MATCH(MID(Q2,1,250),MID(note_ter,1,250),0)),"n","y")</f>
        <v>n</v>
      </c>
      <c r="Q2" s="65"/>
      <c r="R2" s="66" t="str">
        <f>G2&amp;"("&amp;L2&amp;")"</f>
        <v>()</v>
      </c>
      <c r="S2" s="60"/>
      <c r="T2" s="60"/>
      <c r="U2" s="248"/>
      <c r="V2" s="60"/>
      <c r="W2" s="60"/>
      <c r="X2" s="60"/>
      <c r="Y2" s="59"/>
      <c r="Z2" s="59"/>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59"/>
      <c r="BW2" s="59"/>
      <c r="BX2" s="59"/>
      <c r="BY2" s="59"/>
      <c r="BZ2" s="59"/>
      <c r="CA2" s="59"/>
      <c r="CB2" s="59"/>
      <c r="CC2" s="59"/>
      <c r="CD2" s="59"/>
      <c r="CE2" s="59"/>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s="65" customFormat="1" ht="5.25" hidden="1" customHeight="1">
      <c r="A3" s="209"/>
      <c r="D3" s="119"/>
      <c r="F3" s="142" t="s">
        <v>83</v>
      </c>
      <c r="G3" s="980" t="s">
        <v>84</v>
      </c>
      <c r="H3" s="119"/>
      <c r="I3" s="119"/>
      <c r="J3" s="119"/>
      <c r="K3" s="119"/>
      <c r="L3" s="124" t="s">
        <v>85</v>
      </c>
      <c r="M3" s="142" t="s">
        <v>83</v>
      </c>
      <c r="N3" s="142"/>
      <c r="O3" s="142"/>
      <c r="P3" s="142"/>
      <c r="Q3" s="142"/>
      <c r="R3" s="142"/>
      <c r="S3" s="142"/>
      <c r="T3" s="142"/>
      <c r="U3" s="142"/>
      <c r="V3" s="142"/>
      <c r="W3" s="124"/>
      <c r="X3" s="124"/>
      <c r="Y3" s="124"/>
      <c r="Z3" s="124"/>
      <c r="AA3" s="124"/>
      <c r="AB3" s="124"/>
      <c r="AC3" s="124"/>
      <c r="AD3" s="124"/>
      <c r="AE3" s="124"/>
      <c r="AF3" s="124"/>
      <c r="AG3" s="124"/>
      <c r="AH3" s="124"/>
      <c r="AI3" s="124"/>
      <c r="AJ3" s="124"/>
      <c r="AK3" s="124"/>
      <c r="AL3" s="124"/>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c r="CY3" s="124"/>
      <c r="CZ3" s="124"/>
      <c r="DA3" s="124"/>
      <c r="DB3" s="124"/>
      <c r="DC3" s="124"/>
      <c r="DD3" s="124"/>
      <c r="DE3" s="124"/>
      <c r="DF3" s="124"/>
      <c r="DG3" s="124"/>
      <c r="DH3" s="124"/>
      <c r="DI3" s="124"/>
      <c r="DJ3" s="124"/>
      <c r="DK3" s="124"/>
      <c r="DL3" s="124"/>
      <c r="DM3" s="124"/>
      <c r="DN3" s="124"/>
      <c r="DO3" s="124"/>
      <c r="DP3" s="124"/>
      <c r="DQ3" s="124"/>
      <c r="DR3" s="124"/>
      <c r="DS3" s="124"/>
      <c r="DT3" s="124"/>
      <c r="DU3" s="124"/>
      <c r="DV3" s="124"/>
      <c r="DW3" s="124"/>
      <c r="DX3" s="124"/>
      <c r="DY3" s="124"/>
      <c r="DZ3" s="124"/>
      <c r="EA3" s="124"/>
      <c r="EB3" s="124"/>
      <c r="EC3" s="124"/>
      <c r="ED3" s="124"/>
      <c r="EE3" s="124"/>
      <c r="EF3" s="124"/>
      <c r="EG3" s="124"/>
      <c r="EH3" s="124"/>
      <c r="EI3" s="124"/>
      <c r="EJ3" s="124"/>
      <c r="EK3" s="124"/>
      <c r="EL3" s="124"/>
      <c r="EM3" s="124"/>
      <c r="EN3" s="124"/>
      <c r="EO3" s="124"/>
      <c r="EP3" s="124"/>
      <c r="EQ3" s="124"/>
      <c r="ER3" s="124"/>
      <c r="ES3" s="124"/>
      <c r="ET3" s="124"/>
      <c r="EU3" s="124"/>
      <c r="EV3" s="124"/>
      <c r="EW3" s="124"/>
      <c r="EX3" s="124"/>
      <c r="EY3" s="124"/>
      <c r="EZ3" s="124"/>
      <c r="FA3" s="124"/>
      <c r="FB3" s="124"/>
      <c r="FC3" s="124"/>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c r="IR3" s="124"/>
      <c r="IS3" s="124"/>
      <c r="IT3" s="124"/>
      <c r="IU3" s="124"/>
      <c r="IV3" s="124"/>
    </row>
    <row r="4" spans="1:256" s="43" customFormat="1" ht="14.25" customHeight="1">
      <c r="A4" s="9"/>
      <c r="B4" s="60"/>
      <c r="C4" s="9"/>
      <c r="D4" s="74"/>
      <c r="E4" s="9"/>
      <c r="F4" s="9"/>
      <c r="G4" s="9"/>
      <c r="H4" s="9"/>
      <c r="I4" s="9"/>
      <c r="J4" s="9"/>
      <c r="K4" s="9"/>
      <c r="L4" s="75"/>
      <c r="M4" s="142"/>
      <c r="N4" s="66"/>
      <c r="O4" s="66"/>
      <c r="P4" s="66"/>
      <c r="Q4" s="66"/>
      <c r="R4" s="66"/>
      <c r="S4" s="123"/>
      <c r="T4" s="123"/>
      <c r="U4" s="123"/>
      <c r="V4" s="123"/>
    </row>
    <row r="5" spans="1:256" s="43" customFormat="1" ht="25.5" customHeight="1">
      <c r="A5" s="9"/>
      <c r="B5" s="60"/>
      <c r="C5" s="9"/>
      <c r="D5" s="74"/>
      <c r="E5" s="1069"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холодного водоснабжения</v>
      </c>
      <c r="F5" s="1069"/>
      <c r="G5" s="1069"/>
      <c r="H5" s="1069"/>
      <c r="I5" s="1069"/>
      <c r="J5" s="1069"/>
      <c r="K5" s="1069"/>
      <c r="L5" s="9"/>
      <c r="M5" s="142"/>
      <c r="N5" s="66"/>
      <c r="O5" s="66"/>
      <c r="P5" s="66"/>
      <c r="Q5" s="66"/>
      <c r="R5" s="66"/>
      <c r="S5" s="123"/>
      <c r="T5" s="123"/>
      <c r="U5" s="123"/>
      <c r="V5" s="123"/>
    </row>
    <row r="6" spans="1:256" s="43" customFormat="1" ht="14.25" customHeight="1">
      <c r="A6" s="9"/>
      <c r="B6" s="60"/>
      <c r="C6" s="9"/>
      <c r="D6" s="74"/>
      <c r="E6" s="9"/>
      <c r="F6" s="76"/>
      <c r="G6" s="76"/>
      <c r="H6" s="76"/>
      <c r="I6" s="76"/>
      <c r="J6" s="76"/>
      <c r="K6" s="76"/>
      <c r="L6" s="77"/>
      <c r="M6" s="66"/>
      <c r="N6" s="66"/>
      <c r="O6" s="66"/>
      <c r="P6" s="66"/>
      <c r="Q6" s="66"/>
      <c r="R6" s="66"/>
      <c r="S6" s="123"/>
      <c r="T6" s="123"/>
      <c r="U6" s="123"/>
      <c r="V6" s="123"/>
    </row>
    <row r="7" spans="1:256" s="43" customFormat="1" ht="14.25" customHeight="1">
      <c r="A7" s="9"/>
      <c r="B7" s="60"/>
      <c r="C7" s="9"/>
      <c r="D7" s="74"/>
      <c r="E7" s="1065" t="s">
        <v>288</v>
      </c>
      <c r="F7" s="1070"/>
      <c r="G7" s="1070"/>
      <c r="H7" s="1070"/>
      <c r="I7" s="1070"/>
      <c r="J7" s="1070"/>
      <c r="K7" s="1070"/>
      <c r="L7" s="1454" t="s">
        <v>289</v>
      </c>
      <c r="M7" s="66"/>
      <c r="N7" s="66"/>
      <c r="O7" s="66"/>
      <c r="P7" s="66"/>
      <c r="Q7" s="66"/>
      <c r="R7" s="66"/>
      <c r="S7" s="123"/>
      <c r="T7" s="123"/>
      <c r="U7" s="123"/>
      <c r="V7" s="123"/>
    </row>
    <row r="8" spans="1:256" s="43" customFormat="1" ht="47.25" customHeight="1">
      <c r="A8" s="9"/>
      <c r="B8" s="60"/>
      <c r="C8" s="9"/>
      <c r="D8" s="74"/>
      <c r="E8" s="1459" t="s">
        <v>88</v>
      </c>
      <c r="F8" s="1459" t="s">
        <v>2122</v>
      </c>
      <c r="G8" s="1461"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холодного водоснабжения</v>
      </c>
      <c r="H8" s="1462"/>
      <c r="I8" s="1463"/>
      <c r="J8" s="1459"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холодного водоснабжения</v>
      </c>
      <c r="K8" s="1459"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1458"/>
      <c r="M8" s="66"/>
      <c r="N8" s="66"/>
      <c r="O8" s="66"/>
      <c r="P8" s="66"/>
      <c r="Q8" s="66"/>
      <c r="R8" s="66"/>
      <c r="S8" s="123"/>
      <c r="T8" s="123"/>
      <c r="U8" s="123"/>
      <c r="V8" s="123"/>
    </row>
    <row r="9" spans="1:256" s="43" customFormat="1" ht="56.25" customHeight="1">
      <c r="A9" s="9"/>
      <c r="B9" s="60"/>
      <c r="C9" s="9"/>
      <c r="D9" s="74"/>
      <c r="E9" s="1460"/>
      <c r="F9" s="1460"/>
      <c r="G9" s="874" t="s">
        <v>2144</v>
      </c>
      <c r="H9" s="874" t="s">
        <v>2145</v>
      </c>
      <c r="I9" s="874" t="s">
        <v>2146</v>
      </c>
      <c r="J9" s="1460"/>
      <c r="K9" s="1460"/>
      <c r="L9" s="1455"/>
      <c r="M9" s="66"/>
      <c r="N9" s="66"/>
      <c r="O9" s="66"/>
      <c r="P9" s="66"/>
      <c r="Q9" s="66"/>
      <c r="R9" s="66"/>
      <c r="S9" s="123"/>
      <c r="T9" s="123"/>
      <c r="U9" s="123"/>
      <c r="V9" s="123"/>
    </row>
    <row r="10" spans="1:256" ht="22.5" customHeight="1">
      <c r="A10" s="1068"/>
      <c r="B10" s="60">
        <v>1</v>
      </c>
      <c r="C10" s="60"/>
      <c r="D10" s="477"/>
      <c r="E10" s="462">
        <v>1</v>
      </c>
      <c r="F10" s="876" t="str">
        <f>IF(ROIV_INFO_NAME="","",ROIV_INFO_NAME)</f>
        <v>ИМУП «ПОСЖИЛКОМСЕРВИС»</v>
      </c>
      <c r="G10" s="977" t="s">
        <v>18</v>
      </c>
      <c r="H10" s="871"/>
      <c r="I10" s="871"/>
      <c r="J10" s="114"/>
      <c r="K10" s="114"/>
      <c r="L10" s="1456" t="s">
        <v>2147</v>
      </c>
      <c r="M10" s="872" t="e">
        <f ca="1">MERGEVALUE(F10)</f>
        <v>#NAME?</v>
      </c>
      <c r="N10" s="65"/>
      <c r="O10" s="65"/>
      <c r="P10" s="66" t="str">
        <f t="array" ref="P10">IF(ISERROR(MATCH(MID(Q10,1,250),MID(note_ter,1,250),0)),"n","y")</f>
        <v>n</v>
      </c>
      <c r="Q10" s="65"/>
      <c r="R10" s="6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60"/>
      <c r="T10" s="60"/>
      <c r="U10" s="248"/>
      <c r="V10" s="60"/>
      <c r="W10" s="60"/>
      <c r="X10" s="60"/>
      <c r="Y10" s="59"/>
      <c r="Z10" s="59"/>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101"/>
      <c r="BU10" s="101"/>
      <c r="BV10" s="59"/>
      <c r="BW10" s="59"/>
      <c r="BX10" s="59"/>
      <c r="BY10" s="59"/>
      <c r="BZ10" s="59"/>
      <c r="CA10" s="59"/>
      <c r="CB10" s="59"/>
      <c r="CC10" s="59"/>
      <c r="CD10" s="59"/>
      <c r="CE10" s="59"/>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15" customHeight="1">
      <c r="A11" s="1068"/>
      <c r="C11" s="247"/>
      <c r="D11" s="478"/>
      <c r="E11" s="249"/>
      <c r="F11" s="50" t="s">
        <v>2148</v>
      </c>
      <c r="G11" s="94"/>
      <c r="H11" s="94"/>
      <c r="I11" s="94"/>
      <c r="J11" s="94"/>
      <c r="K11" s="94"/>
      <c r="L11" s="1457"/>
      <c r="M11" s="873"/>
      <c r="N11" s="65"/>
      <c r="O11" s="65"/>
      <c r="P11" s="65"/>
      <c r="R11" s="65"/>
      <c r="S11" s="60"/>
      <c r="T11" s="60"/>
      <c r="U11" s="248"/>
      <c r="V11" s="60"/>
      <c r="W11" s="60"/>
      <c r="X11" s="60"/>
      <c r="Y11" s="59"/>
      <c r="Z11" s="59"/>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59"/>
      <c r="BW11" s="59"/>
      <c r="BX11" s="59"/>
      <c r="BY11" s="59"/>
      <c r="BZ11" s="59"/>
      <c r="CA11" s="59"/>
      <c r="CB11" s="59"/>
      <c r="CC11" s="59"/>
      <c r="CD11" s="59"/>
      <c r="CE11" s="59"/>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s="43" customFormat="1" ht="21" customHeight="1">
      <c r="A12" s="9"/>
      <c r="B12" s="60"/>
      <c r="C12" s="9"/>
      <c r="D12" s="74"/>
      <c r="E12" s="88"/>
      <c r="F12" s="88"/>
      <c r="G12" s="88"/>
      <c r="H12" s="88"/>
      <c r="I12" s="88"/>
      <c r="J12" s="88"/>
      <c r="K12" s="88"/>
      <c r="L12" s="88"/>
      <c r="M12" s="66"/>
      <c r="N12" s="66"/>
      <c r="O12" s="66"/>
      <c r="P12" s="66"/>
      <c r="Q12" s="66"/>
      <c r="R12" s="66"/>
      <c r="S12" s="123"/>
      <c r="T12" s="123"/>
      <c r="U12" s="123"/>
      <c r="V12" s="123"/>
    </row>
    <row r="13" spans="1:256" s="43" customFormat="1" ht="14.25" customHeight="1">
      <c r="A13" s="9"/>
      <c r="B13" s="60"/>
      <c r="C13" s="9"/>
      <c r="D13" s="74"/>
      <c r="E13" s="9"/>
      <c r="F13" s="9"/>
      <c r="G13" s="9"/>
      <c r="H13" s="9"/>
      <c r="I13" s="9"/>
      <c r="J13" s="9"/>
      <c r="K13" s="9"/>
      <c r="L13" s="9"/>
      <c r="M13" s="66"/>
      <c r="N13" s="66"/>
      <c r="O13" s="66"/>
      <c r="P13" s="66"/>
      <c r="Q13" s="66"/>
      <c r="R13" s="66"/>
      <c r="S13" s="123"/>
      <c r="T13" s="123"/>
      <c r="U13" s="123"/>
      <c r="V13" s="123"/>
    </row>
    <row r="14" spans="1:256" s="43" customFormat="1" ht="0.75" customHeight="1">
      <c r="A14" s="9"/>
      <c r="B14" s="60"/>
      <c r="C14" s="9"/>
      <c r="D14" s="74"/>
      <c r="E14" s="9"/>
      <c r="F14" s="9"/>
      <c r="G14" s="9"/>
      <c r="H14" s="9"/>
      <c r="I14" s="9"/>
      <c r="J14" s="9"/>
      <c r="K14" s="9"/>
      <c r="L14" s="9"/>
      <c r="M14" s="66"/>
      <c r="N14" s="66"/>
      <c r="O14" s="66"/>
      <c r="P14" s="66"/>
      <c r="Q14" s="66"/>
      <c r="R14" s="66"/>
      <c r="S14" s="123"/>
      <c r="T14" s="123"/>
      <c r="U14" s="123"/>
      <c r="V14" s="123"/>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xr:uid="{00000000-0002-0000-4000-000000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xr:uid="{00000000-0002-0000-4000-000001000000}"/>
    <dataValidation type="textLength" allowBlank="1" showInputMessage="1" showErrorMessage="1" sqref="H2:I3 H10:I10" xr:uid="{00000000-0002-0000-4000-000002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266DD-9565-5F09-E6AD-69175C670309}">
  <dimension ref="A1:IY16"/>
  <sheetViews>
    <sheetView showGridLines="0" topLeftCell="D5"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10.140625" style="9" customWidth="1"/>
    <col min="6" max="6" width="6.28515625" style="9" customWidth="1"/>
    <col min="7" max="7" width="27.28515625" style="9" customWidth="1"/>
    <col min="8" max="8" width="29.28515625" style="9" customWidth="1"/>
    <col min="9" max="9" width="25.42578125" style="9" customWidth="1"/>
    <col min="10" max="10" width="5.5703125" style="9" customWidth="1"/>
    <col min="11" max="11" width="6.5703125" style="9" customWidth="1"/>
    <col min="12" max="12" width="41.85546875" style="9" customWidth="1"/>
    <col min="13" max="13" width="42.42578125" style="9" customWidth="1"/>
    <col min="14" max="14" width="41.5703125" style="9" customWidth="1"/>
    <col min="15" max="15" width="64.140625" style="9" customWidth="1"/>
    <col min="16" max="16" width="3.7109375" style="66" customWidth="1"/>
    <col min="17" max="19" width="9.140625" style="66"/>
    <col min="20" max="20" width="25.7109375" style="66" customWidth="1"/>
    <col min="21" max="21" width="14.42578125" style="66" customWidth="1"/>
    <col min="22" max="25" width="9.140625" style="123"/>
    <col min="26" max="259" width="9.140625" style="9"/>
  </cols>
  <sheetData>
    <row r="1" spans="1:259" ht="14.25" hidden="1" customHeight="1"/>
    <row r="2" spans="1:259" ht="22.5" hidden="1" customHeight="1">
      <c r="A2" s="209"/>
      <c r="B2" s="60">
        <v>1</v>
      </c>
      <c r="C2" s="60"/>
      <c r="D2" s="478"/>
      <c r="E2" s="1083"/>
      <c r="F2" s="1083">
        <v>1</v>
      </c>
      <c r="G2" s="1362" t="str">
        <f>IF(region_name="","",region_name)</f>
        <v>Ненецкий автономный округ</v>
      </c>
      <c r="H2" s="1464"/>
      <c r="I2" s="1465"/>
      <c r="J2" s="281"/>
      <c r="K2" s="39">
        <v>1</v>
      </c>
      <c r="L2" s="114"/>
      <c r="M2" s="114"/>
      <c r="N2" s="114"/>
      <c r="O2" s="114"/>
      <c r="P2" s="872" t="e">
        <f ca="1">MERGEVALUE(G2)</f>
        <v>#NAME?</v>
      </c>
      <c r="Q2" s="65"/>
      <c r="R2" s="65"/>
      <c r="S2" s="66" t="str">
        <f t="array" ref="S2">IF(ISERROR(MATCH(MID(T2,1,250),MID(note_ter,1,250),0)),"n","y")</f>
        <v>n</v>
      </c>
      <c r="T2" s="65"/>
      <c r="V2" s="60"/>
      <c r="W2" s="60"/>
      <c r="X2" s="248"/>
      <c r="Y2" s="60"/>
      <c r="Z2" s="60"/>
      <c r="AA2" s="60"/>
      <c r="AB2" s="59"/>
      <c r="AC2" s="59"/>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101"/>
      <c r="BW2" s="101"/>
      <c r="BX2" s="101"/>
      <c r="BY2" s="59"/>
      <c r="BZ2" s="59"/>
      <c r="CA2" s="59"/>
      <c r="CB2" s="59"/>
      <c r="CC2" s="59"/>
      <c r="CD2" s="59"/>
      <c r="CE2" s="59"/>
      <c r="CF2" s="59"/>
      <c r="CG2" s="59"/>
      <c r="CH2" s="59"/>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row>
    <row r="3" spans="1:259" ht="22.5" hidden="1" customHeight="1">
      <c r="A3" s="77"/>
      <c r="C3" s="60"/>
      <c r="D3" s="478"/>
      <c r="E3" s="1083"/>
      <c r="F3" s="1083"/>
      <c r="G3" s="1362"/>
      <c r="H3" s="1464"/>
      <c r="I3" s="1256"/>
      <c r="J3" s="881"/>
      <c r="K3" s="852"/>
      <c r="L3" s="852" t="s">
        <v>2149</v>
      </c>
      <c r="M3" s="884"/>
      <c r="N3" s="884"/>
      <c r="O3" s="885"/>
      <c r="P3" s="872"/>
      <c r="Q3" s="65"/>
      <c r="R3" s="65"/>
      <c r="T3" s="65"/>
      <c r="V3" s="60"/>
      <c r="W3" s="60"/>
      <c r="X3" s="248"/>
      <c r="Y3" s="60"/>
      <c r="Z3" s="60"/>
      <c r="AA3" s="60"/>
      <c r="AB3" s="59"/>
      <c r="AC3" s="59"/>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1"/>
      <c r="BC3" s="101"/>
      <c r="BD3" s="101"/>
      <c r="BE3" s="101"/>
      <c r="BF3" s="101"/>
      <c r="BG3" s="101"/>
      <c r="BH3" s="101"/>
      <c r="BI3" s="101"/>
      <c r="BJ3" s="101"/>
      <c r="BK3" s="101"/>
      <c r="BL3" s="101"/>
      <c r="BM3" s="101"/>
      <c r="BN3" s="101"/>
      <c r="BO3" s="101"/>
      <c r="BP3" s="101"/>
      <c r="BQ3" s="101"/>
      <c r="BR3" s="101"/>
      <c r="BS3" s="101"/>
      <c r="BT3" s="101"/>
      <c r="BU3" s="101"/>
      <c r="BV3" s="101"/>
      <c r="BW3" s="101"/>
      <c r="BX3" s="101"/>
      <c r="BY3" s="59"/>
      <c r="BZ3" s="59"/>
      <c r="CA3" s="59"/>
      <c r="CB3" s="59"/>
      <c r="CC3" s="59"/>
      <c r="CD3" s="59"/>
      <c r="CE3" s="59"/>
      <c r="CF3" s="59"/>
      <c r="CG3" s="59"/>
      <c r="CH3" s="59"/>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row>
    <row r="4" spans="1:259" s="65" customFormat="1" ht="5.25" hidden="1" customHeight="1">
      <c r="A4" s="209"/>
      <c r="D4" s="119"/>
      <c r="G4" s="142" t="s">
        <v>83</v>
      </c>
      <c r="H4" s="119" t="s">
        <v>84</v>
      </c>
      <c r="I4" s="119"/>
      <c r="J4" s="886"/>
      <c r="K4" s="886"/>
      <c r="L4" s="886"/>
      <c r="M4" s="886"/>
      <c r="N4" s="886"/>
      <c r="O4" s="886"/>
      <c r="P4" s="142" t="s">
        <v>83</v>
      </c>
      <c r="Q4" s="142"/>
      <c r="R4" s="142"/>
      <c r="S4" s="142"/>
      <c r="T4" s="142"/>
      <c r="U4" s="142"/>
      <c r="V4" s="142"/>
      <c r="W4" s="142"/>
      <c r="X4" s="142"/>
      <c r="Y4" s="142"/>
      <c r="Z4" s="124"/>
      <c r="AA4" s="124"/>
      <c r="AB4" s="124"/>
      <c r="AC4" s="124"/>
      <c r="AD4" s="124"/>
      <c r="AE4" s="124"/>
      <c r="AF4" s="124"/>
      <c r="AG4" s="124"/>
      <c r="AH4" s="124"/>
      <c r="AI4" s="124"/>
      <c r="AJ4" s="124"/>
      <c r="AK4" s="124"/>
      <c r="AL4" s="124"/>
      <c r="AM4" s="124"/>
      <c r="AN4" s="124"/>
      <c r="AO4" s="124"/>
      <c r="AP4" s="124"/>
      <c r="AQ4" s="124"/>
      <c r="AR4" s="124"/>
      <c r="AS4" s="124"/>
      <c r="AT4" s="124"/>
      <c r="AU4" s="124"/>
      <c r="AV4" s="124"/>
      <c r="AW4" s="124"/>
      <c r="AX4" s="124"/>
      <c r="AY4" s="124"/>
      <c r="AZ4" s="124"/>
      <c r="BA4" s="124"/>
      <c r="BB4" s="124"/>
      <c r="BC4" s="124"/>
      <c r="BD4" s="124"/>
      <c r="BE4" s="124"/>
      <c r="BF4" s="124"/>
      <c r="BG4" s="124"/>
      <c r="BH4" s="124"/>
      <c r="BI4" s="124"/>
      <c r="BJ4" s="124"/>
      <c r="BK4" s="124"/>
      <c r="BL4" s="124"/>
      <c r="BM4" s="124"/>
      <c r="BN4" s="124"/>
      <c r="BO4" s="124"/>
      <c r="BP4" s="124"/>
      <c r="BQ4" s="124"/>
      <c r="BR4" s="124"/>
      <c r="BS4" s="124"/>
      <c r="BT4" s="124"/>
      <c r="BU4" s="124"/>
      <c r="BV4" s="124"/>
      <c r="BW4" s="124"/>
      <c r="BX4" s="124"/>
      <c r="BY4" s="124"/>
      <c r="BZ4" s="124"/>
      <c r="CA4" s="124"/>
      <c r="CB4" s="124"/>
      <c r="CC4" s="124"/>
      <c r="CD4" s="124"/>
      <c r="CE4" s="124"/>
      <c r="CF4" s="124"/>
      <c r="CG4" s="124"/>
      <c r="CH4" s="124"/>
      <c r="CI4" s="124"/>
      <c r="CJ4" s="124"/>
      <c r="CK4" s="124"/>
      <c r="CL4" s="124"/>
      <c r="CM4" s="124"/>
      <c r="CN4" s="124"/>
      <c r="CO4" s="124"/>
      <c r="CP4" s="124"/>
      <c r="CQ4" s="124"/>
      <c r="CR4" s="124"/>
      <c r="CS4" s="124"/>
      <c r="CT4" s="124"/>
      <c r="CU4" s="124"/>
      <c r="CV4" s="124"/>
      <c r="CW4" s="124"/>
      <c r="CX4" s="124"/>
      <c r="CY4" s="124"/>
      <c r="CZ4" s="124"/>
      <c r="DA4" s="124"/>
      <c r="DB4" s="124"/>
      <c r="DC4" s="124"/>
      <c r="DD4" s="124"/>
      <c r="DE4" s="124"/>
      <c r="DF4" s="124"/>
      <c r="DG4" s="124"/>
      <c r="DH4" s="124"/>
      <c r="DI4" s="124"/>
      <c r="DJ4" s="124"/>
      <c r="DK4" s="124"/>
      <c r="DL4" s="124"/>
      <c r="DM4" s="124"/>
      <c r="DN4" s="124"/>
      <c r="DO4" s="124"/>
      <c r="DP4" s="124"/>
      <c r="DQ4" s="124"/>
      <c r="DR4" s="124"/>
      <c r="DS4" s="124"/>
      <c r="DT4" s="124"/>
      <c r="DU4" s="124"/>
      <c r="DV4" s="124"/>
      <c r="DW4" s="124"/>
      <c r="DX4" s="124"/>
      <c r="DY4" s="124"/>
      <c r="DZ4" s="124"/>
      <c r="EA4" s="124"/>
      <c r="EB4" s="124"/>
      <c r="EC4" s="124"/>
      <c r="ED4" s="124"/>
      <c r="EE4" s="124"/>
      <c r="EF4" s="124"/>
      <c r="EG4" s="124"/>
      <c r="EH4" s="124"/>
      <c r="EI4" s="124"/>
      <c r="EJ4" s="124"/>
      <c r="EK4" s="124"/>
      <c r="EL4" s="124"/>
      <c r="EM4" s="124"/>
      <c r="EN4" s="124"/>
      <c r="EO4" s="124"/>
      <c r="EP4" s="124"/>
      <c r="EQ4" s="124"/>
      <c r="ER4" s="124"/>
      <c r="ES4" s="124"/>
      <c r="ET4" s="124"/>
      <c r="EU4" s="124"/>
      <c r="EV4" s="124"/>
      <c r="EW4" s="124"/>
      <c r="EX4" s="124"/>
      <c r="EY4" s="124"/>
      <c r="EZ4" s="124"/>
      <c r="FA4" s="124"/>
      <c r="FB4" s="124"/>
      <c r="FC4" s="124"/>
      <c r="FD4" s="124"/>
      <c r="FE4" s="124"/>
      <c r="FF4" s="124"/>
      <c r="FG4" s="124"/>
      <c r="FH4" s="124"/>
      <c r="FI4" s="124"/>
      <c r="FJ4" s="124"/>
      <c r="FK4" s="124"/>
      <c r="FL4" s="124"/>
      <c r="FM4" s="124"/>
      <c r="FN4" s="124"/>
      <c r="FO4" s="124"/>
      <c r="FP4" s="124"/>
      <c r="FQ4" s="124"/>
      <c r="FR4" s="124"/>
      <c r="FS4" s="124"/>
      <c r="FT4" s="124"/>
      <c r="FU4" s="124"/>
      <c r="FV4" s="124"/>
      <c r="FW4" s="124"/>
      <c r="FX4" s="124"/>
      <c r="FY4" s="124"/>
      <c r="FZ4" s="124"/>
      <c r="GA4" s="124"/>
      <c r="GB4" s="124"/>
      <c r="GC4" s="124"/>
      <c r="GD4" s="124"/>
      <c r="GE4" s="124"/>
      <c r="GF4" s="124"/>
      <c r="GG4" s="124"/>
      <c r="GH4" s="124"/>
      <c r="GI4" s="124"/>
      <c r="GJ4" s="124"/>
      <c r="GK4" s="124"/>
      <c r="GL4" s="124"/>
      <c r="GM4" s="124"/>
      <c r="GN4" s="124"/>
      <c r="GO4" s="124"/>
      <c r="GP4" s="124"/>
      <c r="GQ4" s="124"/>
      <c r="GR4" s="124"/>
      <c r="GS4" s="124"/>
      <c r="GT4" s="124"/>
      <c r="GU4" s="124"/>
      <c r="GV4" s="124"/>
      <c r="GW4" s="124"/>
      <c r="GX4" s="124"/>
      <c r="GY4" s="124"/>
      <c r="GZ4" s="124"/>
      <c r="HA4" s="124"/>
      <c r="HB4" s="124"/>
      <c r="HC4" s="124"/>
      <c r="HD4" s="124"/>
      <c r="HE4" s="124"/>
      <c r="HF4" s="124"/>
      <c r="HG4" s="124"/>
      <c r="HH4" s="124"/>
      <c r="HI4" s="124"/>
      <c r="HJ4" s="124"/>
      <c r="HK4" s="124"/>
      <c r="HL4" s="124"/>
      <c r="HM4" s="124"/>
      <c r="HN4" s="124"/>
      <c r="HO4" s="124"/>
      <c r="HP4" s="124"/>
      <c r="HQ4" s="124"/>
      <c r="HR4" s="124"/>
      <c r="HS4" s="124"/>
      <c r="HT4" s="124"/>
      <c r="HU4" s="124"/>
      <c r="HV4" s="124"/>
      <c r="HW4" s="124"/>
      <c r="HX4" s="124"/>
      <c r="HY4" s="124"/>
      <c r="HZ4" s="124"/>
      <c r="IA4" s="124"/>
      <c r="IB4" s="124"/>
      <c r="IC4" s="124"/>
      <c r="ID4" s="124"/>
      <c r="IE4" s="124"/>
      <c r="IF4" s="124"/>
      <c r="IG4" s="124"/>
      <c r="IH4" s="124"/>
      <c r="II4" s="124"/>
      <c r="IJ4" s="124"/>
      <c r="IK4" s="124"/>
      <c r="IL4" s="124"/>
      <c r="IM4" s="124"/>
      <c r="IN4" s="124"/>
      <c r="IO4" s="124"/>
      <c r="IP4" s="124"/>
      <c r="IQ4" s="124"/>
      <c r="IR4" s="124"/>
      <c r="IS4" s="124"/>
      <c r="IT4" s="124"/>
      <c r="IU4" s="124"/>
      <c r="IV4" s="124"/>
      <c r="IW4" s="124"/>
      <c r="IX4" s="124"/>
      <c r="IY4" s="124"/>
    </row>
    <row r="5" spans="1:259" s="43" customFormat="1" ht="14.25" customHeight="1">
      <c r="A5" s="9"/>
      <c r="B5" s="60"/>
      <c r="C5" s="9"/>
      <c r="D5" s="74"/>
      <c r="E5" s="9"/>
      <c r="F5" s="9"/>
      <c r="G5" s="9"/>
      <c r="H5" s="9"/>
      <c r="I5" s="9"/>
      <c r="J5" s="9"/>
      <c r="K5" s="9"/>
      <c r="L5" s="9"/>
      <c r="M5" s="9"/>
      <c r="N5" s="9"/>
      <c r="O5" s="9"/>
      <c r="P5" s="142"/>
      <c r="Q5" s="66"/>
      <c r="R5" s="66"/>
      <c r="S5" s="66"/>
      <c r="T5" s="66"/>
      <c r="U5" s="66"/>
      <c r="V5" s="123"/>
      <c r="W5" s="123"/>
      <c r="X5" s="123"/>
      <c r="Y5" s="123"/>
    </row>
    <row r="6" spans="1:259" s="43" customFormat="1" ht="25.5" customHeight="1">
      <c r="A6" s="9"/>
      <c r="B6" s="60"/>
      <c r="C6" s="9"/>
      <c r="D6" s="74"/>
      <c r="E6" s="1069" t="s">
        <v>2150</v>
      </c>
      <c r="F6" s="1069"/>
      <c r="G6" s="1069"/>
      <c r="H6" s="1069"/>
      <c r="I6" s="1069"/>
      <c r="J6" s="1069"/>
      <c r="K6" s="1069"/>
      <c r="L6" s="1069"/>
      <c r="M6" s="1069"/>
      <c r="N6" s="1069"/>
      <c r="O6" s="1069"/>
      <c r="P6" s="142"/>
      <c r="Q6" s="66"/>
      <c r="R6" s="66"/>
      <c r="S6" s="66"/>
      <c r="T6" s="66"/>
      <c r="U6" s="66"/>
      <c r="V6" s="123"/>
      <c r="W6" s="123"/>
      <c r="X6" s="123"/>
      <c r="Y6" s="123"/>
    </row>
    <row r="7" spans="1:259" s="43" customFormat="1" ht="14.25" customHeight="1">
      <c r="A7" s="9"/>
      <c r="B7" s="60"/>
      <c r="C7" s="9"/>
      <c r="D7" s="74"/>
      <c r="E7" s="9"/>
      <c r="F7" s="9"/>
      <c r="G7" s="76"/>
      <c r="H7" s="76"/>
      <c r="I7" s="76"/>
      <c r="J7" s="76"/>
      <c r="K7" s="76"/>
      <c r="L7" s="76"/>
      <c r="M7" s="76"/>
      <c r="N7" s="76"/>
      <c r="O7" s="76"/>
      <c r="P7" s="66"/>
      <c r="Q7" s="66"/>
      <c r="R7" s="66"/>
      <c r="S7" s="66"/>
      <c r="T7" s="66"/>
      <c r="U7" s="66"/>
      <c r="V7" s="123"/>
      <c r="W7" s="123"/>
      <c r="X7" s="123"/>
      <c r="Y7" s="123"/>
    </row>
    <row r="8" spans="1:259" s="888" customFormat="1" ht="42.75" customHeight="1">
      <c r="A8" s="56"/>
      <c r="B8" s="312"/>
      <c r="C8" s="56"/>
      <c r="D8" s="74"/>
      <c r="E8" s="892" t="s">
        <v>289</v>
      </c>
      <c r="F8" s="892"/>
      <c r="G8" s="892" t="s">
        <v>293</v>
      </c>
      <c r="H8" s="892" t="s">
        <v>2151</v>
      </c>
      <c r="I8" s="892" t="s">
        <v>297</v>
      </c>
      <c r="J8" s="1469"/>
      <c r="K8" s="1470"/>
      <c r="L8" s="1471"/>
      <c r="M8" s="892" t="s">
        <v>2152</v>
      </c>
      <c r="N8" s="892" t="s">
        <v>2153</v>
      </c>
      <c r="O8" s="892" t="s">
        <v>2154</v>
      </c>
      <c r="P8" s="357"/>
      <c r="Q8" s="357"/>
      <c r="R8" s="357"/>
      <c r="S8" s="357"/>
      <c r="T8" s="357"/>
      <c r="U8" s="357"/>
      <c r="V8" s="887"/>
      <c r="W8" s="887"/>
      <c r="X8" s="887"/>
      <c r="Y8" s="887"/>
    </row>
    <row r="9" spans="1:259" s="43" customFormat="1" ht="47.25" customHeight="1">
      <c r="A9" s="9"/>
      <c r="B9" s="60"/>
      <c r="C9" s="9"/>
      <c r="D9" s="74"/>
      <c r="E9" s="1193" t="s">
        <v>288</v>
      </c>
      <c r="F9" s="1460" t="s">
        <v>88</v>
      </c>
      <c r="G9" s="1460" t="s">
        <v>292</v>
      </c>
      <c r="H9" s="1460" t="s">
        <v>2155</v>
      </c>
      <c r="I9" s="1460"/>
      <c r="J9" s="1460" t="s">
        <v>2156</v>
      </c>
      <c r="K9" s="1460"/>
      <c r="L9" s="1460"/>
      <c r="M9" s="1460" t="s">
        <v>2157</v>
      </c>
      <c r="N9" s="1460" t="s">
        <v>2158</v>
      </c>
      <c r="O9" s="1460"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холодного водоснабжения в случае, если региональный государственный контроль (надзор) в области регулирования тарифов в сфере холодного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66"/>
      <c r="Q9" s="66"/>
      <c r="R9" s="66"/>
      <c r="S9" s="66"/>
      <c r="T9" s="66"/>
      <c r="U9" s="66"/>
      <c r="V9" s="123"/>
      <c r="W9" s="123"/>
      <c r="X9" s="123"/>
      <c r="Y9" s="123"/>
    </row>
    <row r="10" spans="1:259" s="43" customFormat="1" ht="63.75" customHeight="1">
      <c r="A10" s="9"/>
      <c r="B10" s="60"/>
      <c r="C10" s="9"/>
      <c r="D10" s="74"/>
      <c r="E10" s="1083"/>
      <c r="F10" s="1468"/>
      <c r="G10" s="1468"/>
      <c r="H10" s="80" t="s">
        <v>2159</v>
      </c>
      <c r="I10" s="80" t="s">
        <v>296</v>
      </c>
      <c r="J10" s="1459"/>
      <c r="K10" s="1459"/>
      <c r="L10" s="1468"/>
      <c r="M10" s="1468"/>
      <c r="N10" s="1468"/>
      <c r="O10" s="1468"/>
      <c r="P10" s="66"/>
      <c r="Q10" s="66"/>
      <c r="R10" s="66"/>
      <c r="S10" s="66"/>
      <c r="T10" s="66"/>
      <c r="U10" s="66"/>
      <c r="V10" s="123"/>
      <c r="W10" s="123"/>
      <c r="X10" s="123"/>
      <c r="Y10" s="123"/>
    </row>
    <row r="11" spans="1:259" ht="22.5" customHeight="1">
      <c r="A11" s="1068">
        <v>26379339</v>
      </c>
      <c r="B11" s="60">
        <v>1</v>
      </c>
      <c r="C11" s="60"/>
      <c r="D11" s="478"/>
      <c r="E11" s="1193"/>
      <c r="F11" s="1193">
        <v>1</v>
      </c>
      <c r="G11" s="1466" t="str">
        <f>IF(region_name="","",region_name)</f>
        <v>Ненецкий автономный округ</v>
      </c>
      <c r="H11" s="1467"/>
      <c r="I11" s="1472"/>
      <c r="J11" s="281"/>
      <c r="K11" s="39">
        <v>1</v>
      </c>
      <c r="L11" s="893"/>
      <c r="M11" s="883"/>
      <c r="N11" s="883"/>
      <c r="O11" s="882"/>
      <c r="P11" s="872" t="e">
        <f ca="1">MERGEVALUE(G11)</f>
        <v>#NAME?</v>
      </c>
      <c r="Q11" s="65"/>
      <c r="R11" s="65"/>
      <c r="S11" s="66" t="str">
        <f t="array" ref="S11">IF(ISERROR(MATCH(MID(T11,1,250),MID(note_ter,1,250),0)),"n","y")</f>
        <v>n</v>
      </c>
      <c r="T11" s="65"/>
      <c r="V11" s="60"/>
      <c r="W11" s="60"/>
      <c r="X11" s="248"/>
      <c r="Y11" s="60"/>
      <c r="Z11" s="60"/>
      <c r="AA11" s="60"/>
      <c r="AB11" s="59"/>
      <c r="AC11" s="59"/>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101"/>
      <c r="BW11" s="101"/>
      <c r="BX11" s="101"/>
      <c r="BY11" s="59"/>
      <c r="BZ11" s="59"/>
      <c r="CA11" s="59"/>
      <c r="CB11" s="59"/>
      <c r="CC11" s="59"/>
      <c r="CD11" s="59"/>
      <c r="CE11" s="59"/>
      <c r="CF11" s="59"/>
      <c r="CG11" s="59"/>
      <c r="CH11" s="59"/>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row>
    <row r="12" spans="1:259" ht="22.5" customHeight="1">
      <c r="A12" s="1068"/>
      <c r="C12" s="60"/>
      <c r="D12" s="478"/>
      <c r="E12" s="1193"/>
      <c r="F12" s="1193"/>
      <c r="G12" s="1466"/>
      <c r="H12" s="1467"/>
      <c r="I12" s="1262"/>
      <c r="J12" s="881"/>
      <c r="K12" s="852"/>
      <c r="L12" s="852" t="s">
        <v>2149</v>
      </c>
      <c r="M12" s="884"/>
      <c r="N12" s="884"/>
      <c r="O12" s="885"/>
      <c r="P12" s="872"/>
      <c r="Q12" s="65"/>
      <c r="R12" s="65"/>
      <c r="T12" s="65"/>
      <c r="V12" s="60"/>
      <c r="W12" s="60"/>
      <c r="X12" s="248"/>
      <c r="Y12" s="60"/>
      <c r="Z12" s="60"/>
      <c r="AA12" s="60"/>
      <c r="AB12" s="59"/>
      <c r="AC12" s="59"/>
      <c r="AD12" s="101"/>
      <c r="AE12" s="101"/>
      <c r="AF12" s="101"/>
      <c r="AG12" s="101"/>
      <c r="AH12" s="101"/>
      <c r="AI12" s="101"/>
      <c r="AJ12" s="101"/>
      <c r="AK12" s="101"/>
      <c r="AL12" s="101"/>
      <c r="AM12" s="101"/>
      <c r="AN12" s="101"/>
      <c r="AO12" s="101"/>
      <c r="AP12" s="101"/>
      <c r="AQ12" s="101"/>
      <c r="AR12" s="101"/>
      <c r="AS12" s="101"/>
      <c r="AT12" s="101"/>
      <c r="AU12" s="101"/>
      <c r="AV12" s="101"/>
      <c r="AW12" s="101"/>
      <c r="AX12" s="101"/>
      <c r="AY12" s="101"/>
      <c r="AZ12" s="101"/>
      <c r="BA12" s="101"/>
      <c r="BB12" s="101"/>
      <c r="BC12" s="101"/>
      <c r="BD12" s="101"/>
      <c r="BE12" s="101"/>
      <c r="BF12" s="101"/>
      <c r="BG12" s="101"/>
      <c r="BH12" s="101"/>
      <c r="BI12" s="101"/>
      <c r="BJ12" s="101"/>
      <c r="BK12" s="101"/>
      <c r="BL12" s="101"/>
      <c r="BM12" s="101"/>
      <c r="BN12" s="101"/>
      <c r="BO12" s="101"/>
      <c r="BP12" s="101"/>
      <c r="BQ12" s="101"/>
      <c r="BR12" s="101"/>
      <c r="BS12" s="101"/>
      <c r="BT12" s="101"/>
      <c r="BU12" s="101"/>
      <c r="BV12" s="101"/>
      <c r="BW12" s="101"/>
      <c r="BX12" s="101"/>
      <c r="BY12" s="59"/>
      <c r="BZ12" s="59"/>
      <c r="CA12" s="59"/>
      <c r="CB12" s="59"/>
      <c r="CC12" s="59"/>
      <c r="CD12" s="59"/>
      <c r="CE12" s="59"/>
      <c r="CF12" s="59"/>
      <c r="CG12" s="59"/>
      <c r="CH12" s="59"/>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row>
    <row r="13" spans="1:259" ht="22.5" customHeight="1">
      <c r="A13" s="1068"/>
      <c r="C13" s="247"/>
      <c r="D13" s="478"/>
      <c r="E13" s="878"/>
      <c r="F13" s="881"/>
      <c r="G13" s="852" t="s">
        <v>2143</v>
      </c>
      <c r="H13" s="879"/>
      <c r="I13" s="879"/>
      <c r="J13" s="94"/>
      <c r="K13" s="94"/>
      <c r="L13" s="94"/>
      <c r="M13" s="94"/>
      <c r="N13" s="94"/>
      <c r="O13" s="880"/>
      <c r="P13" s="873"/>
      <c r="Q13" s="65"/>
      <c r="R13" s="65"/>
      <c r="S13" s="65"/>
      <c r="U13" s="65"/>
      <c r="V13" s="60"/>
      <c r="W13" s="60"/>
      <c r="X13" s="248"/>
      <c r="Y13" s="60"/>
      <c r="Z13" s="60"/>
      <c r="AA13" s="60"/>
      <c r="AB13" s="59"/>
      <c r="AC13" s="59"/>
      <c r="AD13" s="101"/>
      <c r="AE13" s="101"/>
      <c r="AF13" s="101"/>
      <c r="AG13" s="101"/>
      <c r="AH13" s="101"/>
      <c r="AI13" s="101"/>
      <c r="AJ13" s="101"/>
      <c r="AK13" s="101"/>
      <c r="AL13" s="101"/>
      <c r="AM13" s="101"/>
      <c r="AN13" s="101"/>
      <c r="AO13" s="101"/>
      <c r="AP13" s="101"/>
      <c r="AQ13" s="101"/>
      <c r="AR13" s="101"/>
      <c r="AS13" s="101"/>
      <c r="AT13" s="101"/>
      <c r="AU13" s="101"/>
      <c r="AV13" s="101"/>
      <c r="AW13" s="101"/>
      <c r="AX13" s="101"/>
      <c r="AY13" s="101"/>
      <c r="AZ13" s="101"/>
      <c r="BA13" s="101"/>
      <c r="BB13" s="101"/>
      <c r="BC13" s="101"/>
      <c r="BD13" s="101"/>
      <c r="BE13" s="101"/>
      <c r="BF13" s="101"/>
      <c r="BG13" s="101"/>
      <c r="BH13" s="101"/>
      <c r="BI13" s="101"/>
      <c r="BJ13" s="101"/>
      <c r="BK13" s="101"/>
      <c r="BL13" s="101"/>
      <c r="BM13" s="101"/>
      <c r="BN13" s="101"/>
      <c r="BO13" s="101"/>
      <c r="BP13" s="101"/>
      <c r="BQ13" s="101"/>
      <c r="BR13" s="101"/>
      <c r="BS13" s="101"/>
      <c r="BT13" s="101"/>
      <c r="BU13" s="101"/>
      <c r="BV13" s="101"/>
      <c r="BW13" s="101"/>
      <c r="BX13" s="101"/>
      <c r="BY13" s="59"/>
      <c r="BZ13" s="59"/>
      <c r="CA13" s="59"/>
      <c r="CB13" s="59"/>
      <c r="CC13" s="59"/>
      <c r="CD13" s="59"/>
      <c r="CE13" s="59"/>
      <c r="CF13" s="59"/>
      <c r="CG13" s="59"/>
      <c r="CH13" s="59"/>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row>
    <row r="14" spans="1:259" s="43" customFormat="1" ht="21" customHeight="1">
      <c r="A14" s="9"/>
      <c r="B14" s="60"/>
      <c r="C14" s="9"/>
      <c r="D14" s="74"/>
      <c r="E14" s="88"/>
      <c r="F14" s="88"/>
      <c r="G14" s="88"/>
      <c r="H14" s="88"/>
      <c r="I14" s="88"/>
      <c r="J14" s="88"/>
      <c r="K14" s="88"/>
      <c r="L14" s="88"/>
      <c r="M14" s="88"/>
      <c r="N14" s="9"/>
      <c r="O14" s="9"/>
      <c r="P14" s="66"/>
      <c r="Q14" s="66"/>
      <c r="R14" s="66"/>
      <c r="S14" s="66"/>
      <c r="T14" s="66"/>
      <c r="U14" s="66"/>
      <c r="V14" s="123"/>
      <c r="W14" s="123"/>
      <c r="X14" s="123"/>
      <c r="Y14" s="123"/>
    </row>
    <row r="15" spans="1:259" s="43" customFormat="1" ht="14.25" customHeight="1">
      <c r="A15" s="9"/>
      <c r="B15" s="60"/>
      <c r="C15" s="9"/>
      <c r="D15" s="74"/>
      <c r="E15" s="9"/>
      <c r="F15" s="9"/>
      <c r="G15" s="9"/>
      <c r="H15" s="9"/>
      <c r="I15" s="9"/>
      <c r="J15" s="9"/>
      <c r="K15" s="9"/>
      <c r="L15" s="9"/>
      <c r="M15" s="9"/>
      <c r="N15" s="9"/>
      <c r="O15" s="9"/>
      <c r="P15" s="66"/>
      <c r="Q15" s="66"/>
      <c r="R15" s="66"/>
      <c r="S15" s="66"/>
      <c r="T15" s="66"/>
      <c r="U15" s="66"/>
      <c r="V15" s="123"/>
      <c r="W15" s="123"/>
      <c r="X15" s="123"/>
      <c r="Y15" s="123"/>
    </row>
    <row r="16" spans="1:259" s="43" customFormat="1" ht="0.75" customHeight="1">
      <c r="A16" s="9"/>
      <c r="B16" s="60"/>
      <c r="C16" s="9"/>
      <c r="D16" s="74"/>
      <c r="E16" s="9"/>
      <c r="F16" s="9"/>
      <c r="G16" s="9"/>
      <c r="H16" s="9"/>
      <c r="I16" s="9"/>
      <c r="J16" s="9"/>
      <c r="K16" s="9"/>
      <c r="L16" s="9"/>
      <c r="M16" s="9"/>
      <c r="N16" s="9"/>
      <c r="O16" s="9"/>
      <c r="P16" s="66"/>
      <c r="Q16" s="66"/>
      <c r="R16" s="66"/>
      <c r="S16" s="66"/>
      <c r="T16" s="66"/>
      <c r="U16" s="66"/>
      <c r="V16" s="123"/>
      <c r="W16" s="123"/>
      <c r="X16" s="123"/>
      <c r="Y16" s="123"/>
    </row>
  </sheetData>
  <sheetProtection formatColumns="0" formatRows="0" insertRows="0" deleteColumns="0" deleteRows="0" sort="0" autoFilter="0"/>
  <mergeCells count="21">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 ref="E2:E3"/>
    <mergeCell ref="F2:F3"/>
    <mergeCell ref="G2:G3"/>
    <mergeCell ref="H2:H3"/>
    <mergeCell ref="I2:I3"/>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xr:uid="{00000000-0002-0000-4100-000000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3C089-5691-DE13-EF06-1546911700F3}">
  <sheetPr>
    <tabColor rgb="FFCCCCFF"/>
    <pageSetUpPr fitToPage="1"/>
  </sheetPr>
  <dimension ref="A1:L12"/>
  <sheetViews>
    <sheetView showGridLines="0" topLeftCell="C6" zoomScale="90" workbookViewId="0"/>
  </sheetViews>
  <sheetFormatPr defaultColWidth="9.140625" defaultRowHeight="14.25" customHeight="1"/>
  <cols>
    <col min="1" max="2" width="9.140625" style="4" hidden="1"/>
    <col min="3" max="3" width="3.7109375" style="22" customWidth="1"/>
    <col min="4" max="4" width="6.28515625" style="4" customWidth="1"/>
    <col min="5" max="5" width="94.85546875" style="4" customWidth="1"/>
    <col min="6" max="12" width="9.140625" style="4"/>
  </cols>
  <sheetData>
    <row r="1" spans="3:6" ht="14.25" hidden="1" customHeight="1"/>
    <row r="2" spans="3:6" ht="14.25" hidden="1" customHeight="1"/>
    <row r="3" spans="3:6" ht="14.25" hidden="1" customHeight="1"/>
    <row r="4" spans="3:6" ht="14.25" hidden="1" customHeight="1"/>
    <row r="5" spans="3:6" ht="14.25" hidden="1" customHeight="1"/>
    <row r="6" spans="3:6" ht="3" customHeight="1">
      <c r="C6" s="23"/>
      <c r="D6" s="5"/>
      <c r="E6" s="5"/>
    </row>
    <row r="7" spans="3:6" ht="22.5" customHeight="1">
      <c r="C7" s="23"/>
      <c r="D7" s="1069" t="s">
        <v>2160</v>
      </c>
      <c r="E7" s="1069"/>
      <c r="F7" s="154"/>
    </row>
    <row r="8" spans="3:6" ht="3" customHeight="1">
      <c r="C8" s="23"/>
      <c r="D8" s="5"/>
      <c r="E8" s="5"/>
    </row>
    <row r="9" spans="3:6" ht="15.75" customHeight="1">
      <c r="C9" s="23"/>
      <c r="D9" s="34" t="s">
        <v>88</v>
      </c>
      <c r="E9" s="37" t="s">
        <v>275</v>
      </c>
    </row>
    <row r="10" spans="3:6" ht="12" customHeight="1">
      <c r="C10" s="23"/>
      <c r="D10" s="20" t="s">
        <v>110</v>
      </c>
      <c r="E10" s="20" t="s">
        <v>111</v>
      </c>
    </row>
    <row r="11" spans="3:6" ht="15" hidden="1" customHeight="1">
      <c r="C11" s="23"/>
      <c r="D11" s="42">
        <v>0</v>
      </c>
      <c r="E11" s="62"/>
    </row>
    <row r="12" spans="3:6" ht="14.25" customHeight="1">
      <c r="C12" s="23"/>
      <c r="D12" s="38"/>
      <c r="E12" s="36" t="s">
        <v>2120</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xr:uid="{00000000-0002-0000-42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B63C2-5E52-D89B-55D6-3FAA15771A53}">
  <sheetPr>
    <tabColor rgb="FFCCCCFF"/>
  </sheetPr>
  <dimension ref="B1:E4"/>
  <sheetViews>
    <sheetView showGridLines="0" zoomScale="90" workbookViewId="0"/>
  </sheetViews>
  <sheetFormatPr defaultColWidth="9.140625" defaultRowHeight="11.25" customHeight="1"/>
  <cols>
    <col min="1" max="1" width="1.7109375" customWidth="1"/>
    <col min="2" max="2" width="34.5703125" customWidth="1"/>
    <col min="3" max="3" width="85.5703125" customWidth="1"/>
    <col min="4" max="4" width="17.7109375" customWidth="1"/>
  </cols>
  <sheetData>
    <row r="1" spans="2:5" ht="3" customHeight="1"/>
    <row r="2" spans="2:5" ht="22.5" customHeight="1">
      <c r="B2" s="1473" t="s">
        <v>2161</v>
      </c>
      <c r="C2" s="1473"/>
      <c r="D2" s="1473"/>
      <c r="E2" s="155"/>
    </row>
    <row r="3" spans="2:5" ht="3" customHeight="1"/>
    <row r="4" spans="2:5" ht="21.75" customHeight="1">
      <c r="B4" s="230" t="s">
        <v>2162</v>
      </c>
      <c r="C4" s="230" t="s">
        <v>2163</v>
      </c>
      <c r="D4" s="230" t="s">
        <v>2164</v>
      </c>
    </row>
  </sheetData>
  <sheetProtection formatColumns="0" formatRows="0" insertRows="0" deleteColumns="0" deleteRows="0" sort="0" autoFilter="0"/>
  <autoFilter ref="B4:D4" xr:uid="{00000000-0009-0000-0000-000043000000}"/>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AB2C1-FB47-3F16-E625-6DB3A9F188A9}">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BFE6C-D644-A2F4-58C9-578E81991FBF}">
  <dimension ref="A1:E8"/>
  <sheetViews>
    <sheetView showGridLines="0" workbookViewId="0"/>
  </sheetViews>
  <sheetFormatPr defaultRowHeight="11.25" customHeight="1"/>
  <cols>
    <col min="1" max="1" width="10.5703125" customWidth="1"/>
    <col min="2" max="2" width="8.7109375" customWidth="1"/>
    <col min="3" max="3" width="18.140625" customWidth="1"/>
    <col min="4" max="4" width="12.5703125" customWidth="1"/>
  </cols>
  <sheetData>
    <row r="1" spans="1:5" ht="11.25" customHeight="1">
      <c r="A1" s="446" t="s">
        <v>2165</v>
      </c>
      <c r="B1" s="450" t="s">
        <v>2166</v>
      </c>
      <c r="C1" s="1474" t="s">
        <v>2167</v>
      </c>
      <c r="D1" s="1475"/>
      <c r="E1" s="446" t="s">
        <v>2168</v>
      </c>
    </row>
    <row r="2" spans="1:5" ht="11.25" customHeight="1">
      <c r="A2" s="449"/>
      <c r="B2" s="451" t="s">
        <v>23</v>
      </c>
      <c r="C2" s="446"/>
      <c r="D2" s="450"/>
      <c r="E2" s="446"/>
    </row>
    <row r="3" spans="1:5" ht="11.25" customHeight="1">
      <c r="A3" s="454"/>
      <c r="B3" s="452" t="s">
        <v>29</v>
      </c>
      <c r="C3" s="446"/>
      <c r="D3" s="450"/>
      <c r="E3" s="446"/>
    </row>
    <row r="4" spans="1:5" ht="11.25" customHeight="1">
      <c r="A4" s="455"/>
      <c r="B4" s="452" t="s">
        <v>1061</v>
      </c>
      <c r="C4" s="446"/>
      <c r="D4" s="450"/>
      <c r="E4" s="446"/>
    </row>
    <row r="5" spans="1:5" ht="11.25" customHeight="1">
      <c r="A5" s="463"/>
      <c r="B5" s="452" t="s">
        <v>1054</v>
      </c>
      <c r="C5" s="448" t="s">
        <v>1309</v>
      </c>
      <c r="D5" s="526" t="s">
        <v>2169</v>
      </c>
      <c r="E5" s="446"/>
    </row>
    <row r="6" spans="1:5" ht="11.25" customHeight="1">
      <c r="A6" s="453"/>
      <c r="B6" s="452" t="s">
        <v>1067</v>
      </c>
      <c r="C6" s="446"/>
      <c r="D6" s="450"/>
      <c r="E6" s="446"/>
    </row>
    <row r="7" spans="1:5" ht="11.25" customHeight="1">
      <c r="A7" s="447"/>
      <c r="B7" s="452" t="s">
        <v>1077</v>
      </c>
      <c r="C7" s="446"/>
      <c r="D7" s="450"/>
      <c r="E7" s="446"/>
    </row>
    <row r="8" spans="1:5" ht="11.25" customHeight="1">
      <c r="A8" s="448"/>
      <c r="B8" s="452" t="s">
        <v>1072</v>
      </c>
      <c r="C8" s="446"/>
      <c r="D8" s="450"/>
      <c r="E8" s="446"/>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60AB13-215D-6792-ECB2-2E286C9620E1}">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FFAEFF-FA82-BFDE-EC41-354F8A0D367D}">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02B92-0A87-E9FA-03A5-EF2053278A1D}">
  <sheetPr>
    <tabColor rgb="FFFFCC99"/>
  </sheetPr>
  <dimension ref="A1:I53"/>
  <sheetViews>
    <sheetView showGridLines="0" workbookViewId="0"/>
  </sheetViews>
  <sheetFormatPr defaultColWidth="9.140625" defaultRowHeight="11.25" customHeight="1"/>
  <cols>
    <col min="3" max="3" width="20.7109375" customWidth="1"/>
    <col min="4" max="4" width="25.140625" customWidth="1"/>
  </cols>
  <sheetData>
    <row r="1" spans="1:9" ht="11.25" customHeight="1">
      <c r="A1" t="s">
        <v>2170</v>
      </c>
      <c r="B1" t="s">
        <v>2171</v>
      </c>
      <c r="C1" t="s">
        <v>2172</v>
      </c>
      <c r="D1" t="s">
        <v>2173</v>
      </c>
      <c r="E1" t="s">
        <v>2174</v>
      </c>
      <c r="F1" t="s">
        <v>2175</v>
      </c>
      <c r="G1" t="s">
        <v>2176</v>
      </c>
      <c r="H1" t="s">
        <v>2177</v>
      </c>
      <c r="I1" t="s">
        <v>2178</v>
      </c>
    </row>
    <row r="2" spans="1:9" ht="11.25" customHeight="1">
      <c r="A2" t="s">
        <v>2179</v>
      </c>
      <c r="B2" t="s">
        <v>14</v>
      </c>
      <c r="C2" t="s">
        <v>2180</v>
      </c>
      <c r="D2" t="s">
        <v>2181</v>
      </c>
      <c r="E2" t="s">
        <v>2182</v>
      </c>
      <c r="F2" t="s">
        <v>2183</v>
      </c>
      <c r="G2" t="s">
        <v>18</v>
      </c>
      <c r="H2" t="s">
        <v>18</v>
      </c>
      <c r="I2" t="s">
        <v>593</v>
      </c>
    </row>
    <row r="3" spans="1:9" ht="11.25" customHeight="1">
      <c r="A3" t="s">
        <v>2179</v>
      </c>
      <c r="B3" t="s">
        <v>14</v>
      </c>
      <c r="C3" t="s">
        <v>2184</v>
      </c>
      <c r="D3" t="s">
        <v>2185</v>
      </c>
      <c r="E3" t="s">
        <v>2186</v>
      </c>
      <c r="F3" t="s">
        <v>52</v>
      </c>
      <c r="G3" t="s">
        <v>18</v>
      </c>
      <c r="H3" t="s">
        <v>18</v>
      </c>
      <c r="I3" t="s">
        <v>593</v>
      </c>
    </row>
    <row r="4" spans="1:9" ht="11.25" customHeight="1">
      <c r="A4" t="s">
        <v>2179</v>
      </c>
      <c r="B4" t="s">
        <v>14</v>
      </c>
      <c r="C4" t="s">
        <v>2187</v>
      </c>
      <c r="D4" t="s">
        <v>2188</v>
      </c>
      <c r="E4" t="s">
        <v>2189</v>
      </c>
      <c r="F4" t="s">
        <v>52</v>
      </c>
      <c r="G4" t="s">
        <v>18</v>
      </c>
      <c r="H4" t="s">
        <v>18</v>
      </c>
      <c r="I4" t="s">
        <v>593</v>
      </c>
    </row>
    <row r="5" spans="1:9" ht="11.25" customHeight="1">
      <c r="A5" t="s">
        <v>2179</v>
      </c>
      <c r="B5" t="s">
        <v>14</v>
      </c>
      <c r="C5" t="s">
        <v>2190</v>
      </c>
      <c r="D5" t="s">
        <v>47</v>
      </c>
      <c r="E5" t="s">
        <v>50</v>
      </c>
      <c r="F5" t="s">
        <v>52</v>
      </c>
      <c r="G5" t="s">
        <v>18</v>
      </c>
      <c r="H5" t="s">
        <v>18</v>
      </c>
      <c r="I5" t="s">
        <v>593</v>
      </c>
    </row>
    <row r="6" spans="1:9" ht="11.25" customHeight="1">
      <c r="A6" t="s">
        <v>2179</v>
      </c>
      <c r="B6" t="s">
        <v>14</v>
      </c>
      <c r="C6" t="s">
        <v>2191</v>
      </c>
      <c r="D6" t="s">
        <v>2192</v>
      </c>
      <c r="E6" t="s">
        <v>2193</v>
      </c>
      <c r="F6" t="s">
        <v>52</v>
      </c>
      <c r="G6" t="s">
        <v>18</v>
      </c>
      <c r="H6" t="s">
        <v>18</v>
      </c>
      <c r="I6" t="s">
        <v>593</v>
      </c>
    </row>
    <row r="7" spans="1:9" ht="11.25" customHeight="1">
      <c r="A7" t="s">
        <v>2179</v>
      </c>
      <c r="B7" t="s">
        <v>14</v>
      </c>
      <c r="C7" t="s">
        <v>2194</v>
      </c>
      <c r="D7" t="s">
        <v>2195</v>
      </c>
      <c r="E7" t="s">
        <v>2196</v>
      </c>
      <c r="F7" t="s">
        <v>52</v>
      </c>
      <c r="G7" t="s">
        <v>18</v>
      </c>
      <c r="H7" t="s">
        <v>18</v>
      </c>
      <c r="I7" t="s">
        <v>593</v>
      </c>
    </row>
    <row r="8" spans="1:9" ht="11.25" customHeight="1">
      <c r="A8" t="s">
        <v>2179</v>
      </c>
      <c r="B8" t="s">
        <v>14</v>
      </c>
      <c r="C8" t="s">
        <v>2197</v>
      </c>
      <c r="D8" t="s">
        <v>2198</v>
      </c>
      <c r="E8" t="s">
        <v>2199</v>
      </c>
      <c r="F8" t="s">
        <v>52</v>
      </c>
      <c r="G8" t="s">
        <v>18</v>
      </c>
      <c r="H8" t="s">
        <v>18</v>
      </c>
      <c r="I8" t="s">
        <v>593</v>
      </c>
    </row>
    <row r="9" spans="1:9" ht="11.25" customHeight="1">
      <c r="A9" t="s">
        <v>2179</v>
      </c>
      <c r="B9" t="s">
        <v>14</v>
      </c>
      <c r="C9" t="s">
        <v>2200</v>
      </c>
      <c r="D9" t="s">
        <v>2201</v>
      </c>
      <c r="E9" t="s">
        <v>2202</v>
      </c>
      <c r="F9" t="s">
        <v>52</v>
      </c>
      <c r="G9" t="s">
        <v>2203</v>
      </c>
      <c r="H9" t="s">
        <v>18</v>
      </c>
      <c r="I9" t="s">
        <v>593</v>
      </c>
    </row>
    <row r="10" spans="1:9" ht="11.25" customHeight="1">
      <c r="A10" t="s">
        <v>2179</v>
      </c>
      <c r="B10" t="s">
        <v>14</v>
      </c>
      <c r="C10" t="s">
        <v>2204</v>
      </c>
      <c r="D10" t="s">
        <v>2205</v>
      </c>
      <c r="E10" t="s">
        <v>2206</v>
      </c>
      <c r="F10" t="s">
        <v>2207</v>
      </c>
      <c r="G10" t="s">
        <v>18</v>
      </c>
      <c r="H10" t="s">
        <v>18</v>
      </c>
      <c r="I10" t="s">
        <v>593</v>
      </c>
    </row>
    <row r="11" spans="1:9" ht="11.25" customHeight="1">
      <c r="A11" t="s">
        <v>2179</v>
      </c>
      <c r="B11" t="s">
        <v>14</v>
      </c>
      <c r="C11" t="s">
        <v>2208</v>
      </c>
      <c r="D11" t="s">
        <v>2209</v>
      </c>
      <c r="E11" t="s">
        <v>2210</v>
      </c>
      <c r="F11" t="s">
        <v>2211</v>
      </c>
      <c r="G11" t="s">
        <v>18</v>
      </c>
      <c r="H11" t="s">
        <v>18</v>
      </c>
      <c r="I11" t="s">
        <v>593</v>
      </c>
    </row>
    <row r="12" spans="1:9" ht="11.25" customHeight="1">
      <c r="A12" t="s">
        <v>2179</v>
      </c>
      <c r="B12" t="s">
        <v>14</v>
      </c>
      <c r="C12" t="s">
        <v>2212</v>
      </c>
      <c r="D12" t="s">
        <v>2213</v>
      </c>
      <c r="E12" t="s">
        <v>2214</v>
      </c>
      <c r="F12" t="s">
        <v>52</v>
      </c>
      <c r="G12" t="s">
        <v>18</v>
      </c>
      <c r="H12" t="s">
        <v>18</v>
      </c>
      <c r="I12" t="s">
        <v>593</v>
      </c>
    </row>
    <row r="13" spans="1:9" ht="11.25" customHeight="1">
      <c r="A13" t="s">
        <v>2179</v>
      </c>
      <c r="B13" t="s">
        <v>14</v>
      </c>
      <c r="C13" t="s">
        <v>2215</v>
      </c>
      <c r="D13" t="s">
        <v>2216</v>
      </c>
      <c r="E13" t="s">
        <v>2182</v>
      </c>
      <c r="F13" t="s">
        <v>2217</v>
      </c>
      <c r="G13" t="s">
        <v>2218</v>
      </c>
      <c r="H13" t="s">
        <v>18</v>
      </c>
      <c r="I13" t="s">
        <v>593</v>
      </c>
    </row>
    <row r="14" spans="1:9" ht="11.25" customHeight="1">
      <c r="A14" t="s">
        <v>2179</v>
      </c>
      <c r="B14" t="s">
        <v>14</v>
      </c>
      <c r="C14" t="s">
        <v>18</v>
      </c>
      <c r="D14" t="s">
        <v>2219</v>
      </c>
      <c r="E14" t="s">
        <v>2220</v>
      </c>
      <c r="F14" t="s">
        <v>52</v>
      </c>
      <c r="G14" t="s">
        <v>18</v>
      </c>
      <c r="H14" t="s">
        <v>18</v>
      </c>
      <c r="I14" t="s">
        <v>593</v>
      </c>
    </row>
    <row r="15" spans="1:9" ht="11.25" customHeight="1">
      <c r="A15" t="s">
        <v>2179</v>
      </c>
      <c r="B15" t="s">
        <v>14</v>
      </c>
      <c r="C15" t="s">
        <v>2221</v>
      </c>
      <c r="D15" t="s">
        <v>2222</v>
      </c>
      <c r="E15" t="s">
        <v>2223</v>
      </c>
      <c r="F15" t="s">
        <v>2224</v>
      </c>
      <c r="G15" t="s">
        <v>18</v>
      </c>
      <c r="H15" t="s">
        <v>18</v>
      </c>
      <c r="I15" t="s">
        <v>593</v>
      </c>
    </row>
    <row r="16" spans="1:9" ht="11.25" customHeight="1">
      <c r="A16" t="s">
        <v>2179</v>
      </c>
      <c r="B16" t="s">
        <v>14</v>
      </c>
      <c r="C16" t="s">
        <v>2225</v>
      </c>
      <c r="D16" t="s">
        <v>2226</v>
      </c>
      <c r="E16" t="s">
        <v>2223</v>
      </c>
      <c r="F16" t="s">
        <v>2227</v>
      </c>
      <c r="G16" t="s">
        <v>2228</v>
      </c>
      <c r="H16" t="s">
        <v>18</v>
      </c>
      <c r="I16" t="s">
        <v>593</v>
      </c>
    </row>
    <row r="17" spans="1:9" ht="11.25" customHeight="1">
      <c r="A17" t="s">
        <v>2179</v>
      </c>
      <c r="B17" t="s">
        <v>14</v>
      </c>
      <c r="C17" t="s">
        <v>2180</v>
      </c>
      <c r="D17" t="s">
        <v>2181</v>
      </c>
      <c r="E17" t="s">
        <v>2182</v>
      </c>
      <c r="F17" t="s">
        <v>2183</v>
      </c>
      <c r="G17" t="s">
        <v>18</v>
      </c>
      <c r="H17" t="s">
        <v>18</v>
      </c>
      <c r="I17" t="s">
        <v>1004</v>
      </c>
    </row>
    <row r="18" spans="1:9" ht="11.25" customHeight="1">
      <c r="A18" t="s">
        <v>2179</v>
      </c>
      <c r="B18" t="s">
        <v>14</v>
      </c>
      <c r="C18" t="s">
        <v>2184</v>
      </c>
      <c r="D18" t="s">
        <v>2185</v>
      </c>
      <c r="E18" t="s">
        <v>2186</v>
      </c>
      <c r="F18" t="s">
        <v>52</v>
      </c>
      <c r="G18" t="s">
        <v>18</v>
      </c>
      <c r="H18" t="s">
        <v>18</v>
      </c>
      <c r="I18" t="s">
        <v>1004</v>
      </c>
    </row>
    <row r="19" spans="1:9" ht="11.25" customHeight="1">
      <c r="A19" t="s">
        <v>2179</v>
      </c>
      <c r="B19" t="s">
        <v>14</v>
      </c>
      <c r="C19" t="s">
        <v>2187</v>
      </c>
      <c r="D19" t="s">
        <v>2188</v>
      </c>
      <c r="E19" t="s">
        <v>2189</v>
      </c>
      <c r="F19" t="s">
        <v>52</v>
      </c>
      <c r="G19" t="s">
        <v>18</v>
      </c>
      <c r="H19" t="s">
        <v>18</v>
      </c>
      <c r="I19" t="s">
        <v>1004</v>
      </c>
    </row>
    <row r="20" spans="1:9" ht="11.25" customHeight="1">
      <c r="A20" t="s">
        <v>2179</v>
      </c>
      <c r="B20" t="s">
        <v>14</v>
      </c>
      <c r="C20" t="s">
        <v>2190</v>
      </c>
      <c r="D20" t="s">
        <v>47</v>
      </c>
      <c r="E20" t="s">
        <v>50</v>
      </c>
      <c r="F20" t="s">
        <v>52</v>
      </c>
      <c r="G20" t="s">
        <v>18</v>
      </c>
      <c r="H20" t="s">
        <v>18</v>
      </c>
      <c r="I20" t="s">
        <v>1004</v>
      </c>
    </row>
    <row r="21" spans="1:9" ht="11.25" customHeight="1">
      <c r="A21" t="s">
        <v>2179</v>
      </c>
      <c r="B21" t="s">
        <v>14</v>
      </c>
      <c r="C21" t="s">
        <v>2191</v>
      </c>
      <c r="D21" t="s">
        <v>2192</v>
      </c>
      <c r="E21" t="s">
        <v>2193</v>
      </c>
      <c r="F21" t="s">
        <v>52</v>
      </c>
      <c r="G21" t="s">
        <v>18</v>
      </c>
      <c r="H21" t="s">
        <v>18</v>
      </c>
      <c r="I21" t="s">
        <v>1004</v>
      </c>
    </row>
    <row r="22" spans="1:9" ht="11.25" customHeight="1">
      <c r="A22" t="s">
        <v>2179</v>
      </c>
      <c r="B22" t="s">
        <v>14</v>
      </c>
      <c r="C22" t="s">
        <v>2197</v>
      </c>
      <c r="D22" t="s">
        <v>2198</v>
      </c>
      <c r="E22" t="s">
        <v>2199</v>
      </c>
      <c r="F22" t="s">
        <v>52</v>
      </c>
      <c r="G22" t="s">
        <v>18</v>
      </c>
      <c r="H22" t="s">
        <v>18</v>
      </c>
      <c r="I22" t="s">
        <v>1004</v>
      </c>
    </row>
    <row r="23" spans="1:9" ht="11.25" customHeight="1">
      <c r="A23" t="s">
        <v>2179</v>
      </c>
      <c r="B23" t="s">
        <v>14</v>
      </c>
      <c r="C23" t="s">
        <v>2200</v>
      </c>
      <c r="D23" t="s">
        <v>2201</v>
      </c>
      <c r="E23" t="s">
        <v>2202</v>
      </c>
      <c r="F23" t="s">
        <v>52</v>
      </c>
      <c r="G23" t="s">
        <v>2203</v>
      </c>
      <c r="H23" t="s">
        <v>18</v>
      </c>
      <c r="I23" t="s">
        <v>1004</v>
      </c>
    </row>
    <row r="24" spans="1:9" ht="11.25" customHeight="1">
      <c r="A24" t="s">
        <v>2179</v>
      </c>
      <c r="B24" t="s">
        <v>14</v>
      </c>
      <c r="C24" t="s">
        <v>2204</v>
      </c>
      <c r="D24" t="s">
        <v>2205</v>
      </c>
      <c r="E24" t="s">
        <v>2206</v>
      </c>
      <c r="F24" t="s">
        <v>2207</v>
      </c>
      <c r="G24" t="s">
        <v>18</v>
      </c>
      <c r="H24" t="s">
        <v>18</v>
      </c>
      <c r="I24" t="s">
        <v>1004</v>
      </c>
    </row>
    <row r="25" spans="1:9" ht="11.25" customHeight="1">
      <c r="A25" t="s">
        <v>2179</v>
      </c>
      <c r="B25" t="s">
        <v>14</v>
      </c>
      <c r="C25" t="s">
        <v>2215</v>
      </c>
      <c r="D25" t="s">
        <v>2216</v>
      </c>
      <c r="E25" t="s">
        <v>2182</v>
      </c>
      <c r="F25" t="s">
        <v>2217</v>
      </c>
      <c r="G25" t="s">
        <v>2218</v>
      </c>
      <c r="H25" t="s">
        <v>18</v>
      </c>
      <c r="I25" t="s">
        <v>1004</v>
      </c>
    </row>
    <row r="26" spans="1:9" ht="11.25" customHeight="1">
      <c r="A26" t="s">
        <v>2179</v>
      </c>
      <c r="B26" t="s">
        <v>14</v>
      </c>
      <c r="C26" t="s">
        <v>18</v>
      </c>
      <c r="D26" t="s">
        <v>2219</v>
      </c>
      <c r="E26" t="s">
        <v>2220</v>
      </c>
      <c r="F26" t="s">
        <v>52</v>
      </c>
      <c r="G26" t="s">
        <v>18</v>
      </c>
      <c r="H26" t="s">
        <v>18</v>
      </c>
      <c r="I26" t="s">
        <v>1004</v>
      </c>
    </row>
    <row r="27" spans="1:9" ht="11.25" customHeight="1">
      <c r="A27" t="s">
        <v>2179</v>
      </c>
      <c r="B27" t="s">
        <v>14</v>
      </c>
      <c r="C27" t="s">
        <v>2225</v>
      </c>
      <c r="D27" t="s">
        <v>2226</v>
      </c>
      <c r="E27" t="s">
        <v>2223</v>
      </c>
      <c r="F27" t="s">
        <v>2227</v>
      </c>
      <c r="G27" t="s">
        <v>2228</v>
      </c>
      <c r="H27" t="s">
        <v>18</v>
      </c>
      <c r="I27" t="s">
        <v>1004</v>
      </c>
    </row>
    <row r="28" spans="1:9" ht="11.25" customHeight="1">
      <c r="A28" t="s">
        <v>2179</v>
      </c>
      <c r="B28" t="s">
        <v>14</v>
      </c>
      <c r="C28" t="s">
        <v>2180</v>
      </c>
      <c r="D28" t="s">
        <v>2181</v>
      </c>
      <c r="E28" t="s">
        <v>2182</v>
      </c>
      <c r="F28" t="s">
        <v>2183</v>
      </c>
      <c r="G28" t="s">
        <v>18</v>
      </c>
      <c r="H28" t="s">
        <v>18</v>
      </c>
      <c r="I28" t="s">
        <v>982</v>
      </c>
    </row>
    <row r="29" spans="1:9" ht="11.25" customHeight="1">
      <c r="A29" t="s">
        <v>2179</v>
      </c>
      <c r="B29" t="s">
        <v>14</v>
      </c>
      <c r="C29" t="s">
        <v>2187</v>
      </c>
      <c r="D29" t="s">
        <v>2188</v>
      </c>
      <c r="E29" t="s">
        <v>2189</v>
      </c>
      <c r="F29" t="s">
        <v>52</v>
      </c>
      <c r="G29" t="s">
        <v>18</v>
      </c>
      <c r="H29" t="s">
        <v>18</v>
      </c>
      <c r="I29" t="s">
        <v>982</v>
      </c>
    </row>
    <row r="30" spans="1:9" ht="11.25" customHeight="1">
      <c r="A30" t="s">
        <v>2179</v>
      </c>
      <c r="B30" t="s">
        <v>14</v>
      </c>
      <c r="C30" t="s">
        <v>2190</v>
      </c>
      <c r="D30" t="s">
        <v>47</v>
      </c>
      <c r="E30" t="s">
        <v>50</v>
      </c>
      <c r="F30" t="s">
        <v>52</v>
      </c>
      <c r="G30" t="s">
        <v>18</v>
      </c>
      <c r="H30" t="s">
        <v>18</v>
      </c>
      <c r="I30" t="s">
        <v>982</v>
      </c>
    </row>
    <row r="31" spans="1:9" ht="11.25" customHeight="1">
      <c r="A31" t="s">
        <v>2179</v>
      </c>
      <c r="B31" t="s">
        <v>14</v>
      </c>
      <c r="C31" t="s">
        <v>2229</v>
      </c>
      <c r="D31" t="s">
        <v>2230</v>
      </c>
      <c r="E31" t="s">
        <v>2231</v>
      </c>
      <c r="F31" t="s">
        <v>52</v>
      </c>
      <c r="G31" t="s">
        <v>18</v>
      </c>
      <c r="H31" t="s">
        <v>18</v>
      </c>
      <c r="I31" t="s">
        <v>982</v>
      </c>
    </row>
    <row r="32" spans="1:9" ht="11.25" customHeight="1">
      <c r="A32" t="s">
        <v>2179</v>
      </c>
      <c r="B32" t="s">
        <v>14</v>
      </c>
      <c r="C32" t="s">
        <v>2232</v>
      </c>
      <c r="D32" t="s">
        <v>2233</v>
      </c>
      <c r="E32" t="s">
        <v>2234</v>
      </c>
      <c r="F32" t="s">
        <v>52</v>
      </c>
      <c r="G32" t="s">
        <v>2235</v>
      </c>
      <c r="H32" t="s">
        <v>18</v>
      </c>
      <c r="I32" t="s">
        <v>982</v>
      </c>
    </row>
    <row r="33" spans="1:9" ht="11.25" customHeight="1">
      <c r="A33" t="s">
        <v>2179</v>
      </c>
      <c r="B33" t="s">
        <v>14</v>
      </c>
      <c r="C33" t="s">
        <v>2236</v>
      </c>
      <c r="D33" t="s">
        <v>2237</v>
      </c>
      <c r="E33" t="s">
        <v>2238</v>
      </c>
      <c r="F33" t="s">
        <v>52</v>
      </c>
      <c r="G33" t="s">
        <v>18</v>
      </c>
      <c r="H33" t="s">
        <v>18</v>
      </c>
      <c r="I33" t="s">
        <v>982</v>
      </c>
    </row>
    <row r="34" spans="1:9" ht="11.25" customHeight="1">
      <c r="A34" t="s">
        <v>2179</v>
      </c>
      <c r="B34" t="s">
        <v>14</v>
      </c>
      <c r="C34" t="s">
        <v>2239</v>
      </c>
      <c r="D34" t="s">
        <v>2240</v>
      </c>
      <c r="E34" t="s">
        <v>2241</v>
      </c>
      <c r="F34" t="s">
        <v>52</v>
      </c>
      <c r="G34" t="s">
        <v>2242</v>
      </c>
      <c r="H34" t="s">
        <v>18</v>
      </c>
      <c r="I34" t="s">
        <v>982</v>
      </c>
    </row>
    <row r="35" spans="1:9" ht="11.25" customHeight="1">
      <c r="A35" t="s">
        <v>2179</v>
      </c>
      <c r="B35" t="s">
        <v>14</v>
      </c>
      <c r="C35" t="s">
        <v>2191</v>
      </c>
      <c r="D35" t="s">
        <v>2192</v>
      </c>
      <c r="E35" t="s">
        <v>2193</v>
      </c>
      <c r="F35" t="s">
        <v>52</v>
      </c>
      <c r="G35" t="s">
        <v>18</v>
      </c>
      <c r="H35" t="s">
        <v>18</v>
      </c>
      <c r="I35" t="s">
        <v>982</v>
      </c>
    </row>
    <row r="36" spans="1:9" ht="11.25" customHeight="1">
      <c r="A36" t="s">
        <v>2179</v>
      </c>
      <c r="B36" t="s">
        <v>14</v>
      </c>
      <c r="C36" t="s">
        <v>2194</v>
      </c>
      <c r="D36" t="s">
        <v>2195</v>
      </c>
      <c r="E36" t="s">
        <v>2196</v>
      </c>
      <c r="F36" t="s">
        <v>52</v>
      </c>
      <c r="G36" t="s">
        <v>18</v>
      </c>
      <c r="H36" t="s">
        <v>18</v>
      </c>
      <c r="I36" t="s">
        <v>982</v>
      </c>
    </row>
    <row r="37" spans="1:9" ht="11.25" customHeight="1">
      <c r="A37" t="s">
        <v>2179</v>
      </c>
      <c r="B37" t="s">
        <v>14</v>
      </c>
      <c r="C37" t="s">
        <v>2197</v>
      </c>
      <c r="D37" t="s">
        <v>2198</v>
      </c>
      <c r="E37" t="s">
        <v>2199</v>
      </c>
      <c r="F37" t="s">
        <v>52</v>
      </c>
      <c r="G37" t="s">
        <v>18</v>
      </c>
      <c r="H37" t="s">
        <v>18</v>
      </c>
      <c r="I37" t="s">
        <v>982</v>
      </c>
    </row>
    <row r="38" spans="1:9" ht="11.25" customHeight="1">
      <c r="A38" t="s">
        <v>2179</v>
      </c>
      <c r="B38" t="s">
        <v>14</v>
      </c>
      <c r="C38" t="s">
        <v>2204</v>
      </c>
      <c r="D38" t="s">
        <v>2205</v>
      </c>
      <c r="E38" t="s">
        <v>2206</v>
      </c>
      <c r="F38" t="s">
        <v>2207</v>
      </c>
      <c r="G38" t="s">
        <v>18</v>
      </c>
      <c r="H38" t="s">
        <v>18</v>
      </c>
      <c r="I38" t="s">
        <v>982</v>
      </c>
    </row>
    <row r="39" spans="1:9" ht="11.25" customHeight="1">
      <c r="A39" t="s">
        <v>2179</v>
      </c>
      <c r="B39" t="s">
        <v>14</v>
      </c>
      <c r="C39" t="s">
        <v>2212</v>
      </c>
      <c r="D39" t="s">
        <v>2213</v>
      </c>
      <c r="E39" t="s">
        <v>2214</v>
      </c>
      <c r="F39" t="s">
        <v>52</v>
      </c>
      <c r="G39" t="s">
        <v>18</v>
      </c>
      <c r="H39" t="s">
        <v>18</v>
      </c>
      <c r="I39" t="s">
        <v>982</v>
      </c>
    </row>
    <row r="40" spans="1:9" ht="11.25" customHeight="1">
      <c r="A40" t="s">
        <v>2179</v>
      </c>
      <c r="B40" t="s">
        <v>14</v>
      </c>
      <c r="C40" t="s">
        <v>2215</v>
      </c>
      <c r="D40" t="s">
        <v>2216</v>
      </c>
      <c r="E40" t="s">
        <v>2182</v>
      </c>
      <c r="F40" t="s">
        <v>2217</v>
      </c>
      <c r="G40" t="s">
        <v>2218</v>
      </c>
      <c r="H40" t="s">
        <v>18</v>
      </c>
      <c r="I40" t="s">
        <v>982</v>
      </c>
    </row>
    <row r="41" spans="1:9" ht="11.25" customHeight="1">
      <c r="A41" t="s">
        <v>2179</v>
      </c>
      <c r="B41" t="s">
        <v>14</v>
      </c>
      <c r="C41" t="s">
        <v>18</v>
      </c>
      <c r="D41" t="s">
        <v>2219</v>
      </c>
      <c r="E41" t="s">
        <v>2220</v>
      </c>
      <c r="F41" t="s">
        <v>52</v>
      </c>
      <c r="G41" t="s">
        <v>18</v>
      </c>
      <c r="H41" t="s">
        <v>18</v>
      </c>
      <c r="I41" t="s">
        <v>982</v>
      </c>
    </row>
    <row r="42" spans="1:9" ht="11.25" customHeight="1">
      <c r="A42" t="s">
        <v>2179</v>
      </c>
      <c r="B42" t="s">
        <v>14</v>
      </c>
      <c r="C42" t="s">
        <v>2221</v>
      </c>
      <c r="D42" t="s">
        <v>2222</v>
      </c>
      <c r="E42" t="s">
        <v>2223</v>
      </c>
      <c r="F42" t="s">
        <v>2224</v>
      </c>
      <c r="G42" t="s">
        <v>18</v>
      </c>
      <c r="H42" t="s">
        <v>18</v>
      </c>
      <c r="I42" t="s">
        <v>982</v>
      </c>
    </row>
    <row r="43" spans="1:9" ht="11.25" customHeight="1">
      <c r="A43" t="s">
        <v>2179</v>
      </c>
      <c r="B43" t="s">
        <v>14</v>
      </c>
      <c r="C43" t="s">
        <v>2225</v>
      </c>
      <c r="D43" t="s">
        <v>2226</v>
      </c>
      <c r="E43" t="s">
        <v>2223</v>
      </c>
      <c r="F43" t="s">
        <v>2227</v>
      </c>
      <c r="G43" t="s">
        <v>2228</v>
      </c>
      <c r="H43" t="s">
        <v>18</v>
      </c>
      <c r="I43" t="s">
        <v>982</v>
      </c>
    </row>
    <row r="44" spans="1:9" ht="11.25" customHeight="1">
      <c r="A44" t="s">
        <v>2179</v>
      </c>
      <c r="B44" t="s">
        <v>14</v>
      </c>
      <c r="C44" t="s">
        <v>2180</v>
      </c>
      <c r="D44" t="s">
        <v>2181</v>
      </c>
      <c r="E44" t="s">
        <v>2182</v>
      </c>
      <c r="F44" t="s">
        <v>2183</v>
      </c>
      <c r="G44" t="s">
        <v>18</v>
      </c>
      <c r="H44" t="s">
        <v>18</v>
      </c>
      <c r="I44" t="s">
        <v>595</v>
      </c>
    </row>
    <row r="45" spans="1:9" ht="11.25" customHeight="1">
      <c r="A45" t="s">
        <v>2179</v>
      </c>
      <c r="B45" t="s">
        <v>14</v>
      </c>
      <c r="C45" t="s">
        <v>2239</v>
      </c>
      <c r="D45" t="s">
        <v>2240</v>
      </c>
      <c r="E45" t="s">
        <v>2241</v>
      </c>
      <c r="F45" t="s">
        <v>52</v>
      </c>
      <c r="G45" t="s">
        <v>2242</v>
      </c>
      <c r="H45" t="s">
        <v>18</v>
      </c>
      <c r="I45" t="s">
        <v>595</v>
      </c>
    </row>
    <row r="46" spans="1:9" ht="11.25" customHeight="1">
      <c r="A46" t="s">
        <v>2179</v>
      </c>
      <c r="B46" t="s">
        <v>14</v>
      </c>
      <c r="C46" t="s">
        <v>2191</v>
      </c>
      <c r="D46" t="s">
        <v>2192</v>
      </c>
      <c r="E46" t="s">
        <v>2193</v>
      </c>
      <c r="F46" t="s">
        <v>52</v>
      </c>
      <c r="G46" t="s">
        <v>18</v>
      </c>
      <c r="H46" t="s">
        <v>18</v>
      </c>
      <c r="I46" t="s">
        <v>595</v>
      </c>
    </row>
    <row r="47" spans="1:9" ht="11.25" customHeight="1">
      <c r="A47" t="s">
        <v>2179</v>
      </c>
      <c r="B47" t="s">
        <v>14</v>
      </c>
      <c r="C47" t="s">
        <v>2197</v>
      </c>
      <c r="D47" t="s">
        <v>2198</v>
      </c>
      <c r="E47" t="s">
        <v>2199</v>
      </c>
      <c r="F47" t="s">
        <v>52</v>
      </c>
      <c r="G47" t="s">
        <v>18</v>
      </c>
      <c r="H47" t="s">
        <v>18</v>
      </c>
      <c r="I47" t="s">
        <v>595</v>
      </c>
    </row>
    <row r="48" spans="1:9" ht="11.25" customHeight="1">
      <c r="A48" t="s">
        <v>2179</v>
      </c>
      <c r="B48" t="s">
        <v>14</v>
      </c>
      <c r="C48" t="s">
        <v>2204</v>
      </c>
      <c r="D48" t="s">
        <v>2205</v>
      </c>
      <c r="E48" t="s">
        <v>2206</v>
      </c>
      <c r="F48" t="s">
        <v>2207</v>
      </c>
      <c r="G48" t="s">
        <v>18</v>
      </c>
      <c r="H48" t="s">
        <v>18</v>
      </c>
      <c r="I48" t="s">
        <v>595</v>
      </c>
    </row>
    <row r="49" spans="1:9" ht="11.25" customHeight="1">
      <c r="A49" t="s">
        <v>2179</v>
      </c>
      <c r="B49" t="s">
        <v>14</v>
      </c>
      <c r="C49" t="s">
        <v>2215</v>
      </c>
      <c r="D49" t="s">
        <v>2216</v>
      </c>
      <c r="E49" t="s">
        <v>2182</v>
      </c>
      <c r="F49" t="s">
        <v>2217</v>
      </c>
      <c r="G49" t="s">
        <v>2218</v>
      </c>
      <c r="H49" t="s">
        <v>18</v>
      </c>
      <c r="I49" t="s">
        <v>595</v>
      </c>
    </row>
    <row r="50" spans="1:9" ht="11.25" customHeight="1">
      <c r="A50" t="s">
        <v>2179</v>
      </c>
      <c r="B50" t="s">
        <v>14</v>
      </c>
      <c r="C50" t="s">
        <v>18</v>
      </c>
      <c r="D50" t="s">
        <v>2219</v>
      </c>
      <c r="E50" t="s">
        <v>2220</v>
      </c>
      <c r="F50" t="s">
        <v>52</v>
      </c>
      <c r="G50" t="s">
        <v>18</v>
      </c>
      <c r="H50" t="s">
        <v>18</v>
      </c>
      <c r="I50" t="s">
        <v>595</v>
      </c>
    </row>
    <row r="51" spans="1:9" ht="11.25" customHeight="1">
      <c r="A51" t="s">
        <v>2179</v>
      </c>
      <c r="B51" t="s">
        <v>14</v>
      </c>
      <c r="C51" t="s">
        <v>2191</v>
      </c>
      <c r="D51" t="s">
        <v>2192</v>
      </c>
      <c r="E51" t="s">
        <v>2193</v>
      </c>
      <c r="F51" t="s">
        <v>52</v>
      </c>
      <c r="G51" t="s">
        <v>18</v>
      </c>
      <c r="H51" t="s">
        <v>18</v>
      </c>
      <c r="I51" t="s">
        <v>1012</v>
      </c>
    </row>
    <row r="52" spans="1:9" ht="11.25" customHeight="1">
      <c r="A52" t="s">
        <v>2179</v>
      </c>
      <c r="B52" t="s">
        <v>14</v>
      </c>
      <c r="C52" t="s">
        <v>2243</v>
      </c>
      <c r="D52" t="s">
        <v>2244</v>
      </c>
      <c r="E52" t="s">
        <v>2245</v>
      </c>
      <c r="F52" t="s">
        <v>52</v>
      </c>
      <c r="G52" t="s">
        <v>18</v>
      </c>
      <c r="H52" t="s">
        <v>18</v>
      </c>
      <c r="I52" t="s">
        <v>1012</v>
      </c>
    </row>
    <row r="53" spans="1:9" ht="11.25" customHeight="1">
      <c r="A53" t="s">
        <v>2179</v>
      </c>
      <c r="B53" t="s">
        <v>14</v>
      </c>
      <c r="C53" t="s">
        <v>18</v>
      </c>
      <c r="D53" t="s">
        <v>2219</v>
      </c>
      <c r="E53" t="s">
        <v>2220</v>
      </c>
      <c r="F53" t="s">
        <v>52</v>
      </c>
      <c r="G53" t="s">
        <v>18</v>
      </c>
      <c r="H53" t="s">
        <v>18</v>
      </c>
      <c r="I53" t="s">
        <v>1012</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CF4D4E-BE85-6DB7-C077-5DB22D53EF1F}">
  <sheetPr>
    <tabColor rgb="FFFFCC99"/>
  </sheetPr>
  <dimension ref="A1:G23"/>
  <sheetViews>
    <sheetView showGridLines="0" workbookViewId="0"/>
  </sheetViews>
  <sheetFormatPr defaultRowHeight="11.25" customHeight="1"/>
  <sheetData>
    <row r="1" spans="1:7" ht="11.25" customHeight="1">
      <c r="A1" t="s">
        <v>2246</v>
      </c>
      <c r="B1" t="s">
        <v>2247</v>
      </c>
      <c r="C1" t="s">
        <v>2248</v>
      </c>
      <c r="D1" t="s">
        <v>2249</v>
      </c>
      <c r="E1" t="s">
        <v>2250</v>
      </c>
      <c r="F1" t="s">
        <v>2251</v>
      </c>
      <c r="G1" t="s">
        <v>2252</v>
      </c>
    </row>
    <row r="2" spans="1:7" ht="11.25" customHeight="1">
      <c r="A2" t="s">
        <v>14</v>
      </c>
      <c r="B2" t="s">
        <v>100</v>
      </c>
      <c r="C2" t="s">
        <v>2253</v>
      </c>
      <c r="D2" t="s">
        <v>100</v>
      </c>
      <c r="E2" t="s">
        <v>2253</v>
      </c>
      <c r="F2" t="s">
        <v>2254</v>
      </c>
      <c r="G2" t="s">
        <v>110</v>
      </c>
    </row>
    <row r="3" spans="1:7" ht="11.25" customHeight="1">
      <c r="A3" t="s">
        <v>14</v>
      </c>
      <c r="B3" t="s">
        <v>100</v>
      </c>
      <c r="C3" t="s">
        <v>2253</v>
      </c>
      <c r="D3" t="s">
        <v>2255</v>
      </c>
      <c r="E3" t="s">
        <v>2256</v>
      </c>
      <c r="F3" t="s">
        <v>2257</v>
      </c>
      <c r="G3" t="s">
        <v>111</v>
      </c>
    </row>
    <row r="4" spans="1:7" ht="11.25" customHeight="1">
      <c r="A4" t="s">
        <v>14</v>
      </c>
      <c r="B4" t="s">
        <v>100</v>
      </c>
      <c r="C4" t="s">
        <v>2253</v>
      </c>
      <c r="D4" t="s">
        <v>2258</v>
      </c>
      <c r="E4" t="s">
        <v>2259</v>
      </c>
      <c r="F4" t="s">
        <v>2257</v>
      </c>
      <c r="G4" t="s">
        <v>90</v>
      </c>
    </row>
    <row r="5" spans="1:7" ht="11.25" customHeight="1">
      <c r="A5" t="s">
        <v>14</v>
      </c>
      <c r="B5" t="s">
        <v>100</v>
      </c>
      <c r="C5" t="s">
        <v>2253</v>
      </c>
      <c r="D5" t="s">
        <v>2260</v>
      </c>
      <c r="E5" t="s">
        <v>2261</v>
      </c>
      <c r="F5" t="s">
        <v>2257</v>
      </c>
      <c r="G5" t="s">
        <v>91</v>
      </c>
    </row>
    <row r="6" spans="1:7" ht="11.25" customHeight="1">
      <c r="A6" t="s">
        <v>14</v>
      </c>
      <c r="B6" t="s">
        <v>100</v>
      </c>
      <c r="C6" t="s">
        <v>2253</v>
      </c>
      <c r="D6" t="s">
        <v>2262</v>
      </c>
      <c r="E6" t="s">
        <v>2263</v>
      </c>
      <c r="F6" t="s">
        <v>2257</v>
      </c>
      <c r="G6" t="s">
        <v>112</v>
      </c>
    </row>
    <row r="7" spans="1:7" ht="11.25" customHeight="1">
      <c r="A7" t="s">
        <v>14</v>
      </c>
      <c r="B7" t="s">
        <v>100</v>
      </c>
      <c r="C7" t="s">
        <v>2253</v>
      </c>
      <c r="D7" t="s">
        <v>2264</v>
      </c>
      <c r="E7" t="s">
        <v>2265</v>
      </c>
      <c r="F7" t="s">
        <v>2257</v>
      </c>
      <c r="G7" t="s">
        <v>92</v>
      </c>
    </row>
    <row r="8" spans="1:7" ht="11.25" customHeight="1">
      <c r="A8" t="s">
        <v>14</v>
      </c>
      <c r="B8" t="s">
        <v>100</v>
      </c>
      <c r="C8" t="s">
        <v>2253</v>
      </c>
      <c r="D8" t="s">
        <v>2266</v>
      </c>
      <c r="E8" t="s">
        <v>2267</v>
      </c>
      <c r="F8" t="s">
        <v>2257</v>
      </c>
      <c r="G8" t="s">
        <v>93</v>
      </c>
    </row>
    <row r="9" spans="1:7" ht="11.25" customHeight="1">
      <c r="A9" t="s">
        <v>14</v>
      </c>
      <c r="B9" t="s">
        <v>100</v>
      </c>
      <c r="C9" t="s">
        <v>2253</v>
      </c>
      <c r="D9" t="s">
        <v>2268</v>
      </c>
      <c r="E9" t="s">
        <v>2269</v>
      </c>
      <c r="F9" t="s">
        <v>2257</v>
      </c>
      <c r="G9" t="s">
        <v>113</v>
      </c>
    </row>
    <row r="10" spans="1:7" ht="11.25" customHeight="1">
      <c r="A10" t="s">
        <v>14</v>
      </c>
      <c r="B10" t="s">
        <v>100</v>
      </c>
      <c r="C10" t="s">
        <v>2253</v>
      </c>
      <c r="D10" t="s">
        <v>2270</v>
      </c>
      <c r="E10" t="s">
        <v>2271</v>
      </c>
      <c r="F10" t="s">
        <v>2272</v>
      </c>
      <c r="G10" t="s">
        <v>150</v>
      </c>
    </row>
    <row r="11" spans="1:7" ht="11.25" customHeight="1">
      <c r="A11" t="s">
        <v>14</v>
      </c>
      <c r="B11" t="s">
        <v>100</v>
      </c>
      <c r="C11" t="s">
        <v>2253</v>
      </c>
      <c r="D11" t="s">
        <v>2273</v>
      </c>
      <c r="E11" t="s">
        <v>2274</v>
      </c>
      <c r="F11" t="s">
        <v>2257</v>
      </c>
      <c r="G11" t="s">
        <v>151</v>
      </c>
    </row>
    <row r="12" spans="1:7" ht="11.25" customHeight="1">
      <c r="A12" t="s">
        <v>14</v>
      </c>
      <c r="B12" t="s">
        <v>100</v>
      </c>
      <c r="C12" t="s">
        <v>2253</v>
      </c>
      <c r="D12" t="s">
        <v>2275</v>
      </c>
      <c r="E12" t="s">
        <v>2276</v>
      </c>
      <c r="F12" t="s">
        <v>2257</v>
      </c>
      <c r="G12" t="s">
        <v>152</v>
      </c>
    </row>
    <row r="13" spans="1:7" ht="11.25" customHeight="1">
      <c r="A13" t="s">
        <v>14</v>
      </c>
      <c r="B13" t="s">
        <v>100</v>
      </c>
      <c r="C13" t="s">
        <v>2253</v>
      </c>
      <c r="D13" t="s">
        <v>2277</v>
      </c>
      <c r="E13" t="s">
        <v>2278</v>
      </c>
      <c r="F13" t="s">
        <v>2257</v>
      </c>
      <c r="G13" t="s">
        <v>153</v>
      </c>
    </row>
    <row r="14" spans="1:7" ht="11.25" customHeight="1">
      <c r="A14" t="s">
        <v>14</v>
      </c>
      <c r="B14" t="s">
        <v>100</v>
      </c>
      <c r="C14" t="s">
        <v>2253</v>
      </c>
      <c r="D14" t="s">
        <v>2279</v>
      </c>
      <c r="E14" t="s">
        <v>2280</v>
      </c>
      <c r="F14" t="s">
        <v>2257</v>
      </c>
      <c r="G14" t="s">
        <v>154</v>
      </c>
    </row>
    <row r="15" spans="1:7" ht="11.25" customHeight="1">
      <c r="A15" t="s">
        <v>14</v>
      </c>
      <c r="B15" t="s">
        <v>100</v>
      </c>
      <c r="C15" t="s">
        <v>2253</v>
      </c>
      <c r="D15" t="s">
        <v>2281</v>
      </c>
      <c r="E15" t="s">
        <v>2282</v>
      </c>
      <c r="F15" t="s">
        <v>2257</v>
      </c>
      <c r="G15" t="s">
        <v>155</v>
      </c>
    </row>
    <row r="16" spans="1:7" ht="11.25" customHeight="1">
      <c r="A16" t="s">
        <v>14</v>
      </c>
      <c r="B16" t="s">
        <v>100</v>
      </c>
      <c r="C16" t="s">
        <v>2253</v>
      </c>
      <c r="D16" t="s">
        <v>101</v>
      </c>
      <c r="E16" t="s">
        <v>102</v>
      </c>
      <c r="F16" t="s">
        <v>2283</v>
      </c>
      <c r="G16" t="s">
        <v>99</v>
      </c>
    </row>
    <row r="17" spans="1:7" ht="11.25" customHeight="1">
      <c r="A17" t="s">
        <v>14</v>
      </c>
      <c r="B17" t="s">
        <v>100</v>
      </c>
      <c r="C17" t="s">
        <v>2253</v>
      </c>
      <c r="D17" t="s">
        <v>2284</v>
      </c>
      <c r="E17" t="s">
        <v>2285</v>
      </c>
      <c r="F17" t="s">
        <v>2257</v>
      </c>
      <c r="G17" t="s">
        <v>859</v>
      </c>
    </row>
    <row r="18" spans="1:7" ht="11.25" customHeight="1">
      <c r="A18" t="s">
        <v>14</v>
      </c>
      <c r="B18" t="s">
        <v>100</v>
      </c>
      <c r="C18" t="s">
        <v>2253</v>
      </c>
      <c r="D18" t="s">
        <v>2286</v>
      </c>
      <c r="E18" t="s">
        <v>2287</v>
      </c>
      <c r="F18" t="s">
        <v>2257</v>
      </c>
      <c r="G18" t="s">
        <v>870</v>
      </c>
    </row>
    <row r="19" spans="1:7" ht="11.25" customHeight="1">
      <c r="A19" t="s">
        <v>14</v>
      </c>
      <c r="B19" t="s">
        <v>100</v>
      </c>
      <c r="C19" t="s">
        <v>2253</v>
      </c>
      <c r="D19" t="s">
        <v>2288</v>
      </c>
      <c r="E19" t="s">
        <v>2289</v>
      </c>
      <c r="F19" t="s">
        <v>2257</v>
      </c>
      <c r="G19" t="s">
        <v>884</v>
      </c>
    </row>
    <row r="20" spans="1:7" ht="11.25" customHeight="1">
      <c r="A20" t="s">
        <v>14</v>
      </c>
      <c r="B20" t="s">
        <v>100</v>
      </c>
      <c r="C20" t="s">
        <v>2253</v>
      </c>
      <c r="D20" t="s">
        <v>2290</v>
      </c>
      <c r="E20" t="s">
        <v>2291</v>
      </c>
      <c r="F20" t="s">
        <v>2257</v>
      </c>
      <c r="G20" t="s">
        <v>896</v>
      </c>
    </row>
    <row r="21" spans="1:7" ht="11.25" customHeight="1">
      <c r="A21" t="s">
        <v>14</v>
      </c>
      <c r="B21" t="s">
        <v>100</v>
      </c>
      <c r="C21" t="s">
        <v>2253</v>
      </c>
      <c r="D21" t="s">
        <v>2292</v>
      </c>
      <c r="E21" t="s">
        <v>2293</v>
      </c>
      <c r="F21" t="s">
        <v>2257</v>
      </c>
      <c r="G21" t="s">
        <v>905</v>
      </c>
    </row>
    <row r="22" spans="1:7" ht="11.25" customHeight="1">
      <c r="A22" t="s">
        <v>14</v>
      </c>
      <c r="B22" t="s">
        <v>100</v>
      </c>
      <c r="C22" t="s">
        <v>2253</v>
      </c>
      <c r="D22" t="s">
        <v>2294</v>
      </c>
      <c r="E22" t="s">
        <v>2295</v>
      </c>
      <c r="F22" t="s">
        <v>2257</v>
      </c>
      <c r="G22" t="s">
        <v>921</v>
      </c>
    </row>
    <row r="23" spans="1:7" ht="11.25" customHeight="1">
      <c r="A23" t="s">
        <v>14</v>
      </c>
      <c r="B23" t="s">
        <v>2296</v>
      </c>
      <c r="C23" t="s">
        <v>2297</v>
      </c>
      <c r="D23" t="s">
        <v>2296</v>
      </c>
      <c r="E23" t="s">
        <v>2297</v>
      </c>
      <c r="F23" t="s">
        <v>2298</v>
      </c>
      <c r="G23" t="s">
        <v>928</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D2208-EDC4-11DD-D121-083577C7579B}">
  <sheetPr>
    <tabColor rgb="FFFFCC99"/>
  </sheetPr>
  <dimension ref="A1:D1"/>
  <sheetViews>
    <sheetView showGridLines="0" workbookViewId="0"/>
  </sheetViews>
  <sheetFormatPr defaultColWidth="9.140625" defaultRowHeight="11.25" customHeight="1"/>
  <cols>
    <col min="1" max="4" width="9.140625" style="31"/>
  </cols>
  <sheetData>
    <row r="1" spans="1:4" ht="11.25" customHeight="1">
      <c r="A1" s="31" t="s">
        <v>2299</v>
      </c>
      <c r="B1" s="31" t="s">
        <v>2300</v>
      </c>
      <c r="C1" s="31" t="s">
        <v>2301</v>
      </c>
      <c r="D1" s="31" t="s">
        <v>2302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7AFD6-A4B9-3656-5D09-AD5EBC3C704D}">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316A21-0065-F131-C367-012D12FCC146}">
  <sheetPr>
    <tabColor rgb="FFFFCC99"/>
  </sheetPr>
  <dimension ref="A1:B2"/>
  <sheetViews>
    <sheetView showGridLines="0" workbookViewId="0"/>
  </sheetViews>
  <sheetFormatPr defaultColWidth="9.140625" defaultRowHeight="11.25" customHeight="1"/>
  <cols>
    <col min="1" max="2" width="9.140625" style="91"/>
  </cols>
  <sheetData>
    <row r="1" spans="1:2" ht="11.25" customHeight="1">
      <c r="A1" s="91" t="s">
        <v>132</v>
      </c>
      <c r="B1" s="91" t="s">
        <v>2303</v>
      </c>
    </row>
    <row r="2" spans="1:2" ht="11.25" customHeight="1">
      <c r="A2" s="91" t="s">
        <v>98</v>
      </c>
      <c r="B2" s="91" t="s">
        <v>2304</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AF3986-8002-D5DC-4BB9-2AFD7F84D769}">
  <sheetPr>
    <tabColor rgb="FFFFCC99"/>
  </sheetPr>
  <dimension ref="A1:B11"/>
  <sheetViews>
    <sheetView showGridLines="0" workbookViewId="0"/>
  </sheetViews>
  <sheetFormatPr defaultColWidth="9.140625" defaultRowHeight="11.25" customHeight="1"/>
  <cols>
    <col min="1" max="1" width="9.140625" style="31"/>
    <col min="2" max="2" width="65.28515625" style="31" customWidth="1"/>
  </cols>
  <sheetData>
    <row r="1" spans="1:2" ht="11.25" customHeight="1">
      <c r="A1" s="31" t="s">
        <v>2305</v>
      </c>
      <c r="B1" s="31" t="s">
        <v>2306</v>
      </c>
    </row>
    <row r="2" spans="1:2" ht="11.25" customHeight="1">
      <c r="A2" s="31">
        <v>4213775</v>
      </c>
      <c r="B2" s="31" t="s">
        <v>610</v>
      </c>
    </row>
    <row r="3" spans="1:2" ht="11.25" customHeight="1">
      <c r="A3" s="31">
        <v>4213784</v>
      </c>
      <c r="B3" s="31" t="s">
        <v>646</v>
      </c>
    </row>
    <row r="4" spans="1:2" ht="11.25" customHeight="1">
      <c r="A4" s="31">
        <v>4213781</v>
      </c>
      <c r="B4" s="31" t="s">
        <v>639</v>
      </c>
    </row>
    <row r="5" spans="1:2" ht="11.25" customHeight="1">
      <c r="A5" s="31">
        <v>4213776</v>
      </c>
      <c r="B5" s="31" t="s">
        <v>168</v>
      </c>
    </row>
    <row r="6" spans="1:2" ht="11.25" customHeight="1">
      <c r="A6" s="31">
        <v>4213777</v>
      </c>
      <c r="B6" s="31" t="s">
        <v>174</v>
      </c>
    </row>
    <row r="7" spans="1:2" ht="11.25" customHeight="1">
      <c r="A7" s="31">
        <v>4213778</v>
      </c>
      <c r="B7" s="31" t="s">
        <v>180</v>
      </c>
    </row>
    <row r="8" spans="1:2" ht="11.25" customHeight="1">
      <c r="A8" s="31">
        <v>4213780</v>
      </c>
      <c r="B8" s="31" t="s">
        <v>186</v>
      </c>
    </row>
    <row r="9" spans="1:2" ht="11.25" customHeight="1">
      <c r="A9" s="31">
        <v>4213779</v>
      </c>
      <c r="B9" s="31" t="s">
        <v>778</v>
      </c>
    </row>
    <row r="10" spans="1:2" ht="11.25" customHeight="1">
      <c r="A10" s="31">
        <v>4213783</v>
      </c>
      <c r="B10" s="31" t="s">
        <v>793</v>
      </c>
    </row>
    <row r="11" spans="1:2" ht="11.25" customHeight="1">
      <c r="A11" s="31">
        <v>4213782</v>
      </c>
      <c r="B11" s="31" t="s">
        <v>192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B313D8-96EE-C13B-E4B8-37D828F9FD65}">
  <sheetPr>
    <tabColor rgb="FFFFCC99"/>
  </sheetPr>
  <dimension ref="A1:B8"/>
  <sheetViews>
    <sheetView showGridLines="0" workbookViewId="0"/>
  </sheetViews>
  <sheetFormatPr defaultColWidth="9.140625" defaultRowHeight="11.25" customHeight="1"/>
  <cols>
    <col min="1" max="1" width="9.140625" style="31"/>
    <col min="2" max="2" width="65.28515625" style="31" customWidth="1"/>
  </cols>
  <sheetData>
    <row r="1" spans="1:2" ht="11.25" customHeight="1">
      <c r="A1" s="31" t="s">
        <v>2305</v>
      </c>
      <c r="B1" s="31" t="s">
        <v>2307</v>
      </c>
    </row>
    <row r="2" spans="1:2" ht="11.25" customHeight="1">
      <c r="A2" s="31" t="s">
        <v>119</v>
      </c>
      <c r="B2" s="31" t="s">
        <v>891</v>
      </c>
    </row>
    <row r="3" spans="1:2" ht="11.25" customHeight="1">
      <c r="A3" s="31" t="s">
        <v>2308</v>
      </c>
      <c r="B3" s="31" t="s">
        <v>901</v>
      </c>
    </row>
    <row r="4" spans="1:2" ht="11.25" customHeight="1">
      <c r="A4" s="31" t="s">
        <v>2309</v>
      </c>
      <c r="B4" s="31" t="s">
        <v>910</v>
      </c>
    </row>
    <row r="5" spans="1:2" ht="11.25" customHeight="1">
      <c r="A5" s="31" t="s">
        <v>2310</v>
      </c>
      <c r="B5" s="31" t="s">
        <v>919</v>
      </c>
    </row>
    <row r="6" spans="1:2" ht="11.25" customHeight="1">
      <c r="A6" s="31" t="s">
        <v>2311</v>
      </c>
      <c r="B6" s="31" t="s">
        <v>925</v>
      </c>
    </row>
    <row r="7" spans="1:2" ht="11.25" customHeight="1">
      <c r="A7" s="31" t="s">
        <v>2312</v>
      </c>
      <c r="B7" s="31" t="s">
        <v>933</v>
      </c>
    </row>
    <row r="8" spans="1:2" ht="11.25" customHeight="1">
      <c r="A8" s="31" t="s">
        <v>2313</v>
      </c>
      <c r="B8" s="31" t="s">
        <v>940</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F9394-16D5-7C3E-3628-9205BDAA5D87}">
  <sheetPr>
    <tabColor rgb="FFFFCC99"/>
  </sheetPr>
  <dimension ref="A1:G23"/>
  <sheetViews>
    <sheetView showGridLines="0" workbookViewId="0"/>
  </sheetViews>
  <sheetFormatPr defaultRowHeight="11.25" customHeight="1"/>
  <sheetData>
    <row r="1" spans="1:7" ht="11.25" customHeight="1">
      <c r="A1" t="s">
        <v>2246</v>
      </c>
      <c r="B1" t="s">
        <v>2247</v>
      </c>
      <c r="C1" t="s">
        <v>2248</v>
      </c>
      <c r="D1" t="s">
        <v>2249</v>
      </c>
      <c r="E1" t="s">
        <v>2250</v>
      </c>
      <c r="F1" t="s">
        <v>2251</v>
      </c>
      <c r="G1" t="s">
        <v>2252</v>
      </c>
    </row>
    <row r="2" spans="1:7" ht="11.25" customHeight="1">
      <c r="A2" t="s">
        <v>14</v>
      </c>
      <c r="B2" t="s">
        <v>100</v>
      </c>
      <c r="C2" t="s">
        <v>2253</v>
      </c>
      <c r="D2" t="s">
        <v>100</v>
      </c>
      <c r="E2" t="s">
        <v>2253</v>
      </c>
      <c r="F2" t="s">
        <v>2254</v>
      </c>
      <c r="G2" t="s">
        <v>110</v>
      </c>
    </row>
    <row r="3" spans="1:7" ht="11.25" customHeight="1">
      <c r="A3" t="s">
        <v>14</v>
      </c>
      <c r="B3" t="s">
        <v>100</v>
      </c>
      <c r="C3" t="s">
        <v>2253</v>
      </c>
      <c r="D3" t="s">
        <v>2255</v>
      </c>
      <c r="E3" t="s">
        <v>2256</v>
      </c>
      <c r="F3" t="s">
        <v>2257</v>
      </c>
      <c r="G3" t="s">
        <v>111</v>
      </c>
    </row>
    <row r="4" spans="1:7" ht="11.25" customHeight="1">
      <c r="A4" t="s">
        <v>14</v>
      </c>
      <c r="B4" t="s">
        <v>100</v>
      </c>
      <c r="C4" t="s">
        <v>2253</v>
      </c>
      <c r="D4" t="s">
        <v>2258</v>
      </c>
      <c r="E4" t="s">
        <v>2259</v>
      </c>
      <c r="F4" t="s">
        <v>2257</v>
      </c>
      <c r="G4" t="s">
        <v>90</v>
      </c>
    </row>
    <row r="5" spans="1:7" ht="11.25" customHeight="1">
      <c r="A5" t="s">
        <v>14</v>
      </c>
      <c r="B5" t="s">
        <v>100</v>
      </c>
      <c r="C5" t="s">
        <v>2253</v>
      </c>
      <c r="D5" t="s">
        <v>2260</v>
      </c>
      <c r="E5" t="s">
        <v>2261</v>
      </c>
      <c r="F5" t="s">
        <v>2257</v>
      </c>
      <c r="G5" t="s">
        <v>91</v>
      </c>
    </row>
    <row r="6" spans="1:7" ht="11.25" customHeight="1">
      <c r="A6" t="s">
        <v>14</v>
      </c>
      <c r="B6" t="s">
        <v>100</v>
      </c>
      <c r="C6" t="s">
        <v>2253</v>
      </c>
      <c r="D6" t="s">
        <v>2262</v>
      </c>
      <c r="E6" t="s">
        <v>2263</v>
      </c>
      <c r="F6" t="s">
        <v>2257</v>
      </c>
      <c r="G6" t="s">
        <v>112</v>
      </c>
    </row>
    <row r="7" spans="1:7" ht="11.25" customHeight="1">
      <c r="A7" t="s">
        <v>14</v>
      </c>
      <c r="B7" t="s">
        <v>100</v>
      </c>
      <c r="C7" t="s">
        <v>2253</v>
      </c>
      <c r="D7" t="s">
        <v>2264</v>
      </c>
      <c r="E7" t="s">
        <v>2265</v>
      </c>
      <c r="F7" t="s">
        <v>2257</v>
      </c>
      <c r="G7" t="s">
        <v>92</v>
      </c>
    </row>
    <row r="8" spans="1:7" ht="11.25" customHeight="1">
      <c r="A8" t="s">
        <v>14</v>
      </c>
      <c r="B8" t="s">
        <v>100</v>
      </c>
      <c r="C8" t="s">
        <v>2253</v>
      </c>
      <c r="D8" t="s">
        <v>2266</v>
      </c>
      <c r="E8" t="s">
        <v>2267</v>
      </c>
      <c r="F8" t="s">
        <v>2257</v>
      </c>
      <c r="G8" t="s">
        <v>93</v>
      </c>
    </row>
    <row r="9" spans="1:7" ht="11.25" customHeight="1">
      <c r="A9" t="s">
        <v>14</v>
      </c>
      <c r="B9" t="s">
        <v>100</v>
      </c>
      <c r="C9" t="s">
        <v>2253</v>
      </c>
      <c r="D9" t="s">
        <v>2268</v>
      </c>
      <c r="E9" t="s">
        <v>2269</v>
      </c>
      <c r="F9" t="s">
        <v>2257</v>
      </c>
      <c r="G9" t="s">
        <v>113</v>
      </c>
    </row>
    <row r="10" spans="1:7" ht="11.25" customHeight="1">
      <c r="A10" t="s">
        <v>14</v>
      </c>
      <c r="B10" t="s">
        <v>100</v>
      </c>
      <c r="C10" t="s">
        <v>2253</v>
      </c>
      <c r="D10" t="s">
        <v>2270</v>
      </c>
      <c r="E10" t="s">
        <v>2271</v>
      </c>
      <c r="F10" t="s">
        <v>2272</v>
      </c>
      <c r="G10" t="s">
        <v>150</v>
      </c>
    </row>
    <row r="11" spans="1:7" ht="11.25" customHeight="1">
      <c r="A11" t="s">
        <v>14</v>
      </c>
      <c r="B11" t="s">
        <v>100</v>
      </c>
      <c r="C11" t="s">
        <v>2253</v>
      </c>
      <c r="D11" t="s">
        <v>2273</v>
      </c>
      <c r="E11" t="s">
        <v>2274</v>
      </c>
      <c r="F11" t="s">
        <v>2257</v>
      </c>
      <c r="G11" t="s">
        <v>151</v>
      </c>
    </row>
    <row r="12" spans="1:7" ht="11.25" customHeight="1">
      <c r="A12" t="s">
        <v>14</v>
      </c>
      <c r="B12" t="s">
        <v>100</v>
      </c>
      <c r="C12" t="s">
        <v>2253</v>
      </c>
      <c r="D12" t="s">
        <v>2275</v>
      </c>
      <c r="E12" t="s">
        <v>2276</v>
      </c>
      <c r="F12" t="s">
        <v>2257</v>
      </c>
      <c r="G12" t="s">
        <v>152</v>
      </c>
    </row>
    <row r="13" spans="1:7" ht="11.25" customHeight="1">
      <c r="A13" t="s">
        <v>14</v>
      </c>
      <c r="B13" t="s">
        <v>100</v>
      </c>
      <c r="C13" t="s">
        <v>2253</v>
      </c>
      <c r="D13" t="s">
        <v>2277</v>
      </c>
      <c r="E13" t="s">
        <v>2278</v>
      </c>
      <c r="F13" t="s">
        <v>2257</v>
      </c>
      <c r="G13" t="s">
        <v>153</v>
      </c>
    </row>
    <row r="14" spans="1:7" ht="11.25" customHeight="1">
      <c r="A14" t="s">
        <v>14</v>
      </c>
      <c r="B14" t="s">
        <v>100</v>
      </c>
      <c r="C14" t="s">
        <v>2253</v>
      </c>
      <c r="D14" t="s">
        <v>2279</v>
      </c>
      <c r="E14" t="s">
        <v>2280</v>
      </c>
      <c r="F14" t="s">
        <v>2257</v>
      </c>
      <c r="G14" t="s">
        <v>154</v>
      </c>
    </row>
    <row r="15" spans="1:7" ht="11.25" customHeight="1">
      <c r="A15" t="s">
        <v>14</v>
      </c>
      <c r="B15" t="s">
        <v>100</v>
      </c>
      <c r="C15" t="s">
        <v>2253</v>
      </c>
      <c r="D15" t="s">
        <v>2281</v>
      </c>
      <c r="E15" t="s">
        <v>2282</v>
      </c>
      <c r="F15" t="s">
        <v>2257</v>
      </c>
      <c r="G15" t="s">
        <v>155</v>
      </c>
    </row>
    <row r="16" spans="1:7" ht="11.25" customHeight="1">
      <c r="A16" t="s">
        <v>14</v>
      </c>
      <c r="B16" t="s">
        <v>100</v>
      </c>
      <c r="C16" t="s">
        <v>2253</v>
      </c>
      <c r="D16" t="s">
        <v>101</v>
      </c>
      <c r="E16" t="s">
        <v>102</v>
      </c>
      <c r="F16" t="s">
        <v>2283</v>
      </c>
      <c r="G16" t="s">
        <v>99</v>
      </c>
    </row>
    <row r="17" spans="1:7" ht="11.25" customHeight="1">
      <c r="A17" t="s">
        <v>14</v>
      </c>
      <c r="B17" t="s">
        <v>100</v>
      </c>
      <c r="C17" t="s">
        <v>2253</v>
      </c>
      <c r="D17" t="s">
        <v>2284</v>
      </c>
      <c r="E17" t="s">
        <v>2285</v>
      </c>
      <c r="F17" t="s">
        <v>2257</v>
      </c>
      <c r="G17" t="s">
        <v>859</v>
      </c>
    </row>
    <row r="18" spans="1:7" ht="11.25" customHeight="1">
      <c r="A18" t="s">
        <v>14</v>
      </c>
      <c r="B18" t="s">
        <v>100</v>
      </c>
      <c r="C18" t="s">
        <v>2253</v>
      </c>
      <c r="D18" t="s">
        <v>2286</v>
      </c>
      <c r="E18" t="s">
        <v>2287</v>
      </c>
      <c r="F18" t="s">
        <v>2257</v>
      </c>
      <c r="G18" t="s">
        <v>870</v>
      </c>
    </row>
    <row r="19" spans="1:7" ht="11.25" customHeight="1">
      <c r="A19" t="s">
        <v>14</v>
      </c>
      <c r="B19" t="s">
        <v>100</v>
      </c>
      <c r="C19" t="s">
        <v>2253</v>
      </c>
      <c r="D19" t="s">
        <v>2288</v>
      </c>
      <c r="E19" t="s">
        <v>2289</v>
      </c>
      <c r="F19" t="s">
        <v>2257</v>
      </c>
      <c r="G19" t="s">
        <v>884</v>
      </c>
    </row>
    <row r="20" spans="1:7" ht="11.25" customHeight="1">
      <c r="A20" t="s">
        <v>14</v>
      </c>
      <c r="B20" t="s">
        <v>100</v>
      </c>
      <c r="C20" t="s">
        <v>2253</v>
      </c>
      <c r="D20" t="s">
        <v>2290</v>
      </c>
      <c r="E20" t="s">
        <v>2291</v>
      </c>
      <c r="F20" t="s">
        <v>2257</v>
      </c>
      <c r="G20" t="s">
        <v>896</v>
      </c>
    </row>
    <row r="21" spans="1:7" ht="11.25" customHeight="1">
      <c r="A21" t="s">
        <v>14</v>
      </c>
      <c r="B21" t="s">
        <v>100</v>
      </c>
      <c r="C21" t="s">
        <v>2253</v>
      </c>
      <c r="D21" t="s">
        <v>2292</v>
      </c>
      <c r="E21" t="s">
        <v>2293</v>
      </c>
      <c r="F21" t="s">
        <v>2257</v>
      </c>
      <c r="G21" t="s">
        <v>905</v>
      </c>
    </row>
    <row r="22" spans="1:7" ht="11.25" customHeight="1">
      <c r="A22" t="s">
        <v>14</v>
      </c>
      <c r="B22" t="s">
        <v>100</v>
      </c>
      <c r="C22" t="s">
        <v>2253</v>
      </c>
      <c r="D22" t="s">
        <v>2294</v>
      </c>
      <c r="E22" t="s">
        <v>2295</v>
      </c>
      <c r="F22" t="s">
        <v>2257</v>
      </c>
      <c r="G22" t="s">
        <v>921</v>
      </c>
    </row>
    <row r="23" spans="1:7" ht="11.25" customHeight="1">
      <c r="A23" t="s">
        <v>14</v>
      </c>
      <c r="B23" t="s">
        <v>2296</v>
      </c>
      <c r="C23" t="s">
        <v>2297</v>
      </c>
      <c r="D23" t="s">
        <v>2296</v>
      </c>
      <c r="E23" t="s">
        <v>2297</v>
      </c>
      <c r="F23" t="s">
        <v>2298</v>
      </c>
      <c r="G23" t="s">
        <v>928</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319DD-1095-5E78-AA5B-29BE1947DCC5}">
  <sheetPr>
    <tabColor rgb="FFFFCC99"/>
  </sheetPr>
  <dimension ref="A1:C3"/>
  <sheetViews>
    <sheetView showGridLines="0" workbookViewId="0"/>
  </sheetViews>
  <sheetFormatPr defaultColWidth="9.140625" defaultRowHeight="11.25" customHeight="1"/>
  <cols>
    <col min="1" max="1" width="9.140625" style="31"/>
    <col min="2" max="2" width="84.28515625" style="31" customWidth="1"/>
    <col min="3" max="3" width="9.140625" style="31"/>
  </cols>
  <sheetData>
    <row r="1" spans="1:3" ht="11.25" customHeight="1">
      <c r="A1" s="31" t="s">
        <v>2314</v>
      </c>
      <c r="B1" s="31" t="s">
        <v>2315</v>
      </c>
      <c r="C1" s="31" t="s">
        <v>554</v>
      </c>
    </row>
    <row r="2" spans="1:3" ht="11.25" customHeight="1">
      <c r="A2" s="31">
        <v>4189678</v>
      </c>
      <c r="B2" s="31" t="s">
        <v>2316</v>
      </c>
      <c r="C2" s="31" t="s">
        <v>2317</v>
      </c>
    </row>
    <row r="3" spans="1:3" ht="11.25" customHeight="1">
      <c r="A3" s="31">
        <v>4190415</v>
      </c>
      <c r="B3" s="31" t="s">
        <v>2318</v>
      </c>
      <c r="C3" s="31" t="s">
        <v>2317</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617555-847A-28AB-832E-0068B43642EB}">
  <sheetPr>
    <tabColor rgb="FFFFCC99"/>
  </sheetPr>
  <dimension ref="A1:E8"/>
  <sheetViews>
    <sheetView showGridLines="0" workbookViewId="0"/>
  </sheetViews>
  <sheetFormatPr defaultColWidth="9.140625" defaultRowHeight="15" customHeight="1"/>
  <cols>
    <col min="1" max="1" width="38.42578125" style="72" customWidth="1"/>
    <col min="2" max="5" width="9.140625" style="72"/>
  </cols>
  <sheetData>
    <row r="1" spans="1:5" ht="15" customHeight="1">
      <c r="A1" s="73" t="s">
        <v>2319</v>
      </c>
      <c r="B1" s="73" t="s">
        <v>2320</v>
      </c>
      <c r="C1" s="73"/>
      <c r="D1" s="73"/>
      <c r="E1" s="73"/>
    </row>
    <row r="2" spans="1:5" ht="15" customHeight="1">
      <c r="A2" s="73"/>
      <c r="B2" s="73"/>
      <c r="C2" s="73"/>
      <c r="D2" s="73"/>
      <c r="E2" s="73"/>
    </row>
    <row r="3" spans="1:5" ht="15" customHeight="1">
      <c r="A3" s="73"/>
      <c r="B3" s="73"/>
      <c r="C3" s="73"/>
      <c r="D3" s="73"/>
      <c r="E3" s="73"/>
    </row>
    <row r="4" spans="1:5" ht="15" customHeight="1">
      <c r="A4" s="73"/>
      <c r="B4" s="73"/>
      <c r="C4" s="73"/>
      <c r="D4" s="73"/>
      <c r="E4" s="73"/>
    </row>
    <row r="5" spans="1:5" ht="15" customHeight="1">
      <c r="A5" s="73"/>
      <c r="B5" s="73"/>
      <c r="C5" s="73"/>
      <c r="D5" s="73"/>
      <c r="E5" s="73"/>
    </row>
    <row r="6" spans="1:5" ht="15" customHeight="1">
      <c r="A6" s="73"/>
      <c r="B6" s="73"/>
      <c r="C6" s="73"/>
      <c r="D6" s="73"/>
      <c r="E6" s="73"/>
    </row>
    <row r="7" spans="1:5" ht="15" customHeight="1">
      <c r="A7" s="73"/>
      <c r="B7" s="73"/>
      <c r="C7" s="73"/>
      <c r="D7" s="73"/>
      <c r="E7" s="73"/>
    </row>
    <row r="8" spans="1:5" ht="15" customHeight="1">
      <c r="A8" s="73"/>
      <c r="B8" s="73"/>
      <c r="C8" s="73"/>
      <c r="D8" s="73"/>
      <c r="E8" s="73"/>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CB3836-ECB1-4F4A-6D49-5B63FC7F3A5A}">
  <sheetPr>
    <tabColor rgb="FFFFCC99"/>
  </sheetPr>
  <dimension ref="A1:B15"/>
  <sheetViews>
    <sheetView workbookViewId="0"/>
  </sheetViews>
  <sheetFormatPr defaultRowHeight="11.25" customHeight="1"/>
  <sheetData>
    <row r="1" spans="1:2" ht="11.25" customHeight="1">
      <c r="A1" t="s">
        <v>2321</v>
      </c>
      <c r="B1" t="b">
        <v>1</v>
      </c>
    </row>
    <row r="2" spans="1:2" ht="11.25" customHeight="1">
      <c r="A2" t="s">
        <v>2322</v>
      </c>
      <c r="B2" t="b">
        <v>0</v>
      </c>
    </row>
    <row r="3" spans="1:2" ht="11.25" customHeight="1">
      <c r="A3" t="s">
        <v>2323</v>
      </c>
      <c r="B3" t="b">
        <v>0</v>
      </c>
    </row>
    <row r="4" spans="1:2" ht="11.25" customHeight="1">
      <c r="A4" t="s">
        <v>2324</v>
      </c>
      <c r="B4" t="b">
        <v>1</v>
      </c>
    </row>
    <row r="5" spans="1:2" ht="11.25" customHeight="1">
      <c r="A5" t="s">
        <v>2325</v>
      </c>
      <c r="B5" t="b">
        <v>0</v>
      </c>
    </row>
    <row r="6" spans="1:2" ht="11.25" customHeight="1">
      <c r="A6" t="s">
        <v>2326</v>
      </c>
      <c r="B6" t="b">
        <v>0</v>
      </c>
    </row>
    <row r="7" spans="1:2" ht="11.25" customHeight="1">
      <c r="A7" t="s">
        <v>2327</v>
      </c>
      <c r="B7" t="b">
        <v>0</v>
      </c>
    </row>
    <row r="8" spans="1:2" ht="11.25" customHeight="1">
      <c r="A8" t="s">
        <v>2328</v>
      </c>
      <c r="B8" t="b">
        <v>0</v>
      </c>
    </row>
    <row r="9" spans="1:2" ht="11.25" customHeight="1">
      <c r="A9" t="s">
        <v>2329</v>
      </c>
      <c r="B9" t="b">
        <v>0</v>
      </c>
    </row>
    <row r="10" spans="1:2" ht="11.25" customHeight="1">
      <c r="A10" t="s">
        <v>2330</v>
      </c>
      <c r="B10" t="b">
        <v>0</v>
      </c>
    </row>
    <row r="11" spans="1:2" ht="11.25" customHeight="1">
      <c r="A11" t="s">
        <v>2331</v>
      </c>
      <c r="B11" t="b">
        <v>1</v>
      </c>
    </row>
    <row r="12" spans="1:2" ht="11.25" customHeight="1">
      <c r="A12" t="s">
        <v>2332</v>
      </c>
      <c r="B12" t="b">
        <v>0</v>
      </c>
    </row>
    <row r="13" spans="1:2" ht="11.25" customHeight="1">
      <c r="A13" t="s">
        <v>2333</v>
      </c>
      <c r="B13" t="b">
        <v>0</v>
      </c>
    </row>
    <row r="14" spans="1:2" ht="11.25" customHeight="1">
      <c r="A14" t="s">
        <v>2334</v>
      </c>
      <c r="B14" t="b">
        <v>0</v>
      </c>
    </row>
    <row r="15" spans="1:2" ht="11.25" customHeight="1">
      <c r="A15" t="s">
        <v>2335</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DD6AB-ABB4-8716-3189-E390C21AE3A4}">
  <sheetPr>
    <tabColor rgb="FFFFCC99"/>
  </sheetPr>
  <dimension ref="A1"/>
  <sheetViews>
    <sheetView showGridLines="0" workbookViewId="0"/>
  </sheetViews>
  <sheetFormatPr defaultColWidth="9.140625" defaultRowHeight="12.75" customHeight="1"/>
  <cols>
    <col min="1" max="1" width="9.140625" style="26"/>
  </cols>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B3F85-691B-EEAF-ED4B-0393D49C7C94}">
  <sheetPr>
    <tabColor rgb="FFFFCC99"/>
  </sheetPr>
  <dimension ref="A1:B70"/>
  <sheetViews>
    <sheetView showGridLines="0" workbookViewId="0"/>
  </sheetViews>
  <sheetFormatPr defaultColWidth="9.140625" defaultRowHeight="11.25" customHeight="1"/>
  <cols>
    <col min="1" max="1" width="36.28515625" customWidth="1"/>
    <col min="2" max="2" width="21.140625" customWidth="1"/>
  </cols>
  <sheetData>
    <row r="1" spans="1:2" ht="11.25" customHeight="1">
      <c r="A1" s="3" t="s">
        <v>2336</v>
      </c>
      <c r="B1" s="3" t="s">
        <v>2337</v>
      </c>
    </row>
    <row r="2" spans="1:2" ht="11.25" customHeight="1">
      <c r="A2" t="s">
        <v>2338</v>
      </c>
      <c r="B2" t="s">
        <v>2339</v>
      </c>
    </row>
    <row r="3" spans="1:2" ht="11.25" customHeight="1">
      <c r="A3" t="s">
        <v>2340</v>
      </c>
      <c r="B3" t="s">
        <v>2341</v>
      </c>
    </row>
    <row r="4" spans="1:2" ht="11.25" customHeight="1">
      <c r="A4" t="s">
        <v>2342</v>
      </c>
      <c r="B4" t="s">
        <v>2343</v>
      </c>
    </row>
    <row r="5" spans="1:2" ht="11.25" customHeight="1">
      <c r="A5" t="s">
        <v>2344</v>
      </c>
      <c r="B5" t="s">
        <v>2345</v>
      </c>
    </row>
    <row r="6" spans="1:2" ht="11.25" customHeight="1">
      <c r="A6" t="s">
        <v>2346</v>
      </c>
      <c r="B6" t="s">
        <v>2347</v>
      </c>
    </row>
    <row r="7" spans="1:2" ht="11.25" customHeight="1">
      <c r="A7" t="s">
        <v>2348</v>
      </c>
      <c r="B7" t="s">
        <v>2349</v>
      </c>
    </row>
    <row r="8" spans="1:2" ht="11.25" customHeight="1">
      <c r="A8" t="s">
        <v>2350</v>
      </c>
      <c r="B8" t="s">
        <v>2351</v>
      </c>
    </row>
    <row r="9" spans="1:2" ht="11.25" customHeight="1">
      <c r="A9" t="s">
        <v>2352</v>
      </c>
      <c r="B9" t="s">
        <v>2353</v>
      </c>
    </row>
    <row r="10" spans="1:2" ht="11.25" customHeight="1">
      <c r="A10" t="s">
        <v>2354</v>
      </c>
      <c r="B10" t="s">
        <v>2355</v>
      </c>
    </row>
    <row r="11" spans="1:2" ht="11.25" customHeight="1">
      <c r="A11" t="s">
        <v>2356</v>
      </c>
      <c r="B11" t="s">
        <v>2357</v>
      </c>
    </row>
    <row r="12" spans="1:2" ht="11.25" customHeight="1">
      <c r="A12" t="s">
        <v>2358</v>
      </c>
      <c r="B12" t="s">
        <v>2359</v>
      </c>
    </row>
    <row r="13" spans="1:2" ht="11.25" customHeight="1">
      <c r="A13" t="s">
        <v>2360</v>
      </c>
      <c r="B13" t="s">
        <v>2361</v>
      </c>
    </row>
    <row r="14" spans="1:2" ht="11.25" customHeight="1">
      <c r="A14" t="s">
        <v>2362</v>
      </c>
      <c r="B14" t="s">
        <v>2363</v>
      </c>
    </row>
    <row r="15" spans="1:2" ht="11.25" customHeight="1">
      <c r="A15" t="s">
        <v>2364</v>
      </c>
      <c r="B15" t="s">
        <v>2365</v>
      </c>
    </row>
    <row r="16" spans="1:2" ht="11.25" customHeight="1">
      <c r="A16" t="s">
        <v>2366</v>
      </c>
      <c r="B16" t="s">
        <v>2367</v>
      </c>
    </row>
    <row r="17" spans="1:2" ht="11.25" customHeight="1">
      <c r="A17" t="s">
        <v>2368</v>
      </c>
      <c r="B17" t="s">
        <v>2369</v>
      </c>
    </row>
    <row r="18" spans="1:2" ht="11.25" customHeight="1">
      <c r="A18" t="s">
        <v>2370</v>
      </c>
      <c r="B18" t="s">
        <v>2371</v>
      </c>
    </row>
    <row r="19" spans="1:2" ht="11.25" customHeight="1">
      <c r="A19" t="s">
        <v>2372</v>
      </c>
      <c r="B19" t="s">
        <v>2373</v>
      </c>
    </row>
    <row r="20" spans="1:2" ht="11.25" customHeight="1">
      <c r="A20" t="s">
        <v>2374</v>
      </c>
      <c r="B20" t="s">
        <v>2375</v>
      </c>
    </row>
    <row r="21" spans="1:2" ht="11.25" customHeight="1">
      <c r="A21" t="s">
        <v>2376</v>
      </c>
      <c r="B21" t="s">
        <v>2377</v>
      </c>
    </row>
    <row r="22" spans="1:2" ht="11.25" customHeight="1">
      <c r="A22" t="s">
        <v>2378</v>
      </c>
      <c r="B22" t="s">
        <v>2379</v>
      </c>
    </row>
    <row r="23" spans="1:2" ht="11.25" customHeight="1">
      <c r="A23" t="s">
        <v>2380</v>
      </c>
      <c r="B23" t="s">
        <v>2381</v>
      </c>
    </row>
    <row r="24" spans="1:2" ht="11.25" customHeight="1">
      <c r="A24" t="s">
        <v>2382</v>
      </c>
      <c r="B24" t="s">
        <v>2383</v>
      </c>
    </row>
    <row r="25" spans="1:2" ht="11.25" customHeight="1">
      <c r="A25" t="s">
        <v>2384</v>
      </c>
      <c r="B25" t="s">
        <v>2385</v>
      </c>
    </row>
    <row r="26" spans="1:2" ht="11.25" customHeight="1">
      <c r="A26" t="s">
        <v>2386</v>
      </c>
      <c r="B26" t="s">
        <v>2387</v>
      </c>
    </row>
    <row r="27" spans="1:2" ht="11.25" customHeight="1">
      <c r="A27" t="s">
        <v>2388</v>
      </c>
      <c r="B27" t="s">
        <v>2389</v>
      </c>
    </row>
    <row r="28" spans="1:2" ht="11.25" customHeight="1">
      <c r="A28" t="s">
        <v>2390</v>
      </c>
      <c r="B28" t="s">
        <v>2391</v>
      </c>
    </row>
    <row r="29" spans="1:2" ht="11.25" customHeight="1">
      <c r="A29" t="s">
        <v>2392</v>
      </c>
      <c r="B29" t="s">
        <v>2393</v>
      </c>
    </row>
    <row r="30" spans="1:2" ht="11.25" customHeight="1">
      <c r="A30" t="s">
        <v>2394</v>
      </c>
      <c r="B30" t="s">
        <v>2395</v>
      </c>
    </row>
    <row r="31" spans="1:2" ht="11.25" customHeight="1">
      <c r="A31" t="s">
        <v>2396</v>
      </c>
      <c r="B31" t="s">
        <v>2397</v>
      </c>
    </row>
    <row r="32" spans="1:2" ht="11.25" customHeight="1">
      <c r="A32" t="s">
        <v>2398</v>
      </c>
      <c r="B32" t="s">
        <v>2399</v>
      </c>
    </row>
    <row r="33" spans="1:2" ht="11.25" customHeight="1">
      <c r="A33" t="s">
        <v>2400</v>
      </c>
      <c r="B33" t="s">
        <v>2401</v>
      </c>
    </row>
    <row r="34" spans="1:2" ht="11.25" customHeight="1">
      <c r="A34" t="s">
        <v>2402</v>
      </c>
      <c r="B34" t="s">
        <v>2403</v>
      </c>
    </row>
    <row r="35" spans="1:2" ht="11.25" customHeight="1">
      <c r="A35" t="s">
        <v>2404</v>
      </c>
      <c r="B35" t="s">
        <v>2405</v>
      </c>
    </row>
    <row r="36" spans="1:2" ht="11.25" customHeight="1">
      <c r="A36" t="s">
        <v>2406</v>
      </c>
      <c r="B36" t="s">
        <v>2407</v>
      </c>
    </row>
    <row r="37" spans="1:2" ht="11.25" customHeight="1">
      <c r="A37" t="s">
        <v>2408</v>
      </c>
      <c r="B37" t="s">
        <v>2409</v>
      </c>
    </row>
    <row r="38" spans="1:2" ht="11.25" customHeight="1">
      <c r="A38" t="s">
        <v>2410</v>
      </c>
      <c r="B38" t="s">
        <v>2411</v>
      </c>
    </row>
    <row r="39" spans="1:2" ht="11.25" customHeight="1">
      <c r="A39" t="s">
        <v>2412</v>
      </c>
      <c r="B39" t="s">
        <v>2413</v>
      </c>
    </row>
    <row r="40" spans="1:2" ht="11.25" customHeight="1">
      <c r="A40" t="s">
        <v>2414</v>
      </c>
      <c r="B40" t="s">
        <v>2415</v>
      </c>
    </row>
    <row r="41" spans="1:2" ht="11.25" customHeight="1">
      <c r="A41" t="s">
        <v>2416</v>
      </c>
      <c r="B41" t="s">
        <v>2417</v>
      </c>
    </row>
    <row r="42" spans="1:2" ht="11.25" customHeight="1">
      <c r="A42" t="s">
        <v>2418</v>
      </c>
      <c r="B42" t="s">
        <v>2419</v>
      </c>
    </row>
    <row r="43" spans="1:2" ht="11.25" customHeight="1">
      <c r="A43" t="s">
        <v>2420</v>
      </c>
      <c r="B43" t="s">
        <v>2421</v>
      </c>
    </row>
    <row r="44" spans="1:2" ht="11.25" customHeight="1">
      <c r="A44" t="s">
        <v>2422</v>
      </c>
      <c r="B44" t="s">
        <v>2423</v>
      </c>
    </row>
    <row r="45" spans="1:2" ht="11.25" customHeight="1">
      <c r="A45" t="s">
        <v>2424</v>
      </c>
      <c r="B45" t="s">
        <v>2425</v>
      </c>
    </row>
    <row r="46" spans="1:2" ht="11.25" customHeight="1">
      <c r="A46" t="s">
        <v>2426</v>
      </c>
      <c r="B46" t="s">
        <v>2427</v>
      </c>
    </row>
    <row r="47" spans="1:2" ht="11.25" customHeight="1">
      <c r="A47" t="s">
        <v>2428</v>
      </c>
      <c r="B47" t="s">
        <v>2429</v>
      </c>
    </row>
    <row r="48" spans="1:2" ht="11.25" customHeight="1">
      <c r="A48" t="s">
        <v>2430</v>
      </c>
      <c r="B48" t="s">
        <v>2431</v>
      </c>
    </row>
    <row r="49" spans="1:2" ht="11.25" customHeight="1">
      <c r="A49" t="s">
        <v>2432</v>
      </c>
      <c r="B49" t="s">
        <v>2433</v>
      </c>
    </row>
    <row r="50" spans="1:2" ht="11.25" customHeight="1">
      <c r="A50" t="s">
        <v>2434</v>
      </c>
      <c r="B50" t="s">
        <v>2435</v>
      </c>
    </row>
    <row r="51" spans="1:2" ht="11.25" customHeight="1">
      <c r="A51" t="s">
        <v>2436</v>
      </c>
      <c r="B51" t="s">
        <v>2437</v>
      </c>
    </row>
    <row r="52" spans="1:2" ht="11.25" customHeight="1">
      <c r="A52" t="s">
        <v>2438</v>
      </c>
      <c r="B52" t="s">
        <v>2439</v>
      </c>
    </row>
    <row r="53" spans="1:2" ht="11.25" customHeight="1">
      <c r="A53" t="s">
        <v>2440</v>
      </c>
      <c r="B53" t="s">
        <v>2441</v>
      </c>
    </row>
    <row r="54" spans="1:2" ht="11.25" customHeight="1">
      <c r="A54" t="s">
        <v>2442</v>
      </c>
      <c r="B54" t="s">
        <v>2443</v>
      </c>
    </row>
    <row r="55" spans="1:2" ht="11.25" customHeight="1">
      <c r="A55" t="s">
        <v>2444</v>
      </c>
      <c r="B55" t="s">
        <v>2445</v>
      </c>
    </row>
    <row r="56" spans="1:2" ht="11.25" customHeight="1">
      <c r="A56" t="s">
        <v>2446</v>
      </c>
      <c r="B56" t="s">
        <v>2447</v>
      </c>
    </row>
    <row r="57" spans="1:2" ht="11.25" customHeight="1">
      <c r="A57" t="s">
        <v>2448</v>
      </c>
      <c r="B57" t="s">
        <v>2449</v>
      </c>
    </row>
    <row r="58" spans="1:2" ht="11.25" customHeight="1">
      <c r="A58" t="s">
        <v>2450</v>
      </c>
      <c r="B58" t="s">
        <v>2451</v>
      </c>
    </row>
    <row r="59" spans="1:2" ht="11.25" customHeight="1">
      <c r="A59" t="s">
        <v>2452</v>
      </c>
      <c r="B59" t="s">
        <v>2453</v>
      </c>
    </row>
    <row r="60" spans="1:2" ht="11.25" customHeight="1">
      <c r="A60" t="s">
        <v>2454</v>
      </c>
      <c r="B60" t="s">
        <v>2455</v>
      </c>
    </row>
    <row r="61" spans="1:2" ht="11.25" customHeight="1">
      <c r="B61" t="s">
        <v>2456</v>
      </c>
    </row>
    <row r="62" spans="1:2" ht="11.25" customHeight="1">
      <c r="B62" t="s">
        <v>2457</v>
      </c>
    </row>
    <row r="63" spans="1:2" ht="11.25" customHeight="1">
      <c r="B63" t="s">
        <v>2458</v>
      </c>
    </row>
    <row r="64" spans="1:2" ht="11.25" customHeight="1">
      <c r="B64" t="s">
        <v>2459</v>
      </c>
    </row>
    <row r="65" spans="2:2" ht="11.25" customHeight="1">
      <c r="B65" t="s">
        <v>2460</v>
      </c>
    </row>
    <row r="66" spans="2:2" ht="11.25" customHeight="1">
      <c r="B66" t="s">
        <v>2461</v>
      </c>
    </row>
    <row r="67" spans="2:2" ht="11.25" customHeight="1">
      <c r="B67" t="s">
        <v>2462</v>
      </c>
    </row>
    <row r="68" spans="2:2" ht="11.25" customHeight="1">
      <c r="B68" t="s">
        <v>2463</v>
      </c>
    </row>
    <row r="69" spans="2:2" ht="11.25" customHeight="1">
      <c r="B69" t="s">
        <v>2464</v>
      </c>
    </row>
    <row r="70" spans="2:2" ht="11.25" customHeight="1">
      <c r="B70" t="s">
        <v>2465</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58B9D-5D53-FA13-CB74-8FC4B9399DCE}">
  <sheetPr>
    <tabColor rgb="FFFFCC99"/>
  </sheetPr>
  <dimension ref="A1:D36"/>
  <sheetViews>
    <sheetView showGridLines="0" workbookViewId="0"/>
  </sheetViews>
  <sheetFormatPr defaultColWidth="9.140625" defaultRowHeight="11.25" customHeight="1"/>
  <cols>
    <col min="1" max="1" width="3.7109375" customWidth="1"/>
    <col min="2" max="2" width="90.7109375" customWidth="1"/>
  </cols>
  <sheetData>
    <row r="1" spans="2:4" ht="11.25" customHeight="1">
      <c r="B1" s="24" t="s">
        <v>2466</v>
      </c>
    </row>
    <row r="2" spans="2:4" ht="90" customHeight="1">
      <c r="B2" s="25" t="s">
        <v>2467</v>
      </c>
    </row>
    <row r="3" spans="2:4" ht="67.5" customHeight="1">
      <c r="B3" s="25" t="s">
        <v>2468</v>
      </c>
    </row>
    <row r="4" spans="2:4" ht="33.75" customHeight="1">
      <c r="B4" s="25" t="s">
        <v>2469</v>
      </c>
    </row>
    <row r="5" spans="2:4" ht="11.25" customHeight="1">
      <c r="B5" s="25" t="s">
        <v>2470</v>
      </c>
    </row>
    <row r="6" spans="2:4" ht="22.5" customHeight="1">
      <c r="B6" s="25" t="s">
        <v>2471</v>
      </c>
    </row>
    <row r="7" spans="2:4" ht="22.5" customHeight="1">
      <c r="B7" s="25" t="s">
        <v>2472</v>
      </c>
    </row>
    <row r="8" spans="2:4" ht="22.5" customHeight="1">
      <c r="B8" s="25" t="s">
        <v>2473</v>
      </c>
    </row>
    <row r="9" spans="2:4" ht="22.5" customHeight="1">
      <c r="B9" s="25" t="s">
        <v>2474</v>
      </c>
    </row>
    <row r="10" spans="2:4" ht="56.25" customHeight="1">
      <c r="B10" s="25" t="s">
        <v>2475</v>
      </c>
    </row>
    <row r="11" spans="2:4" ht="12.75" customHeight="1">
      <c r="B11" s="69" t="s">
        <v>2476</v>
      </c>
    </row>
    <row r="12" spans="2:4" ht="11.25" customHeight="1">
      <c r="B12" s="24" t="s">
        <v>2477</v>
      </c>
    </row>
    <row r="13" spans="2:4" ht="22.5" customHeight="1">
      <c r="B13" s="25" t="s">
        <v>2478</v>
      </c>
    </row>
    <row r="14" spans="2:4" ht="67.5" customHeight="1">
      <c r="B14" s="25" t="s">
        <v>2479</v>
      </c>
    </row>
    <row r="15" spans="2:4" ht="22.5" customHeight="1">
      <c r="B15" s="25" t="s">
        <v>2480</v>
      </c>
    </row>
    <row r="16" spans="2:4" ht="11.25" customHeight="1">
      <c r="B16" s="24" t="s">
        <v>2481</v>
      </c>
      <c r="D16" s="31"/>
    </row>
    <row r="17" spans="2:2" ht="33.75" customHeight="1">
      <c r="B17" s="25" t="s">
        <v>2482</v>
      </c>
    </row>
    <row r="18" spans="2:2" ht="33.75" customHeight="1">
      <c r="B18" s="25" t="s">
        <v>2483</v>
      </c>
    </row>
    <row r="19" spans="2:2" ht="11.25" customHeight="1">
      <c r="B19" s="25" t="s">
        <v>2484</v>
      </c>
    </row>
    <row r="20" spans="2:2" ht="33.75" customHeight="1">
      <c r="B20" s="25" t="s">
        <v>2485</v>
      </c>
    </row>
    <row r="21" spans="2:2" ht="11.25" customHeight="1">
      <c r="B21" s="24" t="s">
        <v>2486</v>
      </c>
    </row>
    <row r="22" spans="2:2" ht="11.25" customHeight="1">
      <c r="B22" s="25" t="s">
        <v>2487</v>
      </c>
    </row>
    <row r="24" spans="2:2" ht="22.5" customHeight="1">
      <c r="B24" s="71" t="s">
        <v>2488</v>
      </c>
    </row>
    <row r="26" spans="2:2" ht="11.25" customHeight="1">
      <c r="B26" s="24" t="s">
        <v>2489</v>
      </c>
    </row>
    <row r="27" spans="2:2" ht="22.5" customHeight="1">
      <c r="B27" s="70" t="s">
        <v>457</v>
      </c>
    </row>
    <row r="28" spans="2:2" ht="56.25" customHeight="1">
      <c r="B28" s="70" t="s">
        <v>2490</v>
      </c>
    </row>
    <row r="29" spans="2:2" ht="11.25" customHeight="1">
      <c r="B29" s="112" t="s">
        <v>2491</v>
      </c>
    </row>
    <row r="30" spans="2:2" ht="22.5" customHeight="1">
      <c r="B30" s="70" t="s">
        <v>2492</v>
      </c>
    </row>
    <row r="32" spans="2:2" ht="11.25" customHeight="1">
      <c r="B32" s="95" t="s">
        <v>2493</v>
      </c>
    </row>
    <row r="33" spans="1:2" ht="14.25" customHeight="1">
      <c r="A33" s="96">
        <v>1</v>
      </c>
      <c r="B33" s="97" t="s">
        <v>2494</v>
      </c>
    </row>
    <row r="34" spans="1:2" ht="14.25" customHeight="1">
      <c r="A34" s="96">
        <v>2</v>
      </c>
      <c r="B34" s="97" t="s">
        <v>2495</v>
      </c>
    </row>
    <row r="35" spans="1:2" ht="11.25" customHeight="1">
      <c r="B35" s="95" t="s">
        <v>2496</v>
      </c>
    </row>
    <row r="36" spans="1:2" ht="11.25" customHeight="1">
      <c r="B36" s="97" t="s">
        <v>2497</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86</vt:i4>
      </vt:variant>
      <vt:variant>
        <vt:lpstr>Именованные диапазоны</vt:lpstr>
      </vt:variant>
      <vt:variant>
        <vt:i4>1809</vt:i4>
      </vt:variant>
    </vt:vector>
  </HeadingPairs>
  <TitlesOfParts>
    <vt:vector size="1895"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et_union_hor</vt:lpstr>
      <vt:lpstr>Договоры</vt:lpstr>
      <vt:lpstr>ТС. Т-ТЭ | &gt;=25МВт</vt:lpstr>
      <vt:lpstr>ТС. Т-ТЭ | ТСО</vt:lpstr>
      <vt:lpstr>ТС. Резерв мощности</vt:lpstr>
      <vt:lpstr>ТС. Т-ТН</vt:lpstr>
      <vt:lpstr>ТС. Т-передача ТЭ</vt:lpstr>
      <vt:lpstr>ТС. Т-передача ТН</vt:lpstr>
      <vt:lpstr>ТС. Т-гор.вода</vt:lpstr>
      <vt:lpstr>ТС. Т-подкл</vt:lpstr>
      <vt:lpstr>TEHSHEET</vt:lpstr>
      <vt:lpstr>DATA_FORMS</vt:lpstr>
      <vt:lpstr>DATA_NPA</vt:lpstr>
      <vt:lpstr>Т-ТЭ | потр</vt:lpstr>
      <vt:lpstr>Т-ТЭ | предел</vt:lpstr>
      <vt:lpstr>Т-ТЭ | индикат</vt:lpstr>
      <vt:lpstr>Т-подкл(инд)</vt:lpstr>
      <vt:lpstr>Порядок ТП</vt:lpstr>
      <vt:lpstr>Сведения о закупках</vt:lpstr>
      <vt:lpstr>modMainProcedures</vt:lpstr>
      <vt:lpstr>Потребительские характеристики</vt:lpstr>
      <vt:lpstr>ТП</vt:lpstr>
      <vt:lpstr>Ограничения</vt:lpstr>
      <vt:lpstr>Предложение</vt:lpstr>
      <vt:lpstr>ХВС. Т-пит</vt:lpstr>
      <vt:lpstr>ХВС. Т-тех</vt:lpstr>
      <vt:lpstr>ХВС. Т-транс</vt:lpstr>
      <vt:lpstr>ХВС. Т-подвоз</vt:lpstr>
      <vt:lpstr>ХВС. Т-подкл</vt:lpstr>
      <vt:lpstr>Показатели ФХД</vt:lpstr>
      <vt:lpstr>Показатели ФХД &gt;20%</vt:lpstr>
      <vt:lpstr>ТКО. Показатели ФХД</vt:lpstr>
      <vt:lpstr>ТКО. Транс. Показатели ФХД</vt:lpstr>
      <vt:lpstr>Показатели КНЭ</vt:lpstr>
      <vt:lpstr>ИП</vt:lpstr>
      <vt:lpstr>ИП. Детализация</vt:lpstr>
      <vt:lpstr>ИП. Финансовый план</vt:lpstr>
      <vt:lpstr>ИП. КНЭ</vt:lpstr>
      <vt:lpstr>ГВС. Т-гор.вода</vt:lpstr>
      <vt:lpstr>ГВС. Т-транс</vt:lpstr>
      <vt:lpstr>ГВС. Т-подкл</vt:lpstr>
      <vt:lpstr>ВО. Т-во</vt:lpstr>
      <vt:lpstr>ВО. Т-транс</vt:lpstr>
      <vt:lpstr>ВО. Т-подкл</vt:lpstr>
      <vt:lpstr>modB_FHD</vt:lpstr>
      <vt:lpstr>modB_FHD20</vt:lpstr>
      <vt:lpstr>modB_KNE</vt:lpstr>
      <vt:lpstr>modIP_MAIN</vt:lpstr>
      <vt:lpstr>modIP_QRE</vt:lpstr>
      <vt:lpstr>modIP_DETAILED</vt:lpstr>
      <vt:lpstr>ЭД</vt:lpstr>
      <vt:lpstr>Сведения об изменении</vt:lpstr>
      <vt:lpstr>Орган регулирования</vt:lpstr>
      <vt:lpstr>Перечень организаций</vt:lpstr>
      <vt:lpstr>Дела об установлении тарифов</vt:lpstr>
      <vt:lpstr>Привлечение к ответственности</vt:lpstr>
      <vt:lpstr>Комментарии</vt:lpstr>
      <vt:lpstr>Проверка</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lpstr>ТП!Заголовки_для_печати</vt:lpstr>
      <vt:lpstr>ТП!Область_печати</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Анна Валерьевна</cp:lastModifiedBy>
  <cp:lastPrinted>2013-08-29T08:11:20Z</cp:lastPrinted>
  <dcterms:created xsi:type="dcterms:W3CDTF">2004-05-21T07:18:45Z</dcterms:created>
  <dcterms:modified xsi:type="dcterms:W3CDTF">2023-10-25T08:06:11Z</dcterms:modified>
</cp:coreProperties>
</file>